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3.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4.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5.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0.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2.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3.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4.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5.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6.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7.xml" ContentType="application/vnd.openxmlformats-officedocument.drawingml.chartshapes+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8.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9.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22.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25.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26.xml" ContentType="application/vnd.openxmlformats-officedocument.drawingml.chartshapes+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27.xml" ContentType="application/vnd.openxmlformats-officedocument.drawing+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28.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29.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30.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31.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cranfield-my.sharepoint.com/personal/a_parker_cranfield_ac_uk/Documents/e101134/nercindia/alexandrapaper/"/>
    </mc:Choice>
  </mc:AlternateContent>
  <xr:revisionPtr revIDLastSave="0" documentId="8_{B1BA00DE-B130-4DC9-A3AA-87D9DF51EDE2}" xr6:coauthVersionLast="47" xr6:coauthVersionMax="47" xr10:uidLastSave="{00000000-0000-0000-0000-000000000000}"/>
  <bookViews>
    <workbookView xWindow="-28920" yWindow="-120" windowWidth="29040" windowHeight="15840" xr2:uid="{884844A8-5678-2543-9D6E-114D9F79ED30}"/>
  </bookViews>
  <sheets>
    <sheet name="Standards All Runs" sheetId="3" r:id="rId1"/>
    <sheet name="Br Tracer" sheetId="5" r:id="rId2"/>
    <sheet name="Set 1 IC" sheetId="1" r:id="rId3"/>
    <sheet name="Set 2 IC" sheetId="2" r:id="rId4"/>
    <sheet name="Set 3 IC" sheetId="6" r:id="rId5"/>
    <sheet name="0 Set 2&amp;3" sheetId="14" r:id="rId6"/>
    <sheet name="Set 4 IC" sheetId="20" r:id="rId7"/>
    <sheet name="Set 5 IC" sheetId="21" r:id="rId8"/>
    <sheet name="Set 6 IC" sheetId="22" r:id="rId9"/>
    <sheet name="A &amp; B IC" sheetId="23" r:id="rId10"/>
    <sheet name="Set 7, 8, 9, 10" sheetId="26" r:id="rId11"/>
    <sheet name="Set 2 Alkalinity" sheetId="9" r:id="rId12"/>
    <sheet name="Set B Alkalinity" sheetId="24" r:id="rId13"/>
    <sheet name="Set 9,10 Alkalinity" sheetId="28" r:id="rId14"/>
    <sheet name="Set 3 Salt" sheetId="15" r:id="rId15"/>
    <sheet name="TOC 1&amp;2" sheetId="10" r:id="rId16"/>
    <sheet name="TOC 3" sheetId="19" r:id="rId17"/>
    <sheet name="TOC A&amp;B&amp;6" sheetId="25" r:id="rId18"/>
    <sheet name="TOC 7,8,9,10" sheetId="27" r:id="rId19"/>
    <sheet name="Group Fluoride" sheetId="7" r:id="rId20"/>
    <sheet name="pH,Flow,S.Vol." sheetId="8" r:id="rId21"/>
    <sheet name="Column Summary" sheetId="29" r:id="rId22"/>
    <sheet name="Set 1 Pattern Check" sheetId="18" r:id="rId23"/>
    <sheet name="Set 2 Pattern Check" sheetId="16" r:id="rId24"/>
    <sheet name="Set 3 Pattern Check" sheetId="17" r:id="rId25"/>
    <sheet name="Mass Balance" sheetId="12" r:id="rId26"/>
  </sheets>
  <externalReferences>
    <externalReference r:id="rId27"/>
    <externalReference r:id="rId2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26" i="8" l="1"/>
  <c r="N125" i="8"/>
  <c r="N117" i="8"/>
  <c r="IJ96" i="8"/>
  <c r="IL96" i="8"/>
  <c r="IK96" i="8"/>
  <c r="FY97" i="8"/>
  <c r="DP90" i="8"/>
  <c r="DU90" i="8"/>
  <c r="DY90" i="8"/>
  <c r="EC90" i="8"/>
  <c r="EG90" i="8"/>
  <c r="EK90" i="8"/>
  <c r="EX90" i="8"/>
  <c r="FC90" i="8"/>
  <c r="FB90" i="8"/>
  <c r="FD90" i="8"/>
  <c r="IL97" i="8"/>
  <c r="IK97" i="8"/>
  <c r="IJ97" i="8"/>
  <c r="IF97" i="8"/>
  <c r="IB97" i="8"/>
  <c r="HX97" i="8"/>
  <c r="HT97" i="8"/>
  <c r="HP97" i="8"/>
  <c r="HO97" i="8"/>
  <c r="HK97" i="8"/>
  <c r="HG97" i="8"/>
  <c r="HC97" i="8"/>
  <c r="GY97" i="8"/>
  <c r="GU97" i="8"/>
  <c r="GT97" i="8"/>
  <c r="GP97" i="8"/>
  <c r="GL97" i="8"/>
  <c r="GH97" i="8"/>
  <c r="GD97" i="8"/>
  <c r="FZ97" i="8"/>
  <c r="FU97" i="8"/>
  <c r="FQ97" i="8"/>
  <c r="FM97" i="8"/>
  <c r="FI97" i="8"/>
  <c r="FE97" i="8"/>
  <c r="DT90" i="8"/>
  <c r="DL90" i="8"/>
  <c r="DH90" i="8"/>
  <c r="DD90" i="8"/>
  <c r="CZ90" i="8"/>
  <c r="BQ81" i="8"/>
  <c r="CG82" i="8"/>
  <c r="CY81" i="8"/>
  <c r="CX81" i="8"/>
  <c r="CT81" i="8"/>
  <c r="CP81" i="8"/>
  <c r="CL81" i="8"/>
  <c r="CH81" i="8"/>
  <c r="CC81" i="8"/>
  <c r="BY81" i="8"/>
  <c r="BU81" i="8"/>
  <c r="AT74" i="8"/>
  <c r="BB73" i="8"/>
  <c r="BB74" i="8"/>
  <c r="AX74" i="8"/>
  <c r="BF74" i="8"/>
  <c r="BN76" i="8"/>
  <c r="BJ80" i="8"/>
  <c r="BP81" i="8"/>
  <c r="BO81" i="8"/>
  <c r="AS64" i="8"/>
  <c r="AO80" i="8"/>
  <c r="AO79" i="8"/>
  <c r="AK64" i="8"/>
  <c r="AG64" i="8"/>
  <c r="AC64" i="8"/>
  <c r="Y64" i="8"/>
  <c r="Y63" i="8"/>
  <c r="X63" i="8"/>
  <c r="W63" i="8"/>
  <c r="S64" i="8"/>
  <c r="S63" i="8"/>
  <c r="O64" i="8"/>
  <c r="K64" i="8"/>
  <c r="G64" i="8"/>
  <c r="C63" i="8"/>
  <c r="C62" i="8"/>
  <c r="L64" i="8" l="1"/>
  <c r="O63" i="8"/>
  <c r="K63" i="8"/>
  <c r="G63" i="8"/>
  <c r="AK63" i="8"/>
  <c r="AG63" i="8"/>
  <c r="AC63" i="8"/>
  <c r="BS35" i="24"/>
  <c r="BT35" i="24"/>
  <c r="BT32" i="24"/>
  <c r="BU16" i="25"/>
  <c r="CD16" i="25"/>
  <c r="CA16" i="25"/>
  <c r="BJ20" i="19"/>
  <c r="AA38" i="29" l="1"/>
  <c r="AA39" i="29"/>
  <c r="AA40" i="29"/>
  <c r="AA37" i="29"/>
  <c r="AA36" i="29"/>
  <c r="AA35" i="29"/>
  <c r="AA34" i="29"/>
  <c r="AA33" i="29"/>
  <c r="AA32" i="29"/>
  <c r="AA31" i="29"/>
  <c r="AA24" i="29"/>
  <c r="AA23" i="29"/>
  <c r="AA22" i="29"/>
  <c r="AA21" i="29"/>
  <c r="AA20" i="29"/>
  <c r="AA19" i="29"/>
  <c r="AA18" i="29"/>
  <c r="AA7" i="29"/>
  <c r="AA8" i="29"/>
  <c r="AA9" i="29"/>
  <c r="AA10" i="29"/>
  <c r="AA11" i="29"/>
  <c r="AA12" i="29"/>
  <c r="AA6" i="29"/>
  <c r="W12" i="29"/>
  <c r="V12" i="29"/>
  <c r="U12" i="29"/>
  <c r="T12" i="29"/>
  <c r="S12" i="29"/>
  <c r="P12" i="29"/>
  <c r="BP34" i="24"/>
  <c r="BO34" i="24"/>
  <c r="BL34" i="24"/>
  <c r="BL37" i="24" l="1"/>
  <c r="BL36" i="24"/>
  <c r="BL35" i="24"/>
  <c r="BK35" i="24"/>
  <c r="BN34" i="24"/>
  <c r="BJ34" i="24" s="1"/>
  <c r="BM34" i="24"/>
  <c r="BI34" i="24"/>
  <c r="BK34" i="24" s="1"/>
  <c r="K73" i="29"/>
  <c r="K72" i="29"/>
  <c r="K71" i="29"/>
  <c r="K70" i="29"/>
  <c r="K69" i="29"/>
  <c r="K68" i="29"/>
  <c r="CD15" i="25"/>
  <c r="BR15" i="25"/>
  <c r="BL15" i="25"/>
  <c r="D69" i="29"/>
  <c r="D70" i="29"/>
  <c r="D71" i="29"/>
  <c r="D72" i="29"/>
  <c r="D73" i="29"/>
  <c r="D74" i="29"/>
  <c r="D75" i="29"/>
  <c r="D76" i="29"/>
  <c r="D77" i="29"/>
  <c r="D68" i="29"/>
  <c r="BJ19" i="19"/>
  <c r="V35" i="29" l="1"/>
  <c r="W35" i="29"/>
  <c r="V36" i="29"/>
  <c r="W36" i="29"/>
  <c r="V37" i="29"/>
  <c r="W37" i="29"/>
  <c r="V38" i="29"/>
  <c r="W38" i="29"/>
  <c r="V39" i="29"/>
  <c r="W39" i="29"/>
  <c r="V40" i="29"/>
  <c r="W40" i="29"/>
  <c r="V10" i="29" l="1"/>
  <c r="W10" i="29"/>
  <c r="U10" i="29"/>
  <c r="T10" i="29"/>
  <c r="DP51" i="9"/>
  <c r="DV18" i="9"/>
  <c r="DV19" i="9"/>
  <c r="DV20" i="9"/>
  <c r="DV21" i="9"/>
  <c r="DV22" i="9"/>
  <c r="DV25" i="9"/>
  <c r="DV27" i="9"/>
  <c r="DV29" i="9"/>
  <c r="DV30" i="9"/>
  <c r="DV31" i="9"/>
  <c r="DV32" i="9"/>
  <c r="DV33" i="9"/>
  <c r="DV34" i="9"/>
  <c r="DV17" i="9"/>
  <c r="EA37" i="9"/>
  <c r="EA24" i="9"/>
  <c r="EA10" i="9"/>
  <c r="DZ5" i="9"/>
  <c r="DZ6" i="9"/>
  <c r="DZ7" i="9"/>
  <c r="DZ8" i="9"/>
  <c r="DZ9" i="9"/>
  <c r="DZ10" i="9"/>
  <c r="DZ11" i="9"/>
  <c r="DZ12" i="9"/>
  <c r="DZ13" i="9"/>
  <c r="DZ14" i="9"/>
  <c r="DZ15" i="9"/>
  <c r="DZ16" i="9"/>
  <c r="DZ17" i="9"/>
  <c r="DZ18" i="9"/>
  <c r="DZ19" i="9"/>
  <c r="DZ20" i="9"/>
  <c r="DZ21" i="9"/>
  <c r="DZ22" i="9"/>
  <c r="DZ23" i="9"/>
  <c r="DZ24" i="9"/>
  <c r="DZ25" i="9"/>
  <c r="DZ26" i="9"/>
  <c r="DZ27" i="9"/>
  <c r="DZ28" i="9"/>
  <c r="DZ29" i="9"/>
  <c r="DZ30" i="9"/>
  <c r="DZ31" i="9"/>
  <c r="DZ32" i="9"/>
  <c r="DZ34" i="9"/>
  <c r="DZ35" i="9"/>
  <c r="DZ36" i="9"/>
  <c r="DZ37" i="9"/>
  <c r="DZ38" i="9"/>
  <c r="DZ39" i="9"/>
  <c r="DZ40" i="9"/>
  <c r="DZ41" i="9"/>
  <c r="DZ42" i="9"/>
  <c r="DZ44" i="9"/>
  <c r="DZ45" i="9"/>
  <c r="DZ46" i="9"/>
  <c r="DZ47" i="9"/>
  <c r="DZ48" i="9"/>
  <c r="DZ3" i="9"/>
  <c r="DW5" i="9"/>
  <c r="DX5" i="9"/>
  <c r="DY5" i="9"/>
  <c r="DW6" i="9"/>
  <c r="DX6" i="9"/>
  <c r="DY6" i="9"/>
  <c r="DW7" i="9"/>
  <c r="DX7" i="9"/>
  <c r="DY7" i="9"/>
  <c r="DW8" i="9"/>
  <c r="DX8" i="9"/>
  <c r="DY8" i="9"/>
  <c r="DW9" i="9"/>
  <c r="DX9" i="9"/>
  <c r="DY9" i="9"/>
  <c r="DW10" i="9"/>
  <c r="DX10" i="9"/>
  <c r="DY10" i="9"/>
  <c r="DW11" i="9"/>
  <c r="DX11" i="9"/>
  <c r="DY11" i="9"/>
  <c r="DW12" i="9"/>
  <c r="DX12" i="9"/>
  <c r="DY12" i="9"/>
  <c r="DW13" i="9"/>
  <c r="DX13" i="9"/>
  <c r="DY13" i="9"/>
  <c r="DW14" i="9"/>
  <c r="DX14" i="9"/>
  <c r="DY14" i="9"/>
  <c r="DW15" i="9"/>
  <c r="DX15" i="9"/>
  <c r="DY15" i="9"/>
  <c r="DW16" i="9"/>
  <c r="DX16" i="9"/>
  <c r="DY16" i="9"/>
  <c r="DW17" i="9"/>
  <c r="DX17" i="9"/>
  <c r="DY17" i="9"/>
  <c r="DW18" i="9"/>
  <c r="DX18" i="9"/>
  <c r="DY18" i="9"/>
  <c r="DW19" i="9"/>
  <c r="DX19" i="9"/>
  <c r="DY19" i="9"/>
  <c r="DW20" i="9"/>
  <c r="DX20" i="9"/>
  <c r="DY20" i="9"/>
  <c r="DW21" i="9"/>
  <c r="DX21" i="9"/>
  <c r="DY21" i="9"/>
  <c r="DW22" i="9"/>
  <c r="DX22" i="9"/>
  <c r="DY22" i="9"/>
  <c r="DW23" i="9"/>
  <c r="DX23" i="9"/>
  <c r="DY23" i="9"/>
  <c r="DW24" i="9"/>
  <c r="DX24" i="9"/>
  <c r="DY24" i="9"/>
  <c r="DW25" i="9"/>
  <c r="DX25" i="9"/>
  <c r="DY25" i="9"/>
  <c r="DW26" i="9"/>
  <c r="DX26" i="9"/>
  <c r="DY26" i="9"/>
  <c r="DW27" i="9"/>
  <c r="DX27" i="9"/>
  <c r="DY27" i="9"/>
  <c r="DW28" i="9"/>
  <c r="DX28" i="9"/>
  <c r="DY28" i="9"/>
  <c r="DW29" i="9"/>
  <c r="DX29" i="9"/>
  <c r="DY29" i="9"/>
  <c r="DW30" i="9"/>
  <c r="DX30" i="9"/>
  <c r="DY30" i="9"/>
  <c r="DW31" i="9"/>
  <c r="DX31" i="9"/>
  <c r="DY31" i="9"/>
  <c r="DW32" i="9"/>
  <c r="DX32" i="9"/>
  <c r="DY32" i="9"/>
  <c r="DW34" i="9"/>
  <c r="DX34" i="9"/>
  <c r="DY34" i="9"/>
  <c r="DW35" i="9"/>
  <c r="DX35" i="9"/>
  <c r="DY35" i="9"/>
  <c r="DW36" i="9"/>
  <c r="DX36" i="9"/>
  <c r="DY36" i="9"/>
  <c r="DW37" i="9"/>
  <c r="DX37" i="9"/>
  <c r="DY37" i="9"/>
  <c r="DW38" i="9"/>
  <c r="DX38" i="9"/>
  <c r="DY38" i="9"/>
  <c r="DW39" i="9"/>
  <c r="DX39" i="9"/>
  <c r="DY39" i="9"/>
  <c r="DW40" i="9"/>
  <c r="DX40" i="9"/>
  <c r="DY40" i="9"/>
  <c r="DW41" i="9"/>
  <c r="DX41" i="9"/>
  <c r="DY41" i="9"/>
  <c r="DW42" i="9"/>
  <c r="DX42" i="9"/>
  <c r="DY42" i="9"/>
  <c r="DW44" i="9"/>
  <c r="DX44" i="9"/>
  <c r="DY44" i="9"/>
  <c r="DW45" i="9"/>
  <c r="DX45" i="9"/>
  <c r="DY45" i="9"/>
  <c r="DW46" i="9"/>
  <c r="DX46" i="9"/>
  <c r="DY46" i="9"/>
  <c r="DW47" i="9"/>
  <c r="DX47" i="9"/>
  <c r="DY47" i="9"/>
  <c r="DW48" i="9"/>
  <c r="DX48" i="9"/>
  <c r="DY48" i="9"/>
  <c r="DX3" i="9"/>
  <c r="DW3" i="9"/>
  <c r="DY3" i="9"/>
  <c r="P38" i="29"/>
  <c r="P39" i="29"/>
  <c r="P40" i="29"/>
  <c r="S38" i="29"/>
  <c r="S39" i="29"/>
  <c r="S40" i="29"/>
  <c r="BV73" i="9"/>
  <c r="BW73" i="9"/>
  <c r="BV74" i="9"/>
  <c r="BW74" i="9"/>
  <c r="BV75" i="9"/>
  <c r="BW75" i="9"/>
  <c r="BV76" i="9"/>
  <c r="BW76" i="9"/>
  <c r="BV77" i="9"/>
  <c r="BW77" i="9"/>
  <c r="BV78" i="9"/>
  <c r="BW78" i="9"/>
  <c r="BV79" i="9"/>
  <c r="BW79" i="9"/>
  <c r="BV80" i="9"/>
  <c r="BW80" i="9"/>
  <c r="BV81" i="9"/>
  <c r="BW81" i="9"/>
  <c r="BV82" i="9"/>
  <c r="BW82" i="9"/>
  <c r="BV83" i="9"/>
  <c r="BW83" i="9"/>
  <c r="BV84" i="9"/>
  <c r="BW84" i="9"/>
  <c r="S37" i="29"/>
  <c r="S36" i="29"/>
  <c r="S35" i="29"/>
  <c r="S34" i="29"/>
  <c r="S33" i="29"/>
  <c r="S32" i="29"/>
  <c r="S31" i="29"/>
  <c r="P37" i="29"/>
  <c r="P36" i="29"/>
  <c r="P35" i="29"/>
  <c r="P34" i="29"/>
  <c r="P33" i="29"/>
  <c r="P32" i="29"/>
  <c r="P31" i="29"/>
  <c r="S24" i="29"/>
  <c r="S23" i="29"/>
  <c r="S22" i="29"/>
  <c r="S21" i="29"/>
  <c r="S20" i="29"/>
  <c r="S19" i="29"/>
  <c r="S18" i="29"/>
  <c r="P24" i="29"/>
  <c r="P23" i="29"/>
  <c r="P22" i="29"/>
  <c r="P21" i="29"/>
  <c r="P20" i="29"/>
  <c r="P19" i="29"/>
  <c r="P18" i="29"/>
  <c r="S11" i="29"/>
  <c r="S10" i="29"/>
  <c r="S9" i="29"/>
  <c r="S8" i="29"/>
  <c r="S7" i="29"/>
  <c r="S6" i="29"/>
  <c r="P7" i="29"/>
  <c r="P8" i="29"/>
  <c r="P9" i="29"/>
  <c r="P10" i="29"/>
  <c r="P11" i="29"/>
  <c r="P6" i="29"/>
  <c r="W34" i="29"/>
  <c r="V34" i="29"/>
  <c r="W33" i="29"/>
  <c r="V33" i="29"/>
  <c r="W32" i="29"/>
  <c r="V32" i="29"/>
  <c r="W31" i="29"/>
  <c r="V31" i="29"/>
  <c r="W21" i="29"/>
  <c r="V21" i="29"/>
  <c r="W20" i="29"/>
  <c r="V20" i="29"/>
  <c r="W19" i="29"/>
  <c r="V19" i="29"/>
  <c r="W18" i="29"/>
  <c r="V18" i="29"/>
  <c r="V7" i="29"/>
  <c r="W7" i="29"/>
  <c r="V8" i="29"/>
  <c r="W8" i="29"/>
  <c r="V9" i="29"/>
  <c r="W9" i="29"/>
  <c r="V11" i="29"/>
  <c r="W11" i="29"/>
  <c r="W6" i="29"/>
  <c r="V6" i="29"/>
  <c r="BT16" i="28"/>
  <c r="BS16" i="28"/>
  <c r="BT15" i="28"/>
  <c r="BS15" i="28"/>
  <c r="BT14" i="28"/>
  <c r="BS14" i="28"/>
  <c r="BQ15" i="28"/>
  <c r="BR15" i="28"/>
  <c r="BQ16" i="28"/>
  <c r="BR16" i="28"/>
  <c r="BR14" i="28"/>
  <c r="BQ14" i="28"/>
  <c r="BP14" i="28"/>
  <c r="BO14" i="28"/>
  <c r="BN14" i="28"/>
  <c r="BN15" i="28"/>
  <c r="BN16" i="28"/>
  <c r="BM16" i="28"/>
  <c r="BM15" i="28"/>
  <c r="BM14" i="28"/>
  <c r="CG4" i="28"/>
  <c r="CH4" i="28"/>
  <c r="CG5" i="28"/>
  <c r="CH5" i="28"/>
  <c r="CG6" i="28"/>
  <c r="CH6" i="28"/>
  <c r="CC6" i="28" s="1"/>
  <c r="CE6" i="28" s="1"/>
  <c r="CG7" i="28"/>
  <c r="CH7" i="28"/>
  <c r="CD7" i="28" s="1"/>
  <c r="CF7" i="28" s="1"/>
  <c r="CG8" i="28"/>
  <c r="CH8" i="28"/>
  <c r="CG9" i="28"/>
  <c r="CH9" i="28"/>
  <c r="CH3" i="28"/>
  <c r="CG3" i="28"/>
  <c r="CA4" i="28"/>
  <c r="CB4" i="28"/>
  <c r="CA5" i="28"/>
  <c r="CB5" i="28"/>
  <c r="CA6" i="28"/>
  <c r="CB6" i="28"/>
  <c r="CA7" i="28"/>
  <c r="BW7" i="28" s="1"/>
  <c r="BY7" i="28" s="1"/>
  <c r="CB7" i="28"/>
  <c r="BX7" i="28" s="1"/>
  <c r="BZ7" i="28" s="1"/>
  <c r="CA8" i="28"/>
  <c r="CB8" i="28"/>
  <c r="CA9" i="28"/>
  <c r="BW9" i="28" s="1"/>
  <c r="BY9" i="28" s="1"/>
  <c r="CB9" i="28"/>
  <c r="BU4" i="28"/>
  <c r="BV4" i="28"/>
  <c r="BU5" i="28"/>
  <c r="BV5" i="28"/>
  <c r="BU6" i="28"/>
  <c r="BV6" i="28"/>
  <c r="BU7" i="28"/>
  <c r="BQ7" i="28" s="1"/>
  <c r="BS7" i="28" s="1"/>
  <c r="BV7" i="28"/>
  <c r="BR7" i="28" s="1"/>
  <c r="BT7" i="28" s="1"/>
  <c r="BU8" i="28"/>
  <c r="BQ8" i="28" s="1"/>
  <c r="BS8" i="28" s="1"/>
  <c r="BV8" i="28"/>
  <c r="BU9" i="28"/>
  <c r="BV9" i="28"/>
  <c r="CB3" i="28"/>
  <c r="BX3" i="28" s="1"/>
  <c r="BZ3" i="28" s="1"/>
  <c r="CA3" i="28"/>
  <c r="BV3" i="28"/>
  <c r="BR3" i="28" s="1"/>
  <c r="BT3" i="28" s="1"/>
  <c r="BU3" i="28"/>
  <c r="CC9" i="28"/>
  <c r="CE9" i="28" s="1"/>
  <c r="CD9" i="28"/>
  <c r="CF9" i="28" s="1"/>
  <c r="CC8" i="28"/>
  <c r="CE8" i="28" s="1"/>
  <c r="CD8" i="28"/>
  <c r="CF8" i="28" s="1"/>
  <c r="CD6" i="28"/>
  <c r="CF6" i="28" s="1"/>
  <c r="CC5" i="28"/>
  <c r="CE5" i="28" s="1"/>
  <c r="CD5" i="28"/>
  <c r="CF5" i="28" s="1"/>
  <c r="CC4" i="28"/>
  <c r="CE4" i="28" s="1"/>
  <c r="CD4" i="28"/>
  <c r="CF4" i="28" s="1"/>
  <c r="CD3" i="28"/>
  <c r="CF3" i="28" s="1"/>
  <c r="CC3" i="28"/>
  <c r="CE3" i="28" s="1"/>
  <c r="BX9" i="28"/>
  <c r="BZ9" i="28" s="1"/>
  <c r="BX8" i="28"/>
  <c r="BZ8" i="28" s="1"/>
  <c r="BW8" i="28"/>
  <c r="BY8" i="28" s="1"/>
  <c r="BX6" i="28"/>
  <c r="BZ6" i="28" s="1"/>
  <c r="BW6" i="28"/>
  <c r="BY6" i="28" s="1"/>
  <c r="BX5" i="28"/>
  <c r="BZ5" i="28" s="1"/>
  <c r="BW5" i="28"/>
  <c r="BY5" i="28" s="1"/>
  <c r="BY4" i="28"/>
  <c r="BX4" i="28"/>
  <c r="BZ4" i="28" s="1"/>
  <c r="BW4" i="28"/>
  <c r="BR9" i="28"/>
  <c r="BT9" i="28" s="1"/>
  <c r="BQ9" i="28"/>
  <c r="BS9" i="28" s="1"/>
  <c r="BR8" i="28"/>
  <c r="BT8" i="28" s="1"/>
  <c r="BR6" i="28"/>
  <c r="BT6" i="28" s="1"/>
  <c r="BQ6" i="28"/>
  <c r="BS6" i="28" s="1"/>
  <c r="BR5" i="28"/>
  <c r="BT5" i="28" s="1"/>
  <c r="BQ5" i="28"/>
  <c r="BS5" i="28" s="1"/>
  <c r="BR4" i="28"/>
  <c r="BT4" i="28" s="1"/>
  <c r="BQ4" i="28"/>
  <c r="BS4" i="28" s="1"/>
  <c r="BQ3" i="28"/>
  <c r="BS3" i="28" s="1"/>
  <c r="BO4" i="28"/>
  <c r="BK4" i="28" s="1"/>
  <c r="BM4" i="28" s="1"/>
  <c r="BP4" i="28"/>
  <c r="BL4" i="28" s="1"/>
  <c r="BN4" i="28" s="1"/>
  <c r="BK5" i="28"/>
  <c r="BM5" i="28" s="1"/>
  <c r="BL5" i="28"/>
  <c r="BN5" i="28" s="1"/>
  <c r="BO5" i="28"/>
  <c r="BP5" i="28"/>
  <c r="BK6" i="28"/>
  <c r="BL6" i="28"/>
  <c r="BM6" i="28"/>
  <c r="BN6" i="28"/>
  <c r="BO6" i="28"/>
  <c r="BP6" i="28"/>
  <c r="BO7" i="28"/>
  <c r="BK7" i="28" s="1"/>
  <c r="BM7" i="28" s="1"/>
  <c r="BP7" i="28"/>
  <c r="BL7" i="28" s="1"/>
  <c r="BN7" i="28" s="1"/>
  <c r="BO8" i="28"/>
  <c r="BK8" i="28" s="1"/>
  <c r="BM8" i="28" s="1"/>
  <c r="BP8" i="28"/>
  <c r="BL8" i="28" s="1"/>
  <c r="BN8" i="28" s="1"/>
  <c r="BK9" i="28"/>
  <c r="BM9" i="28" s="1"/>
  <c r="BL9" i="28"/>
  <c r="BN9" i="28" s="1"/>
  <c r="BO9" i="28"/>
  <c r="BP9" i="28"/>
  <c r="BP3" i="28"/>
  <c r="BL3" i="28" s="1"/>
  <c r="BN3" i="28" s="1"/>
  <c r="BO3" i="28"/>
  <c r="CG4" i="24"/>
  <c r="CA4" i="24"/>
  <c r="BP4" i="24"/>
  <c r="BR4" i="24" s="1"/>
  <c r="BN23" i="24" s="1"/>
  <c r="BR23" i="24" s="1"/>
  <c r="BT23" i="24" s="1"/>
  <c r="BO4" i="24"/>
  <c r="CQ4" i="24"/>
  <c r="CQ3" i="24"/>
  <c r="CM4" i="24"/>
  <c r="CU4" i="24"/>
  <c r="CV4" i="24"/>
  <c r="CW4" i="24" s="1"/>
  <c r="CT5" i="24"/>
  <c r="CU5" i="24"/>
  <c r="CV5" i="24"/>
  <c r="CW5" i="24"/>
  <c r="CT6" i="24"/>
  <c r="CU6" i="24"/>
  <c r="CV6" i="24"/>
  <c r="CW6" i="24"/>
  <c r="CT7" i="24"/>
  <c r="CU7" i="24"/>
  <c r="CV7" i="24"/>
  <c r="CW7" i="24"/>
  <c r="CT8" i="24"/>
  <c r="CU8" i="24"/>
  <c r="CV8" i="24"/>
  <c r="CW8" i="24"/>
  <c r="CT9" i="24"/>
  <c r="CU9" i="24"/>
  <c r="CV9" i="24"/>
  <c r="CW9" i="24"/>
  <c r="CT10" i="24"/>
  <c r="CU10" i="24"/>
  <c r="CV10" i="24"/>
  <c r="CW10" i="24"/>
  <c r="CT11" i="24"/>
  <c r="CU11" i="24"/>
  <c r="CV11" i="24"/>
  <c r="CW11" i="24"/>
  <c r="CT12" i="24"/>
  <c r="CU12" i="24"/>
  <c r="CV12" i="24"/>
  <c r="CW12" i="24"/>
  <c r="CT13" i="24"/>
  <c r="CU13" i="24"/>
  <c r="CV13" i="24"/>
  <c r="CW13" i="24"/>
  <c r="CW3" i="24"/>
  <c r="CV3" i="24"/>
  <c r="CU3" i="24"/>
  <c r="CT3" i="24"/>
  <c r="BS32" i="24"/>
  <c r="BT31" i="24"/>
  <c r="BS31" i="24"/>
  <c r="BT30" i="24"/>
  <c r="BS30" i="24"/>
  <c r="BT24" i="24"/>
  <c r="BT25" i="24"/>
  <c r="BS24" i="24"/>
  <c r="BR32" i="24"/>
  <c r="BQ32" i="24"/>
  <c r="BR31" i="24"/>
  <c r="BQ31" i="24"/>
  <c r="BR30" i="24"/>
  <c r="BQ30" i="24"/>
  <c r="BR25" i="24"/>
  <c r="BR24" i="24"/>
  <c r="BQ24" i="24"/>
  <c r="BP32" i="24"/>
  <c r="BO32" i="24"/>
  <c r="BP31" i="24"/>
  <c r="BO31" i="24"/>
  <c r="BP30" i="24"/>
  <c r="BP23" i="24"/>
  <c r="BN30" i="24"/>
  <c r="BN31" i="24"/>
  <c r="BN32" i="24"/>
  <c r="BN24" i="24"/>
  <c r="BN25" i="24"/>
  <c r="BO23" i="24"/>
  <c r="BO30" i="24"/>
  <c r="BM32" i="24"/>
  <c r="BM31" i="24"/>
  <c r="BM30" i="24"/>
  <c r="BM24" i="24"/>
  <c r="BR18" i="24"/>
  <c r="BP18" i="24"/>
  <c r="BO18" i="24"/>
  <c r="BN18" i="24"/>
  <c r="CN13" i="24"/>
  <c r="CP13" i="24" s="1"/>
  <c r="CM13" i="24"/>
  <c r="CO13" i="24" s="1"/>
  <c r="CN12" i="24"/>
  <c r="CP12" i="24" s="1"/>
  <c r="CM12" i="24"/>
  <c r="CO12" i="24" s="1"/>
  <c r="CN11" i="24"/>
  <c r="CP11" i="24" s="1"/>
  <c r="CM11" i="24"/>
  <c r="CO11" i="24" s="1"/>
  <c r="CN10" i="24"/>
  <c r="CP10" i="24" s="1"/>
  <c r="CM10" i="24"/>
  <c r="CO10" i="24" s="1"/>
  <c r="CN9" i="24"/>
  <c r="CP9" i="24" s="1"/>
  <c r="CM9" i="24"/>
  <c r="CO9" i="24" s="1"/>
  <c r="CN8" i="24"/>
  <c r="CP8" i="24" s="1"/>
  <c r="CM8" i="24"/>
  <c r="CO8" i="24" s="1"/>
  <c r="CN7" i="24"/>
  <c r="CP7" i="24" s="1"/>
  <c r="CM7" i="24"/>
  <c r="CO7" i="24" s="1"/>
  <c r="CN6" i="24"/>
  <c r="CP6" i="24" s="1"/>
  <c r="CM6" i="24"/>
  <c r="CO6" i="24" s="1"/>
  <c r="CN5" i="24"/>
  <c r="CP5" i="24" s="1"/>
  <c r="CM5" i="24"/>
  <c r="CO5" i="24" s="1"/>
  <c r="CN4" i="24"/>
  <c r="CP4" i="24" s="1"/>
  <c r="CO4" i="24"/>
  <c r="CN3" i="24"/>
  <c r="CP3" i="24" s="1"/>
  <c r="CM3" i="24"/>
  <c r="CO3" i="24" s="1"/>
  <c r="CR4" i="24"/>
  <c r="CQ5" i="24"/>
  <c r="CR5" i="24"/>
  <c r="CQ6" i="24"/>
  <c r="CR6" i="24"/>
  <c r="CQ7" i="24"/>
  <c r="CR7" i="24"/>
  <c r="CQ8" i="24"/>
  <c r="CR8" i="24"/>
  <c r="CQ9" i="24"/>
  <c r="CR9" i="24"/>
  <c r="CQ10" i="24"/>
  <c r="CR10" i="24"/>
  <c r="CQ11" i="24"/>
  <c r="CR11" i="24"/>
  <c r="CQ12" i="24"/>
  <c r="CR12" i="24"/>
  <c r="CQ13" i="24"/>
  <c r="CR13" i="24"/>
  <c r="CK4" i="24"/>
  <c r="CL4" i="24"/>
  <c r="CK5" i="24"/>
  <c r="CL5" i="24"/>
  <c r="CK6" i="24"/>
  <c r="CL6" i="24"/>
  <c r="CK7" i="24"/>
  <c r="CL7" i="24"/>
  <c r="CH7" i="24" s="1"/>
  <c r="CJ7" i="24" s="1"/>
  <c r="CK8" i="24"/>
  <c r="CL8" i="24"/>
  <c r="CK9" i="24"/>
  <c r="CL9" i="24"/>
  <c r="CK10" i="24"/>
  <c r="CL10" i="24"/>
  <c r="CK11" i="24"/>
  <c r="CL11" i="24"/>
  <c r="CH11" i="24" s="1"/>
  <c r="CJ11" i="24" s="1"/>
  <c r="CK12" i="24"/>
  <c r="CG12" i="24" s="1"/>
  <c r="CI12" i="24" s="1"/>
  <c r="CL12" i="24"/>
  <c r="CH12" i="24" s="1"/>
  <c r="CJ12" i="24" s="1"/>
  <c r="CK13" i="24"/>
  <c r="CL13" i="24"/>
  <c r="CE4" i="24"/>
  <c r="CF4" i="24"/>
  <c r="CE5" i="24"/>
  <c r="CF5" i="24"/>
  <c r="CE6" i="24"/>
  <c r="CF6" i="24"/>
  <c r="CB6" i="24" s="1"/>
  <c r="CD6" i="24" s="1"/>
  <c r="CE7" i="24"/>
  <c r="CF7" i="24"/>
  <c r="CA7" i="24" s="1"/>
  <c r="CC7" i="24" s="1"/>
  <c r="CE8" i="24"/>
  <c r="CF8" i="24"/>
  <c r="CE9" i="24"/>
  <c r="CF9" i="24"/>
  <c r="CE10" i="24"/>
  <c r="CF10" i="24"/>
  <c r="CB10" i="24" s="1"/>
  <c r="CD10" i="24" s="1"/>
  <c r="CE11" i="24"/>
  <c r="CF11" i="24"/>
  <c r="CA11" i="24" s="1"/>
  <c r="CC11" i="24" s="1"/>
  <c r="CE12" i="24"/>
  <c r="CF12" i="24"/>
  <c r="CB12" i="24" s="1"/>
  <c r="CD12" i="24" s="1"/>
  <c r="CE13" i="24"/>
  <c r="CF13" i="24"/>
  <c r="BY4" i="24"/>
  <c r="BZ4" i="24"/>
  <c r="BY5" i="24"/>
  <c r="BZ5" i="24"/>
  <c r="BY6" i="24"/>
  <c r="BZ6" i="24"/>
  <c r="BY7" i="24"/>
  <c r="BU7" i="24" s="1"/>
  <c r="BW7" i="24" s="1"/>
  <c r="BZ7" i="24"/>
  <c r="BV7" i="24" s="1"/>
  <c r="BX7" i="24" s="1"/>
  <c r="BY8" i="24"/>
  <c r="BZ8" i="24"/>
  <c r="BY9" i="24"/>
  <c r="BZ9" i="24"/>
  <c r="BY10" i="24"/>
  <c r="BZ10" i="24"/>
  <c r="BY11" i="24"/>
  <c r="BU11" i="24" s="1"/>
  <c r="BW11" i="24" s="1"/>
  <c r="BZ11" i="24"/>
  <c r="BV11" i="24" s="1"/>
  <c r="BX11" i="24" s="1"/>
  <c r="BY12" i="24"/>
  <c r="BZ12" i="24"/>
  <c r="BY13" i="24"/>
  <c r="BZ13" i="24"/>
  <c r="BS4" i="24"/>
  <c r="BT4" i="24"/>
  <c r="BS5" i="24"/>
  <c r="BT5" i="24"/>
  <c r="BS6" i="24"/>
  <c r="BT6" i="24"/>
  <c r="BP6" i="24" s="1"/>
  <c r="BR6" i="24" s="1"/>
  <c r="BS7" i="24"/>
  <c r="BO7" i="24" s="1"/>
  <c r="BQ7" i="24" s="1"/>
  <c r="BT7" i="24"/>
  <c r="BP7" i="24" s="1"/>
  <c r="BR7" i="24" s="1"/>
  <c r="BS8" i="24"/>
  <c r="BT8" i="24"/>
  <c r="BS9" i="24"/>
  <c r="BT9" i="24"/>
  <c r="BS10" i="24"/>
  <c r="BT10" i="24"/>
  <c r="BP10" i="24" s="1"/>
  <c r="BR10" i="24" s="1"/>
  <c r="BS11" i="24"/>
  <c r="BO11" i="24" s="1"/>
  <c r="BQ11" i="24" s="1"/>
  <c r="BT11" i="24"/>
  <c r="BP11" i="24" s="1"/>
  <c r="BR11" i="24" s="1"/>
  <c r="BS12" i="24"/>
  <c r="BT12" i="24"/>
  <c r="BP12" i="24" s="1"/>
  <c r="BR12" i="24" s="1"/>
  <c r="BS13" i="24"/>
  <c r="BT13" i="24"/>
  <c r="CH13" i="24"/>
  <c r="CJ13" i="24" s="1"/>
  <c r="CG13" i="24"/>
  <c r="CI13" i="24" s="1"/>
  <c r="CH10" i="24"/>
  <c r="CJ10" i="24" s="1"/>
  <c r="CG10" i="24"/>
  <c r="CI10" i="24" s="1"/>
  <c r="CH9" i="24"/>
  <c r="CJ9" i="24" s="1"/>
  <c r="CG9" i="24"/>
  <c r="CI9" i="24" s="1"/>
  <c r="CH8" i="24"/>
  <c r="CJ8" i="24" s="1"/>
  <c r="CG8" i="24"/>
  <c r="CI8" i="24" s="1"/>
  <c r="CH6" i="24"/>
  <c r="CJ6" i="24" s="1"/>
  <c r="CG6" i="24"/>
  <c r="CI6" i="24" s="1"/>
  <c r="CH5" i="24"/>
  <c r="CJ5" i="24" s="1"/>
  <c r="CG5" i="24"/>
  <c r="CI5" i="24" s="1"/>
  <c r="CH4" i="24"/>
  <c r="CJ4" i="24" s="1"/>
  <c r="CI4" i="24"/>
  <c r="BM18" i="24" s="1"/>
  <c r="BQ18" i="24" s="1"/>
  <c r="CH3" i="24"/>
  <c r="CJ3" i="24" s="1"/>
  <c r="CG3" i="24"/>
  <c r="CI3" i="24" s="1"/>
  <c r="CB13" i="24"/>
  <c r="CD13" i="24" s="1"/>
  <c r="CA13" i="24"/>
  <c r="CC13" i="24" s="1"/>
  <c r="CA12" i="24"/>
  <c r="CC12" i="24" s="1"/>
  <c r="CB9" i="24"/>
  <c r="CD9" i="24" s="1"/>
  <c r="CA9" i="24"/>
  <c r="CC9" i="24" s="1"/>
  <c r="CB8" i="24"/>
  <c r="CD8" i="24" s="1"/>
  <c r="CA8" i="24"/>
  <c r="CC8" i="24" s="1"/>
  <c r="CB5" i="24"/>
  <c r="CD5" i="24" s="1"/>
  <c r="CA5" i="24"/>
  <c r="CC5" i="24" s="1"/>
  <c r="CB4" i="24"/>
  <c r="CD4" i="24" s="1"/>
  <c r="CC4" i="24"/>
  <c r="BM25" i="24" s="1"/>
  <c r="BQ25" i="24" s="1"/>
  <c r="BS25" i="24" s="1"/>
  <c r="CB3" i="24"/>
  <c r="CD3" i="24" s="1"/>
  <c r="CA3" i="24"/>
  <c r="CC3" i="24" s="1"/>
  <c r="BV13" i="24"/>
  <c r="BX13" i="24" s="1"/>
  <c r="BU13" i="24"/>
  <c r="BW13" i="24" s="1"/>
  <c r="BV12" i="24"/>
  <c r="BX12" i="24" s="1"/>
  <c r="BU12" i="24"/>
  <c r="BW12" i="24" s="1"/>
  <c r="BV10" i="24"/>
  <c r="BX10" i="24" s="1"/>
  <c r="BU10" i="24"/>
  <c r="BW10" i="24" s="1"/>
  <c r="BV9" i="24"/>
  <c r="BX9" i="24" s="1"/>
  <c r="BU9" i="24"/>
  <c r="BW9" i="24" s="1"/>
  <c r="BV8" i="24"/>
  <c r="BX8" i="24" s="1"/>
  <c r="BU8" i="24"/>
  <c r="BW8" i="24" s="1"/>
  <c r="BV6" i="24"/>
  <c r="BX6" i="24" s="1"/>
  <c r="BU6" i="24"/>
  <c r="BW6" i="24" s="1"/>
  <c r="BV5" i="24"/>
  <c r="BX5" i="24" s="1"/>
  <c r="BU5" i="24"/>
  <c r="BW5" i="24" s="1"/>
  <c r="BV4" i="24"/>
  <c r="BX4" i="24" s="1"/>
  <c r="BU4" i="24"/>
  <c r="BW4" i="24" s="1"/>
  <c r="BV3" i="24"/>
  <c r="BX3" i="24" s="1"/>
  <c r="BU3" i="24"/>
  <c r="BW3" i="24" s="1"/>
  <c r="BP13" i="24"/>
  <c r="BR13" i="24" s="1"/>
  <c r="BO13" i="24"/>
  <c r="BQ13" i="24" s="1"/>
  <c r="BO12" i="24"/>
  <c r="BQ12" i="24" s="1"/>
  <c r="BO10" i="24"/>
  <c r="BQ10" i="24" s="1"/>
  <c r="BP9" i="24"/>
  <c r="BR9" i="24" s="1"/>
  <c r="BO9" i="24"/>
  <c r="BQ9" i="24" s="1"/>
  <c r="BP8" i="24"/>
  <c r="BR8" i="24" s="1"/>
  <c r="BO8" i="24"/>
  <c r="BQ8" i="24" s="1"/>
  <c r="BO6" i="24"/>
  <c r="BQ6" i="24" s="1"/>
  <c r="BP5" i="24"/>
  <c r="BR5" i="24" s="1"/>
  <c r="BO5" i="24"/>
  <c r="BQ5" i="24" s="1"/>
  <c r="BQ4" i="24"/>
  <c r="CT4" i="24" s="1"/>
  <c r="BP3" i="24"/>
  <c r="BR3" i="24" s="1"/>
  <c r="BO3" i="24"/>
  <c r="BQ3" i="24" s="1"/>
  <c r="BK5" i="24"/>
  <c r="BL5" i="24"/>
  <c r="BK6" i="24"/>
  <c r="BL6" i="24"/>
  <c r="BK7" i="24"/>
  <c r="BL7" i="24"/>
  <c r="BK8" i="24"/>
  <c r="BL8" i="24"/>
  <c r="BK9" i="24"/>
  <c r="BL9" i="24"/>
  <c r="BK10" i="24"/>
  <c r="BL10" i="24"/>
  <c r="BK11" i="24"/>
  <c r="BL11" i="24"/>
  <c r="BK12" i="24"/>
  <c r="BL12" i="24"/>
  <c r="BK13" i="24"/>
  <c r="BL13" i="24"/>
  <c r="BI6" i="24"/>
  <c r="BJ6" i="24"/>
  <c r="BI7" i="24"/>
  <c r="BJ7" i="24"/>
  <c r="BI8" i="24"/>
  <c r="BJ8" i="24"/>
  <c r="BI9" i="24"/>
  <c r="BJ9" i="24"/>
  <c r="BI10" i="24"/>
  <c r="BJ10" i="24"/>
  <c r="BI11" i="24"/>
  <c r="BJ11" i="24"/>
  <c r="BI12" i="24"/>
  <c r="BJ12" i="24"/>
  <c r="BI13" i="24"/>
  <c r="BJ13" i="24"/>
  <c r="BJ5" i="24"/>
  <c r="BI5" i="24"/>
  <c r="BK4" i="24"/>
  <c r="BL4" i="24"/>
  <c r="BL3" i="24"/>
  <c r="BK3" i="24"/>
  <c r="BM4" i="24"/>
  <c r="BN4" i="24"/>
  <c r="BM5" i="24"/>
  <c r="BN5" i="24"/>
  <c r="BM6" i="24"/>
  <c r="BN6" i="24"/>
  <c r="BM7" i="24"/>
  <c r="BN7" i="24"/>
  <c r="BM8" i="24"/>
  <c r="BN8" i="24"/>
  <c r="BM9" i="24"/>
  <c r="BN9" i="24"/>
  <c r="BM10" i="24"/>
  <c r="BN10" i="24"/>
  <c r="BM11" i="24"/>
  <c r="BN11" i="24"/>
  <c r="BM12" i="24"/>
  <c r="BN12" i="24"/>
  <c r="BM13" i="24"/>
  <c r="BN13" i="24"/>
  <c r="BI4" i="24"/>
  <c r="BJ4" i="24"/>
  <c r="BJ3" i="24"/>
  <c r="BI3" i="24"/>
  <c r="CR3" i="24"/>
  <c r="CL3" i="24"/>
  <c r="CK3" i="24"/>
  <c r="CF3" i="24"/>
  <c r="CE3" i="24"/>
  <c r="BZ3" i="24"/>
  <c r="BY3" i="24"/>
  <c r="BT3" i="24"/>
  <c r="BS3" i="24"/>
  <c r="BN3" i="24"/>
  <c r="BM3" i="24"/>
  <c r="CK84" i="9"/>
  <c r="CJ84" i="9"/>
  <c r="CK83" i="9"/>
  <c r="CJ83" i="9"/>
  <c r="CK82" i="9"/>
  <c r="CJ82" i="9"/>
  <c r="CK81" i="9"/>
  <c r="CJ81" i="9"/>
  <c r="CI81" i="9"/>
  <c r="CH81" i="9"/>
  <c r="CG81" i="9"/>
  <c r="CG82" i="9"/>
  <c r="CG83" i="9"/>
  <c r="CG84" i="9"/>
  <c r="CF84" i="9"/>
  <c r="CF83" i="9"/>
  <c r="CF82" i="9"/>
  <c r="CF81" i="9"/>
  <c r="CK77" i="9"/>
  <c r="CJ77" i="9"/>
  <c r="CK76" i="9"/>
  <c r="CJ76" i="9"/>
  <c r="CK75" i="9"/>
  <c r="CJ75" i="9"/>
  <c r="CK74" i="9"/>
  <c r="CJ74" i="9"/>
  <c r="CI74" i="9"/>
  <c r="CH74" i="9"/>
  <c r="CG74" i="9"/>
  <c r="CG75" i="9"/>
  <c r="CG76" i="9"/>
  <c r="CG77" i="9"/>
  <c r="CF77" i="9"/>
  <c r="CF76" i="9"/>
  <c r="CF75" i="9"/>
  <c r="CF74" i="9"/>
  <c r="CJ66" i="9"/>
  <c r="CK66" i="9"/>
  <c r="CJ67" i="9"/>
  <c r="CK67" i="9"/>
  <c r="CJ68" i="9"/>
  <c r="CK68" i="9"/>
  <c r="CJ69" i="9"/>
  <c r="CK69" i="9"/>
  <c r="CK65" i="9"/>
  <c r="CJ65" i="9"/>
  <c r="CI65" i="9"/>
  <c r="CH65" i="9"/>
  <c r="CG68" i="9"/>
  <c r="CG67" i="9"/>
  <c r="CG66" i="9"/>
  <c r="CG65" i="9"/>
  <c r="CF68" i="9"/>
  <c r="CF67" i="9"/>
  <c r="CF66" i="9"/>
  <c r="CF65" i="9"/>
  <c r="CK57" i="9"/>
  <c r="CL57" i="9"/>
  <c r="CK58" i="9"/>
  <c r="CL58" i="9"/>
  <c r="CK59" i="9"/>
  <c r="CL59" i="9"/>
  <c r="CK60" i="9"/>
  <c r="CL60" i="9"/>
  <c r="CL56" i="9"/>
  <c r="CK56" i="9"/>
  <c r="DK51" i="9"/>
  <c r="DJ51" i="9"/>
  <c r="DE51" i="9"/>
  <c r="DD51" i="9"/>
  <c r="CY51" i="9"/>
  <c r="CX51" i="9"/>
  <c r="CS51" i="9"/>
  <c r="CR51" i="9"/>
  <c r="CM51" i="9"/>
  <c r="CL51" i="9"/>
  <c r="CG51" i="9"/>
  <c r="CF51" i="9"/>
  <c r="DI32" i="9"/>
  <c r="DH32" i="9"/>
  <c r="DN25" i="9"/>
  <c r="DO25" i="9"/>
  <c r="DO26" i="9"/>
  <c r="DN27" i="9"/>
  <c r="DP27" i="9" s="1"/>
  <c r="DO27" i="9"/>
  <c r="DQ27" i="9" s="1"/>
  <c r="DN29" i="9"/>
  <c r="DO29" i="9"/>
  <c r="DN30" i="9"/>
  <c r="DO30" i="9"/>
  <c r="DN31" i="9"/>
  <c r="DO31" i="9"/>
  <c r="DQ31" i="9" s="1"/>
  <c r="DN32" i="9"/>
  <c r="DO32" i="9"/>
  <c r="DO34" i="9"/>
  <c r="DO23" i="9"/>
  <c r="DN23" i="9"/>
  <c r="DH24" i="9"/>
  <c r="DI24" i="9"/>
  <c r="DH25" i="9"/>
  <c r="DI25" i="9"/>
  <c r="DH26" i="9"/>
  <c r="DI26" i="9"/>
  <c r="DH27" i="9"/>
  <c r="DI27" i="9"/>
  <c r="DH28" i="9"/>
  <c r="DI28" i="9"/>
  <c r="DH29" i="9"/>
  <c r="DI29" i="9"/>
  <c r="DH30" i="9"/>
  <c r="DI30" i="9"/>
  <c r="DH31" i="9"/>
  <c r="DI31" i="9"/>
  <c r="DK31" i="9" s="1"/>
  <c r="DH34" i="9"/>
  <c r="DI34" i="9"/>
  <c r="DI23" i="9"/>
  <c r="DH23" i="9"/>
  <c r="DL23" i="9"/>
  <c r="DS17" i="9"/>
  <c r="DR17" i="9"/>
  <c r="DM3" i="9"/>
  <c r="DL3" i="9"/>
  <c r="DN18" i="9"/>
  <c r="DP18" i="9" s="1"/>
  <c r="DR18" i="9"/>
  <c r="DS18" i="9"/>
  <c r="DO18" i="9" s="1"/>
  <c r="DQ18" i="9" s="1"/>
  <c r="DN19" i="9"/>
  <c r="DO19" i="9"/>
  <c r="DQ19" i="9" s="1"/>
  <c r="DP19" i="9"/>
  <c r="DR19" i="9"/>
  <c r="DS19" i="9"/>
  <c r="DO20" i="9"/>
  <c r="DQ20" i="9" s="1"/>
  <c r="DR20" i="9"/>
  <c r="DN20" i="9" s="1"/>
  <c r="DP20" i="9" s="1"/>
  <c r="DS20" i="9"/>
  <c r="DR21" i="9"/>
  <c r="DN21" i="9" s="1"/>
  <c r="DP21" i="9" s="1"/>
  <c r="DS21" i="9"/>
  <c r="DO21" i="9" s="1"/>
  <c r="DQ21" i="9" s="1"/>
  <c r="DN22" i="9"/>
  <c r="DP22" i="9" s="1"/>
  <c r="DR22" i="9"/>
  <c r="DS22" i="9"/>
  <c r="DO22" i="9" s="1"/>
  <c r="DQ22" i="9" s="1"/>
  <c r="DQ23" i="9"/>
  <c r="DP23" i="9"/>
  <c r="DR23" i="9"/>
  <c r="DS23" i="9"/>
  <c r="DQ51" i="9"/>
  <c r="DR24" i="9"/>
  <c r="DS24" i="9"/>
  <c r="DR25" i="9"/>
  <c r="DP25" i="9" s="1"/>
  <c r="DS25" i="9"/>
  <c r="DQ25" i="9" s="1"/>
  <c r="DS26" i="9"/>
  <c r="DQ26" i="9" s="1"/>
  <c r="DR27" i="9"/>
  <c r="DS27" i="9"/>
  <c r="DR28" i="9"/>
  <c r="DV28" i="9" s="1"/>
  <c r="DS28" i="9"/>
  <c r="DR29" i="9"/>
  <c r="DP29" i="9" s="1"/>
  <c r="DS29" i="9"/>
  <c r="DQ29" i="9" s="1"/>
  <c r="DP30" i="9"/>
  <c r="DR30" i="9"/>
  <c r="DS30" i="9"/>
  <c r="DQ30" i="9" s="1"/>
  <c r="DP31" i="9"/>
  <c r="DR31" i="9"/>
  <c r="DS31" i="9"/>
  <c r="DQ32" i="9"/>
  <c r="DR32" i="9"/>
  <c r="DS32" i="9"/>
  <c r="DS34" i="9"/>
  <c r="DQ34" i="9" s="1"/>
  <c r="DO17" i="9"/>
  <c r="DQ17" i="9" s="1"/>
  <c r="DA47" i="9"/>
  <c r="CV47" i="9" s="1"/>
  <c r="CX47" i="9" s="1"/>
  <c r="DL34" i="9"/>
  <c r="DJ34" i="9" s="1"/>
  <c r="DM34" i="9"/>
  <c r="DK34" i="9" s="1"/>
  <c r="CH4" i="9"/>
  <c r="CD4" i="9" s="1"/>
  <c r="CI4" i="9"/>
  <c r="CE4" i="9" s="1"/>
  <c r="CK4" i="9"/>
  <c r="CM4" i="9" s="1"/>
  <c r="CN4" i="9"/>
  <c r="CO4" i="9"/>
  <c r="CJ4" i="9" s="1"/>
  <c r="CL4" i="9" s="1"/>
  <c r="CP4" i="9"/>
  <c r="CR4" i="9" s="1"/>
  <c r="CQ4" i="9"/>
  <c r="CS4" i="9"/>
  <c r="CT4" i="9"/>
  <c r="CU4" i="9"/>
  <c r="CZ4" i="9"/>
  <c r="DA4" i="9"/>
  <c r="CW4" i="9" s="1"/>
  <c r="CY4" i="9" s="1"/>
  <c r="DF4" i="9"/>
  <c r="DB4" i="9" s="1"/>
  <c r="DD4" i="9" s="1"/>
  <c r="DG4" i="9"/>
  <c r="DC4" i="9" s="1"/>
  <c r="DE4" i="9" s="1"/>
  <c r="DH4" i="9"/>
  <c r="DJ4" i="9" s="1"/>
  <c r="DI4" i="9"/>
  <c r="DK4" i="9" s="1"/>
  <c r="DL4" i="9"/>
  <c r="DM4" i="9"/>
  <c r="CD5" i="9"/>
  <c r="CF5" i="9" s="1"/>
  <c r="CE5" i="9"/>
  <c r="CG5" i="9"/>
  <c r="CH5" i="9"/>
  <c r="CI5" i="9"/>
  <c r="CN5" i="9"/>
  <c r="CJ5" i="9" s="1"/>
  <c r="CL5" i="9" s="1"/>
  <c r="CO5" i="9"/>
  <c r="CK5" i="9" s="1"/>
  <c r="CM5" i="9" s="1"/>
  <c r="CT5" i="9"/>
  <c r="CP5" i="9" s="1"/>
  <c r="CR5" i="9" s="1"/>
  <c r="CU5" i="9"/>
  <c r="CQ5" i="9" s="1"/>
  <c r="CS5" i="9" s="1"/>
  <c r="CV5" i="9"/>
  <c r="CX5" i="9" s="1"/>
  <c r="CW5" i="9"/>
  <c r="CY5" i="9" s="1"/>
  <c r="CZ5" i="9"/>
  <c r="DA5" i="9"/>
  <c r="DB5" i="9"/>
  <c r="DD5" i="9" s="1"/>
  <c r="DC5" i="9"/>
  <c r="DE5" i="9"/>
  <c r="DF5" i="9"/>
  <c r="DG5" i="9"/>
  <c r="DL5" i="9"/>
  <c r="DH5" i="9" s="1"/>
  <c r="DJ5" i="9" s="1"/>
  <c r="DM5" i="9"/>
  <c r="DI5" i="9" s="1"/>
  <c r="DK5" i="9" s="1"/>
  <c r="CH6" i="9"/>
  <c r="CD6" i="9" s="1"/>
  <c r="CF6" i="9" s="1"/>
  <c r="CI6" i="9"/>
  <c r="CE6" i="9" s="1"/>
  <c r="CG6" i="9" s="1"/>
  <c r="CJ6" i="9"/>
  <c r="CL6" i="9" s="1"/>
  <c r="CK6" i="9"/>
  <c r="CM6" i="9" s="1"/>
  <c r="CN6" i="9"/>
  <c r="CO6" i="9"/>
  <c r="CP6" i="9"/>
  <c r="CR6" i="9" s="1"/>
  <c r="CQ6" i="9"/>
  <c r="CS6" i="9"/>
  <c r="CT6" i="9"/>
  <c r="CU6" i="9"/>
  <c r="CZ6" i="9"/>
  <c r="CV6" i="9" s="1"/>
  <c r="CX6" i="9" s="1"/>
  <c r="DA6" i="9"/>
  <c r="CW6" i="9" s="1"/>
  <c r="CY6" i="9" s="1"/>
  <c r="DF6" i="9"/>
  <c r="DB6" i="9" s="1"/>
  <c r="DD6" i="9" s="1"/>
  <c r="DG6" i="9"/>
  <c r="DC6" i="9" s="1"/>
  <c r="DE6" i="9" s="1"/>
  <c r="DH6" i="9"/>
  <c r="DJ6" i="9" s="1"/>
  <c r="DI6" i="9"/>
  <c r="DK6" i="9" s="1"/>
  <c r="DL6" i="9"/>
  <c r="DM6" i="9"/>
  <c r="CD7" i="9"/>
  <c r="CF7" i="9" s="1"/>
  <c r="CE7" i="9"/>
  <c r="CG7" i="9"/>
  <c r="CH7" i="9"/>
  <c r="CI7" i="9"/>
  <c r="CN7" i="9"/>
  <c r="CO7" i="9"/>
  <c r="CK7" i="9" s="1"/>
  <c r="CM7" i="9" s="1"/>
  <c r="CT7" i="9"/>
  <c r="CP7" i="9" s="1"/>
  <c r="CR7" i="9" s="1"/>
  <c r="CU7" i="9"/>
  <c r="CQ7" i="9" s="1"/>
  <c r="CS7" i="9" s="1"/>
  <c r="CV7" i="9"/>
  <c r="CX7" i="9" s="1"/>
  <c r="CW7" i="9"/>
  <c r="CY7" i="9" s="1"/>
  <c r="CZ7" i="9"/>
  <c r="DA7" i="9"/>
  <c r="DB7" i="9"/>
  <c r="DD7" i="9" s="1"/>
  <c r="DC7" i="9"/>
  <c r="DE7" i="9"/>
  <c r="DF7" i="9"/>
  <c r="DG7" i="9"/>
  <c r="DL7" i="9"/>
  <c r="DM7" i="9"/>
  <c r="DI7" i="9" s="1"/>
  <c r="DK7" i="9" s="1"/>
  <c r="CH8" i="9"/>
  <c r="CD8" i="9" s="1"/>
  <c r="CF8" i="9" s="1"/>
  <c r="CI8" i="9"/>
  <c r="CE8" i="9" s="1"/>
  <c r="CG8" i="9" s="1"/>
  <c r="CJ8" i="9"/>
  <c r="CL8" i="9" s="1"/>
  <c r="CK8" i="9"/>
  <c r="CM8" i="9" s="1"/>
  <c r="CN8" i="9"/>
  <c r="CO8" i="9"/>
  <c r="CP8" i="9"/>
  <c r="CR8" i="9" s="1"/>
  <c r="CQ8" i="9"/>
  <c r="CS8" i="9"/>
  <c r="CT8" i="9"/>
  <c r="CU8" i="9"/>
  <c r="CZ8" i="9"/>
  <c r="CV8" i="9" s="1"/>
  <c r="CX8" i="9" s="1"/>
  <c r="DA8" i="9"/>
  <c r="CW8" i="9" s="1"/>
  <c r="CY8" i="9" s="1"/>
  <c r="DF8" i="9"/>
  <c r="DB8" i="9" s="1"/>
  <c r="DD8" i="9" s="1"/>
  <c r="DG8" i="9"/>
  <c r="DC8" i="9" s="1"/>
  <c r="DE8" i="9" s="1"/>
  <c r="DH8" i="9"/>
  <c r="DJ8" i="9" s="1"/>
  <c r="DI8" i="9"/>
  <c r="DK8" i="9" s="1"/>
  <c r="DL8" i="9"/>
  <c r="DM8" i="9"/>
  <c r="CD9" i="9"/>
  <c r="CF9" i="9" s="1"/>
  <c r="CE9" i="9"/>
  <c r="CG9" i="9"/>
  <c r="CH9" i="9"/>
  <c r="CI9" i="9"/>
  <c r="CN9" i="9"/>
  <c r="CJ9" i="9" s="1"/>
  <c r="CL9" i="9" s="1"/>
  <c r="CO9" i="9"/>
  <c r="CK9" i="9" s="1"/>
  <c r="CM9" i="9" s="1"/>
  <c r="CT9" i="9"/>
  <c r="CP9" i="9" s="1"/>
  <c r="CR9" i="9" s="1"/>
  <c r="CU9" i="9"/>
  <c r="CQ9" i="9" s="1"/>
  <c r="CS9" i="9" s="1"/>
  <c r="CV9" i="9"/>
  <c r="CX9" i="9" s="1"/>
  <c r="CW9" i="9"/>
  <c r="CY9" i="9" s="1"/>
  <c r="CZ9" i="9"/>
  <c r="DA9" i="9"/>
  <c r="DB9" i="9"/>
  <c r="DD9" i="9" s="1"/>
  <c r="DC9" i="9"/>
  <c r="DE9" i="9"/>
  <c r="DF9" i="9"/>
  <c r="DG9" i="9"/>
  <c r="DL9" i="9"/>
  <c r="DM9" i="9"/>
  <c r="DI9" i="9" s="1"/>
  <c r="DK9" i="9" s="1"/>
  <c r="CH10" i="9"/>
  <c r="CD10" i="9" s="1"/>
  <c r="CF10" i="9" s="1"/>
  <c r="CI10" i="9"/>
  <c r="CE10" i="9" s="1"/>
  <c r="CG10" i="9" s="1"/>
  <c r="CJ10" i="9"/>
  <c r="CL10" i="9" s="1"/>
  <c r="CK10" i="9"/>
  <c r="CM10" i="9" s="1"/>
  <c r="CN10" i="9"/>
  <c r="CO10" i="9"/>
  <c r="CP10" i="9"/>
  <c r="CR10" i="9" s="1"/>
  <c r="CQ10" i="9"/>
  <c r="CS10" i="9"/>
  <c r="CT10" i="9"/>
  <c r="CU10" i="9"/>
  <c r="CZ10" i="9"/>
  <c r="CV10" i="9" s="1"/>
  <c r="CX10" i="9" s="1"/>
  <c r="DA10" i="9"/>
  <c r="CW10" i="9" s="1"/>
  <c r="CY10" i="9" s="1"/>
  <c r="DF10" i="9"/>
  <c r="DB10" i="9" s="1"/>
  <c r="DD10" i="9" s="1"/>
  <c r="DG10" i="9"/>
  <c r="DC10" i="9" s="1"/>
  <c r="DE10" i="9" s="1"/>
  <c r="DH10" i="9"/>
  <c r="DJ10" i="9" s="1"/>
  <c r="DI10" i="9"/>
  <c r="DK10" i="9" s="1"/>
  <c r="DL10" i="9"/>
  <c r="DM10" i="9"/>
  <c r="CD11" i="9"/>
  <c r="CF11" i="9" s="1"/>
  <c r="CE11" i="9"/>
  <c r="CG11" i="9"/>
  <c r="CH11" i="9"/>
  <c r="CI11" i="9"/>
  <c r="CN11" i="9"/>
  <c r="CJ11" i="9" s="1"/>
  <c r="CL11" i="9" s="1"/>
  <c r="CO11" i="9"/>
  <c r="CK11" i="9" s="1"/>
  <c r="CM11" i="9" s="1"/>
  <c r="CT11" i="9"/>
  <c r="CP11" i="9" s="1"/>
  <c r="CR11" i="9" s="1"/>
  <c r="CU11" i="9"/>
  <c r="CQ11" i="9" s="1"/>
  <c r="CS11" i="9" s="1"/>
  <c r="CV11" i="9"/>
  <c r="CX11" i="9" s="1"/>
  <c r="CW11" i="9"/>
  <c r="CY11" i="9" s="1"/>
  <c r="CZ11" i="9"/>
  <c r="DA11" i="9"/>
  <c r="DB11" i="9"/>
  <c r="DD11" i="9" s="1"/>
  <c r="DC11" i="9"/>
  <c r="DE11" i="9"/>
  <c r="DF11" i="9"/>
  <c r="DG11" i="9"/>
  <c r="DL11" i="9"/>
  <c r="DH11" i="9" s="1"/>
  <c r="DJ11" i="9" s="1"/>
  <c r="DM11" i="9"/>
  <c r="DI11" i="9" s="1"/>
  <c r="DK11" i="9" s="1"/>
  <c r="CH12" i="9"/>
  <c r="CD12" i="9" s="1"/>
  <c r="CF12" i="9" s="1"/>
  <c r="CI12" i="9"/>
  <c r="CE12" i="9" s="1"/>
  <c r="CG12" i="9" s="1"/>
  <c r="CJ12" i="9"/>
  <c r="CL12" i="9" s="1"/>
  <c r="CK12" i="9"/>
  <c r="CM12" i="9" s="1"/>
  <c r="CN12" i="9"/>
  <c r="CO12" i="9"/>
  <c r="CP12" i="9"/>
  <c r="CR12" i="9" s="1"/>
  <c r="CQ12" i="9"/>
  <c r="CS12" i="9"/>
  <c r="CT12" i="9"/>
  <c r="CU12" i="9"/>
  <c r="CZ12" i="9"/>
  <c r="DA12" i="9"/>
  <c r="CW12" i="9" s="1"/>
  <c r="CY12" i="9" s="1"/>
  <c r="DF12" i="9"/>
  <c r="DB12" i="9" s="1"/>
  <c r="DD12" i="9" s="1"/>
  <c r="DG12" i="9"/>
  <c r="DC12" i="9" s="1"/>
  <c r="DE12" i="9" s="1"/>
  <c r="CD13" i="9"/>
  <c r="CF13" i="9" s="1"/>
  <c r="CE13" i="9"/>
  <c r="CG13" i="9"/>
  <c r="CH13" i="9"/>
  <c r="CI13" i="9"/>
  <c r="CN13" i="9"/>
  <c r="CJ13" i="9" s="1"/>
  <c r="CL13" i="9" s="1"/>
  <c r="CO13" i="9"/>
  <c r="CK13" i="9" s="1"/>
  <c r="CM13" i="9" s="1"/>
  <c r="CT13" i="9"/>
  <c r="CP13" i="9" s="1"/>
  <c r="CR13" i="9" s="1"/>
  <c r="CU13" i="9"/>
  <c r="CQ13" i="9" s="1"/>
  <c r="CS13" i="9" s="1"/>
  <c r="CV13" i="9"/>
  <c r="CX13" i="9" s="1"/>
  <c r="CW13" i="9"/>
  <c r="CY13" i="9" s="1"/>
  <c r="CZ13" i="9"/>
  <c r="DA13" i="9"/>
  <c r="DB13" i="9"/>
  <c r="DD13" i="9" s="1"/>
  <c r="DC13" i="9"/>
  <c r="DE13" i="9"/>
  <c r="DF13" i="9"/>
  <c r="DG13" i="9"/>
  <c r="DL13" i="9"/>
  <c r="DH13" i="9" s="1"/>
  <c r="DJ13" i="9" s="1"/>
  <c r="DM13" i="9"/>
  <c r="DI13" i="9" s="1"/>
  <c r="DK13" i="9" s="1"/>
  <c r="CH14" i="9"/>
  <c r="CI14" i="9"/>
  <c r="CE14" i="9" s="1"/>
  <c r="CG14" i="9" s="1"/>
  <c r="CJ14" i="9"/>
  <c r="CL14" i="9" s="1"/>
  <c r="CK14" i="9"/>
  <c r="CM14" i="9" s="1"/>
  <c r="CN14" i="9"/>
  <c r="CO14" i="9"/>
  <c r="CP14" i="9"/>
  <c r="CR14" i="9" s="1"/>
  <c r="CQ14" i="9"/>
  <c r="CS14" i="9"/>
  <c r="CT14" i="9"/>
  <c r="CU14" i="9"/>
  <c r="CZ14" i="9"/>
  <c r="CV14" i="9" s="1"/>
  <c r="CX14" i="9" s="1"/>
  <c r="DA14" i="9"/>
  <c r="CW14" i="9" s="1"/>
  <c r="CY14" i="9" s="1"/>
  <c r="DF14" i="9"/>
  <c r="DG14" i="9"/>
  <c r="DC14" i="9" s="1"/>
  <c r="DE14" i="9" s="1"/>
  <c r="DH14" i="9"/>
  <c r="DJ14" i="9" s="1"/>
  <c r="DI14" i="9"/>
  <c r="DK14" i="9" s="1"/>
  <c r="DL14" i="9"/>
  <c r="DM14" i="9"/>
  <c r="CD15" i="9"/>
  <c r="CF15" i="9" s="1"/>
  <c r="CE15" i="9"/>
  <c r="CG15" i="9"/>
  <c r="CH15" i="9"/>
  <c r="CI15" i="9"/>
  <c r="CN15" i="9"/>
  <c r="CJ15" i="9" s="1"/>
  <c r="CL15" i="9" s="1"/>
  <c r="CO15" i="9"/>
  <c r="CK15" i="9" s="1"/>
  <c r="CM15" i="9" s="1"/>
  <c r="CT15" i="9"/>
  <c r="CU15" i="9"/>
  <c r="CQ15" i="9" s="1"/>
  <c r="CS15" i="9" s="1"/>
  <c r="CV15" i="9"/>
  <c r="CX15" i="9" s="1"/>
  <c r="CW15" i="9"/>
  <c r="CY15" i="9" s="1"/>
  <c r="CZ15" i="9"/>
  <c r="DA15" i="9"/>
  <c r="DB15" i="9"/>
  <c r="DD15" i="9" s="1"/>
  <c r="DC15" i="9"/>
  <c r="DE15" i="9"/>
  <c r="DF15" i="9"/>
  <c r="DG15" i="9"/>
  <c r="DL15" i="9"/>
  <c r="DH15" i="9" s="1"/>
  <c r="DJ15" i="9" s="1"/>
  <c r="DM15" i="9"/>
  <c r="DI15" i="9" s="1"/>
  <c r="DK15" i="9" s="1"/>
  <c r="CH16" i="9"/>
  <c r="CI16" i="9"/>
  <c r="CE16" i="9" s="1"/>
  <c r="CG16" i="9" s="1"/>
  <c r="CJ16" i="9"/>
  <c r="CL16" i="9" s="1"/>
  <c r="CK16" i="9"/>
  <c r="CM16" i="9" s="1"/>
  <c r="CN16" i="9"/>
  <c r="CO16" i="9"/>
  <c r="CP16" i="9"/>
  <c r="CR16" i="9" s="1"/>
  <c r="CQ16" i="9"/>
  <c r="CS16" i="9"/>
  <c r="CT16" i="9"/>
  <c r="CU16" i="9"/>
  <c r="CZ16" i="9"/>
  <c r="CV16" i="9" s="1"/>
  <c r="CX16" i="9" s="1"/>
  <c r="DA16" i="9"/>
  <c r="CW16" i="9" s="1"/>
  <c r="CY16" i="9" s="1"/>
  <c r="DF16" i="9"/>
  <c r="DG16" i="9"/>
  <c r="DC16" i="9" s="1"/>
  <c r="DE16" i="9" s="1"/>
  <c r="DH16" i="9"/>
  <c r="DJ16" i="9" s="1"/>
  <c r="DI16" i="9"/>
  <c r="DK16" i="9" s="1"/>
  <c r="DL16" i="9"/>
  <c r="DM16" i="9"/>
  <c r="CD17" i="9"/>
  <c r="CF17" i="9" s="1"/>
  <c r="CE17" i="9"/>
  <c r="CG17" i="9"/>
  <c r="CH17" i="9"/>
  <c r="CI17" i="9"/>
  <c r="CN17" i="9"/>
  <c r="CO17" i="9"/>
  <c r="CK17" i="9" s="1"/>
  <c r="CM17" i="9" s="1"/>
  <c r="CT17" i="9"/>
  <c r="CU17" i="9"/>
  <c r="CQ17" i="9" s="1"/>
  <c r="CS17" i="9" s="1"/>
  <c r="CV17" i="9"/>
  <c r="CX17" i="9" s="1"/>
  <c r="CW17" i="9"/>
  <c r="CY17" i="9" s="1"/>
  <c r="CZ17" i="9"/>
  <c r="DA17" i="9"/>
  <c r="DB17" i="9"/>
  <c r="DD17" i="9" s="1"/>
  <c r="DC17" i="9"/>
  <c r="DE17" i="9"/>
  <c r="DF17" i="9"/>
  <c r="DG17" i="9"/>
  <c r="DK17" i="9"/>
  <c r="DL17" i="9"/>
  <c r="DH17" i="9" s="1"/>
  <c r="DJ17" i="9" s="1"/>
  <c r="DM17" i="9"/>
  <c r="DI17" i="9" s="1"/>
  <c r="CG18" i="9"/>
  <c r="CH18" i="9"/>
  <c r="CD18" i="9" s="1"/>
  <c r="CF18" i="9" s="1"/>
  <c r="CI18" i="9"/>
  <c r="CE18" i="9" s="1"/>
  <c r="CN18" i="9"/>
  <c r="CO18" i="9"/>
  <c r="CP18" i="9"/>
  <c r="CR18" i="9" s="1"/>
  <c r="CQ18" i="9"/>
  <c r="CS18" i="9" s="1"/>
  <c r="CT18" i="9"/>
  <c r="CU18" i="9"/>
  <c r="CW18" i="9"/>
  <c r="CY18" i="9" s="1"/>
  <c r="CZ18" i="9"/>
  <c r="CV18" i="9" s="1"/>
  <c r="CX18" i="9" s="1"/>
  <c r="DA18" i="9"/>
  <c r="DF18" i="9"/>
  <c r="DG18" i="9"/>
  <c r="DC18" i="9" s="1"/>
  <c r="DE18" i="9" s="1"/>
  <c r="DL18" i="9"/>
  <c r="DM18" i="9"/>
  <c r="DH18" i="9" s="1"/>
  <c r="DJ18" i="9" s="1"/>
  <c r="CD19" i="9"/>
  <c r="CF19" i="9" s="1"/>
  <c r="CE19" i="9"/>
  <c r="CG19" i="9"/>
  <c r="CH19" i="9"/>
  <c r="CI19" i="9"/>
  <c r="CK19" i="9"/>
  <c r="CM19" i="9" s="1"/>
  <c r="CL19" i="9"/>
  <c r="CN19" i="9"/>
  <c r="CJ19" i="9" s="1"/>
  <c r="CO19" i="9"/>
  <c r="CT19" i="9"/>
  <c r="CU19" i="9"/>
  <c r="CQ19" i="9" s="1"/>
  <c r="CS19" i="9" s="1"/>
  <c r="CV19" i="9"/>
  <c r="CX19" i="9" s="1"/>
  <c r="CW19" i="9"/>
  <c r="CY19" i="9" s="1"/>
  <c r="CZ19" i="9"/>
  <c r="DA19" i="9"/>
  <c r="DB19" i="9"/>
  <c r="DC19" i="9"/>
  <c r="DD19" i="9"/>
  <c r="DE19" i="9"/>
  <c r="DF19" i="9"/>
  <c r="DG19" i="9"/>
  <c r="DL19" i="9"/>
  <c r="DM19" i="9"/>
  <c r="DI19" i="9" s="1"/>
  <c r="DK19" i="9" s="1"/>
  <c r="CH20" i="9"/>
  <c r="CD20" i="9" s="1"/>
  <c r="CF20" i="9" s="1"/>
  <c r="CI20" i="9"/>
  <c r="CE20" i="9" s="1"/>
  <c r="CG20" i="9" s="1"/>
  <c r="CJ20" i="9"/>
  <c r="CL20" i="9" s="1"/>
  <c r="CN20" i="9"/>
  <c r="CO20" i="9"/>
  <c r="CK20" i="9" s="1"/>
  <c r="CM20" i="9" s="1"/>
  <c r="CP20" i="9"/>
  <c r="CQ20" i="9"/>
  <c r="CR20" i="9"/>
  <c r="CS20" i="9"/>
  <c r="CT20" i="9"/>
  <c r="CU20" i="9"/>
  <c r="CY20" i="9"/>
  <c r="CZ20" i="9"/>
  <c r="CV20" i="9" s="1"/>
  <c r="CX20" i="9" s="1"/>
  <c r="DA20" i="9"/>
  <c r="CW20" i="9" s="1"/>
  <c r="DE20" i="9"/>
  <c r="DF20" i="9"/>
  <c r="DB20" i="9" s="1"/>
  <c r="DD20" i="9" s="1"/>
  <c r="DG20" i="9"/>
  <c r="DC20" i="9" s="1"/>
  <c r="DL20" i="9"/>
  <c r="DM20" i="9"/>
  <c r="CD21" i="9"/>
  <c r="CF21" i="9" s="1"/>
  <c r="CE21" i="9"/>
  <c r="CG21" i="9" s="1"/>
  <c r="CH21" i="9"/>
  <c r="CI21" i="9"/>
  <c r="CK21" i="9"/>
  <c r="CM21" i="9"/>
  <c r="CN21" i="9"/>
  <c r="CJ21" i="9" s="1"/>
  <c r="CL21" i="9" s="1"/>
  <c r="CO21" i="9"/>
  <c r="CT21" i="9"/>
  <c r="CU21" i="9"/>
  <c r="CQ21" i="9" s="1"/>
  <c r="CS21" i="9" s="1"/>
  <c r="CZ21" i="9"/>
  <c r="DA21" i="9"/>
  <c r="CV21" i="9" s="1"/>
  <c r="CX21" i="9" s="1"/>
  <c r="DB21" i="9"/>
  <c r="DD21" i="9" s="1"/>
  <c r="DC21" i="9"/>
  <c r="DE21" i="9"/>
  <c r="DF21" i="9"/>
  <c r="DG21" i="9"/>
  <c r="DI21" i="9"/>
  <c r="DK21" i="9" s="1"/>
  <c r="DJ21" i="9"/>
  <c r="DL21" i="9"/>
  <c r="DH21" i="9" s="1"/>
  <c r="DM21" i="9"/>
  <c r="CH22" i="9"/>
  <c r="CD22" i="9" s="1"/>
  <c r="CF22" i="9" s="1"/>
  <c r="CI22" i="9"/>
  <c r="CE22" i="9" s="1"/>
  <c r="CG22" i="9" s="1"/>
  <c r="CJ22" i="9"/>
  <c r="CL22" i="9" s="1"/>
  <c r="CK22" i="9"/>
  <c r="CM22" i="9" s="1"/>
  <c r="CN22" i="9"/>
  <c r="CO22" i="9"/>
  <c r="CP22" i="9"/>
  <c r="CQ22" i="9"/>
  <c r="CR22" i="9"/>
  <c r="CS22" i="9"/>
  <c r="CT22" i="9"/>
  <c r="CU22" i="9"/>
  <c r="CZ22" i="9"/>
  <c r="DA22" i="9"/>
  <c r="CW22" i="9" s="1"/>
  <c r="CY22" i="9" s="1"/>
  <c r="DF22" i="9"/>
  <c r="DG22" i="9"/>
  <c r="DC22" i="9" s="1"/>
  <c r="DE22" i="9" s="1"/>
  <c r="DH22" i="9"/>
  <c r="DJ22" i="9" s="1"/>
  <c r="DL22" i="9"/>
  <c r="DM22" i="9"/>
  <c r="DI22" i="9" s="1"/>
  <c r="DK22" i="9" s="1"/>
  <c r="CD23" i="9"/>
  <c r="CF23" i="9" s="1"/>
  <c r="CE23" i="9"/>
  <c r="CG23" i="9"/>
  <c r="CH23" i="9"/>
  <c r="CI23" i="9"/>
  <c r="CN23" i="9"/>
  <c r="CO23" i="9"/>
  <c r="CK23" i="9" s="1"/>
  <c r="CM23" i="9" s="1"/>
  <c r="CS23" i="9"/>
  <c r="CT23" i="9"/>
  <c r="CP23" i="9" s="1"/>
  <c r="CR23" i="9" s="1"/>
  <c r="CU23" i="9"/>
  <c r="CQ23" i="9" s="1"/>
  <c r="CZ23" i="9"/>
  <c r="DA23" i="9"/>
  <c r="DB23" i="9"/>
  <c r="DD23" i="9" s="1"/>
  <c r="DC23" i="9"/>
  <c r="DE23" i="9" s="1"/>
  <c r="DF23" i="9"/>
  <c r="DG23" i="9"/>
  <c r="DJ23" i="9"/>
  <c r="DK23" i="9"/>
  <c r="DM23" i="9"/>
  <c r="CH24" i="9"/>
  <c r="CI24" i="9"/>
  <c r="CE24" i="9" s="1"/>
  <c r="CG24" i="9" s="1"/>
  <c r="CN24" i="9"/>
  <c r="CO24" i="9"/>
  <c r="CJ24" i="9" s="1"/>
  <c r="CL24" i="9" s="1"/>
  <c r="CP24" i="9"/>
  <c r="CR24" i="9" s="1"/>
  <c r="CQ24" i="9"/>
  <c r="CS24" i="9"/>
  <c r="CT24" i="9"/>
  <c r="CU24" i="9"/>
  <c r="CW24" i="9"/>
  <c r="CY24" i="9" s="1"/>
  <c r="CX24" i="9"/>
  <c r="CZ24" i="9"/>
  <c r="CV24" i="9" s="1"/>
  <c r="DA24" i="9"/>
  <c r="DF24" i="9"/>
  <c r="DG24" i="9"/>
  <c r="DC24" i="9" s="1"/>
  <c r="DE24" i="9" s="1"/>
  <c r="DJ24" i="9"/>
  <c r="DK24" i="9"/>
  <c r="DL24" i="9"/>
  <c r="DM24" i="9"/>
  <c r="CD25" i="9"/>
  <c r="CE25" i="9"/>
  <c r="CF25" i="9"/>
  <c r="CG25" i="9"/>
  <c r="CH25" i="9"/>
  <c r="CI25" i="9"/>
  <c r="CN25" i="9"/>
  <c r="CO25" i="9"/>
  <c r="CK25" i="9" s="1"/>
  <c r="CM25" i="9" s="1"/>
  <c r="CS25" i="9"/>
  <c r="CT25" i="9"/>
  <c r="CP25" i="9" s="1"/>
  <c r="CR25" i="9" s="1"/>
  <c r="CU25" i="9"/>
  <c r="CQ25" i="9" s="1"/>
  <c r="CV25" i="9"/>
  <c r="CX25" i="9" s="1"/>
  <c r="CZ25" i="9"/>
  <c r="DA25" i="9"/>
  <c r="CW25" i="9" s="1"/>
  <c r="CY25" i="9" s="1"/>
  <c r="DB25" i="9"/>
  <c r="DC25" i="9"/>
  <c r="DE25" i="9" s="1"/>
  <c r="DD25" i="9"/>
  <c r="DF25" i="9"/>
  <c r="DG25" i="9"/>
  <c r="DL25" i="9"/>
  <c r="DJ25" i="9" s="1"/>
  <c r="DM25" i="9"/>
  <c r="DK25" i="9" s="1"/>
  <c r="CG26" i="9"/>
  <c r="CH26" i="9"/>
  <c r="CD26" i="9" s="1"/>
  <c r="CF26" i="9" s="1"/>
  <c r="CI26" i="9"/>
  <c r="CE26" i="9" s="1"/>
  <c r="CN26" i="9"/>
  <c r="CO26" i="9"/>
  <c r="CP26" i="9"/>
  <c r="CR26" i="9" s="1"/>
  <c r="CQ26" i="9"/>
  <c r="CS26" i="9" s="1"/>
  <c r="CT26" i="9"/>
  <c r="CU26" i="9"/>
  <c r="CW26" i="9"/>
  <c r="CY26" i="9" s="1"/>
  <c r="CX26" i="9"/>
  <c r="CZ26" i="9"/>
  <c r="CV26" i="9" s="1"/>
  <c r="DA26" i="9"/>
  <c r="DF26" i="9"/>
  <c r="DG26" i="9"/>
  <c r="DC26" i="9" s="1"/>
  <c r="DE26" i="9" s="1"/>
  <c r="DJ26" i="9"/>
  <c r="DK26" i="9"/>
  <c r="DL26" i="9"/>
  <c r="DM26" i="9"/>
  <c r="CD27" i="9"/>
  <c r="CF27" i="9" s="1"/>
  <c r="CE27" i="9"/>
  <c r="CG27" i="9"/>
  <c r="CH27" i="9"/>
  <c r="CI27" i="9"/>
  <c r="CK27" i="9"/>
  <c r="CM27" i="9" s="1"/>
  <c r="CL27" i="9"/>
  <c r="CN27" i="9"/>
  <c r="CJ27" i="9" s="1"/>
  <c r="CO27" i="9"/>
  <c r="CT27" i="9"/>
  <c r="CU27" i="9"/>
  <c r="CQ27" i="9" s="1"/>
  <c r="CS27" i="9" s="1"/>
  <c r="CV27" i="9"/>
  <c r="CX27" i="9" s="1"/>
  <c r="CW27" i="9"/>
  <c r="CY27" i="9" s="1"/>
  <c r="CZ27" i="9"/>
  <c r="DA27" i="9"/>
  <c r="DB27" i="9"/>
  <c r="DC27" i="9"/>
  <c r="DD27" i="9"/>
  <c r="DE27" i="9"/>
  <c r="DF27" i="9"/>
  <c r="DG27" i="9"/>
  <c r="DL27" i="9"/>
  <c r="DM27" i="9"/>
  <c r="DK27" i="9" s="1"/>
  <c r="CH28" i="9"/>
  <c r="CI28" i="9"/>
  <c r="CE28" i="9" s="1"/>
  <c r="CG28" i="9" s="1"/>
  <c r="CJ28" i="9"/>
  <c r="CL28" i="9" s="1"/>
  <c r="CN28" i="9"/>
  <c r="CO28" i="9"/>
  <c r="CK28" i="9" s="1"/>
  <c r="CM28" i="9" s="1"/>
  <c r="CP28" i="9"/>
  <c r="CR28" i="9" s="1"/>
  <c r="CQ28" i="9"/>
  <c r="CS28" i="9" s="1"/>
  <c r="CT28" i="9"/>
  <c r="CU28" i="9"/>
  <c r="CZ28" i="9"/>
  <c r="DA28" i="9"/>
  <c r="CW28" i="9" s="1"/>
  <c r="CY28" i="9" s="1"/>
  <c r="DE28" i="9"/>
  <c r="DF28" i="9"/>
  <c r="DB28" i="9" s="1"/>
  <c r="DD28" i="9" s="1"/>
  <c r="DG28" i="9"/>
  <c r="DC28" i="9" s="1"/>
  <c r="DL28" i="9"/>
  <c r="DM28" i="9"/>
  <c r="CD29" i="9"/>
  <c r="CE29" i="9"/>
  <c r="CG29" i="9" s="1"/>
  <c r="CF29" i="9"/>
  <c r="CH29" i="9"/>
  <c r="CI29" i="9"/>
  <c r="CN29" i="9"/>
  <c r="CO29" i="9"/>
  <c r="CK29" i="9" s="1"/>
  <c r="CM29" i="9" s="1"/>
  <c r="CT29" i="9"/>
  <c r="CU29" i="9"/>
  <c r="CQ29" i="9" s="1"/>
  <c r="CS29" i="9" s="1"/>
  <c r="CZ29" i="9"/>
  <c r="CV29" i="9" s="1"/>
  <c r="CX29" i="9" s="1"/>
  <c r="DA29" i="9"/>
  <c r="CW29" i="9" s="1"/>
  <c r="CY29" i="9" s="1"/>
  <c r="DB29" i="9"/>
  <c r="DC29" i="9"/>
  <c r="DD29" i="9"/>
  <c r="DE29" i="9"/>
  <c r="DF29" i="9"/>
  <c r="DG29" i="9"/>
  <c r="DL29" i="9"/>
  <c r="DM29" i="9"/>
  <c r="DJ29" i="9" s="1"/>
  <c r="CG30" i="9"/>
  <c r="CH30" i="9"/>
  <c r="CI30" i="9"/>
  <c r="CE30" i="9" s="1"/>
  <c r="CN30" i="9"/>
  <c r="CO30" i="9"/>
  <c r="CK30" i="9" s="1"/>
  <c r="CM30" i="9" s="1"/>
  <c r="CP30" i="9"/>
  <c r="CQ30" i="9"/>
  <c r="CS30" i="9" s="1"/>
  <c r="CR30" i="9"/>
  <c r="CT30" i="9"/>
  <c r="CU30" i="9"/>
  <c r="CZ30" i="9"/>
  <c r="DA30" i="9"/>
  <c r="CW30" i="9" s="1"/>
  <c r="CY30" i="9" s="1"/>
  <c r="DF30" i="9"/>
  <c r="DB30" i="9" s="1"/>
  <c r="DD30" i="9" s="1"/>
  <c r="DG30" i="9"/>
  <c r="DC30" i="9" s="1"/>
  <c r="DE30" i="9" s="1"/>
  <c r="DL30" i="9"/>
  <c r="DJ30" i="9" s="1"/>
  <c r="DM30" i="9"/>
  <c r="DK30" i="9" s="1"/>
  <c r="CD31" i="9"/>
  <c r="CE31" i="9"/>
  <c r="CF31" i="9"/>
  <c r="CG31" i="9"/>
  <c r="CH31" i="9"/>
  <c r="CI31" i="9"/>
  <c r="CN31" i="9"/>
  <c r="CJ31" i="9" s="1"/>
  <c r="CL31" i="9" s="1"/>
  <c r="CO31" i="9"/>
  <c r="CK31" i="9" s="1"/>
  <c r="CM31" i="9" s="1"/>
  <c r="CT31" i="9"/>
  <c r="CU31" i="9"/>
  <c r="CQ31" i="9" s="1"/>
  <c r="CS31" i="9" s="1"/>
  <c r="CZ31" i="9"/>
  <c r="CV31" i="9" s="1"/>
  <c r="CX31" i="9" s="1"/>
  <c r="DA31" i="9"/>
  <c r="CW31" i="9" s="1"/>
  <c r="CY31" i="9" s="1"/>
  <c r="DB31" i="9"/>
  <c r="DD31" i="9" s="1"/>
  <c r="DC31" i="9"/>
  <c r="DE31" i="9" s="1"/>
  <c r="DF31" i="9"/>
  <c r="DG31" i="9"/>
  <c r="DJ31" i="9"/>
  <c r="DL31" i="9"/>
  <c r="DM31" i="9"/>
  <c r="CH32" i="9"/>
  <c r="CI32" i="9"/>
  <c r="CE32" i="9" s="1"/>
  <c r="CG32" i="9" s="1"/>
  <c r="CJ32" i="9"/>
  <c r="CK32" i="9"/>
  <c r="CL32" i="9"/>
  <c r="CM32" i="9"/>
  <c r="CN32" i="9"/>
  <c r="CO32" i="9"/>
  <c r="CT32" i="9"/>
  <c r="CP32" i="9" s="1"/>
  <c r="CR32" i="9" s="1"/>
  <c r="CU32" i="9"/>
  <c r="CQ32" i="9" s="1"/>
  <c r="CS32" i="9" s="1"/>
  <c r="CZ32" i="9"/>
  <c r="DA32" i="9"/>
  <c r="CW32" i="9" s="1"/>
  <c r="CY32" i="9" s="1"/>
  <c r="DF32" i="9"/>
  <c r="DB32" i="9" s="1"/>
  <c r="DD32" i="9" s="1"/>
  <c r="DG32" i="9"/>
  <c r="DC32" i="9" s="1"/>
  <c r="DE32" i="9" s="1"/>
  <c r="DJ32" i="9"/>
  <c r="DK32" i="9"/>
  <c r="DL32" i="9"/>
  <c r="DM32" i="9"/>
  <c r="CD33" i="9"/>
  <c r="CH34" i="9"/>
  <c r="CD34" i="9" s="1"/>
  <c r="CF34" i="9" s="1"/>
  <c r="CI34" i="9"/>
  <c r="CE34" i="9" s="1"/>
  <c r="CG34" i="9" s="1"/>
  <c r="CJ34" i="9"/>
  <c r="CL34" i="9" s="1"/>
  <c r="CK34" i="9"/>
  <c r="CM34" i="9"/>
  <c r="CN34" i="9"/>
  <c r="CO34" i="9"/>
  <c r="CP34" i="9"/>
  <c r="CR34" i="9" s="1"/>
  <c r="CQ34" i="9"/>
  <c r="CS34" i="9" s="1"/>
  <c r="CT34" i="9"/>
  <c r="CU34" i="9"/>
  <c r="CZ34" i="9"/>
  <c r="CV34" i="9" s="1"/>
  <c r="CX34" i="9" s="1"/>
  <c r="DA34" i="9"/>
  <c r="CW34" i="9" s="1"/>
  <c r="CY34" i="9" s="1"/>
  <c r="DB34" i="9"/>
  <c r="DD34" i="9" s="1"/>
  <c r="DF34" i="9"/>
  <c r="DG34" i="9"/>
  <c r="DC34" i="9" s="1"/>
  <c r="DE34" i="9" s="1"/>
  <c r="CH35" i="9"/>
  <c r="CD35" i="9" s="1"/>
  <c r="CF35" i="9" s="1"/>
  <c r="CI35" i="9"/>
  <c r="CE35" i="9" s="1"/>
  <c r="CG35" i="9" s="1"/>
  <c r="CN35" i="9"/>
  <c r="CO35" i="9"/>
  <c r="CK35" i="9" s="1"/>
  <c r="CM35" i="9" s="1"/>
  <c r="CT35" i="9"/>
  <c r="CP35" i="9" s="1"/>
  <c r="CR35" i="9" s="1"/>
  <c r="CU35" i="9"/>
  <c r="CQ35" i="9" s="1"/>
  <c r="CS35" i="9" s="1"/>
  <c r="CV35" i="9"/>
  <c r="CX35" i="9" s="1"/>
  <c r="CW35" i="9"/>
  <c r="CY35" i="9"/>
  <c r="CZ35" i="9"/>
  <c r="DA35" i="9"/>
  <c r="DB35" i="9"/>
  <c r="DD35" i="9" s="1"/>
  <c r="DC35" i="9"/>
  <c r="DE35" i="9" s="1"/>
  <c r="DF35" i="9"/>
  <c r="DG35" i="9"/>
  <c r="CD36" i="9"/>
  <c r="CF36" i="9" s="1"/>
  <c r="CH36" i="9"/>
  <c r="CI36" i="9"/>
  <c r="CE36" i="9" s="1"/>
  <c r="CG36" i="9" s="1"/>
  <c r="CJ36" i="9"/>
  <c r="CK36" i="9"/>
  <c r="CL36" i="9"/>
  <c r="CM36" i="9"/>
  <c r="CN36" i="9"/>
  <c r="CO36" i="9"/>
  <c r="CT36" i="9"/>
  <c r="CP36" i="9" s="1"/>
  <c r="CR36" i="9" s="1"/>
  <c r="CU36" i="9"/>
  <c r="CQ36" i="9" s="1"/>
  <c r="CS36" i="9" s="1"/>
  <c r="CZ36" i="9"/>
  <c r="DA36" i="9"/>
  <c r="CW36" i="9" s="1"/>
  <c r="CY36" i="9" s="1"/>
  <c r="DF36" i="9"/>
  <c r="DB36" i="9" s="1"/>
  <c r="DD36" i="9" s="1"/>
  <c r="DG36" i="9"/>
  <c r="DC36" i="9" s="1"/>
  <c r="DE36" i="9" s="1"/>
  <c r="CD37" i="9"/>
  <c r="CF37" i="9" s="1"/>
  <c r="CE37" i="9"/>
  <c r="CG37" i="9" s="1"/>
  <c r="CH37" i="9"/>
  <c r="CI37" i="9"/>
  <c r="CN37" i="9"/>
  <c r="CJ37" i="9" s="1"/>
  <c r="CL37" i="9" s="1"/>
  <c r="CO37" i="9"/>
  <c r="CK37" i="9" s="1"/>
  <c r="CM37" i="9" s="1"/>
  <c r="CP37" i="9"/>
  <c r="CR37" i="9" s="1"/>
  <c r="CT37" i="9"/>
  <c r="CU37" i="9"/>
  <c r="CQ37" i="9" s="1"/>
  <c r="CS37" i="9" s="1"/>
  <c r="CV37" i="9"/>
  <c r="CW37" i="9"/>
  <c r="CX37" i="9"/>
  <c r="CY37" i="9"/>
  <c r="CZ37" i="9"/>
  <c r="DA37" i="9"/>
  <c r="DF37" i="9"/>
  <c r="DB37" i="9" s="1"/>
  <c r="DD37" i="9" s="1"/>
  <c r="DG37" i="9"/>
  <c r="DC37" i="9" s="1"/>
  <c r="DE37" i="9" s="1"/>
  <c r="CH38" i="9"/>
  <c r="CD38" i="9" s="1"/>
  <c r="CF38" i="9" s="1"/>
  <c r="CI38" i="9"/>
  <c r="CE38" i="9" s="1"/>
  <c r="CG38" i="9" s="1"/>
  <c r="CJ38" i="9"/>
  <c r="CL38" i="9" s="1"/>
  <c r="CK38" i="9"/>
  <c r="CM38" i="9"/>
  <c r="CN38" i="9"/>
  <c r="CO38" i="9"/>
  <c r="CP38" i="9"/>
  <c r="CR38" i="9" s="1"/>
  <c r="CQ38" i="9"/>
  <c r="CS38" i="9" s="1"/>
  <c r="CT38" i="9"/>
  <c r="CU38" i="9"/>
  <c r="CZ38" i="9"/>
  <c r="DA38" i="9"/>
  <c r="CW38" i="9" s="1"/>
  <c r="CY38" i="9" s="1"/>
  <c r="DB38" i="9"/>
  <c r="DD38" i="9" s="1"/>
  <c r="DF38" i="9"/>
  <c r="DG38" i="9"/>
  <c r="DC38" i="9" s="1"/>
  <c r="DE38" i="9" s="1"/>
  <c r="CH39" i="9"/>
  <c r="CD39" i="9" s="1"/>
  <c r="CF39" i="9" s="1"/>
  <c r="CI39" i="9"/>
  <c r="CE39" i="9" s="1"/>
  <c r="CG39" i="9" s="1"/>
  <c r="CN39" i="9"/>
  <c r="CO39" i="9"/>
  <c r="CK39" i="9" s="1"/>
  <c r="CM39" i="9" s="1"/>
  <c r="CT39" i="9"/>
  <c r="CP39" i="9" s="1"/>
  <c r="CR39" i="9" s="1"/>
  <c r="CU39" i="9"/>
  <c r="CQ39" i="9" s="1"/>
  <c r="CS39" i="9" s="1"/>
  <c r="CV39" i="9"/>
  <c r="CX39" i="9" s="1"/>
  <c r="CW39" i="9"/>
  <c r="CY39" i="9"/>
  <c r="CZ39" i="9"/>
  <c r="DA39" i="9"/>
  <c r="DB39" i="9"/>
  <c r="DD39" i="9" s="1"/>
  <c r="DC39" i="9"/>
  <c r="DE39" i="9" s="1"/>
  <c r="DF39" i="9"/>
  <c r="DG39" i="9"/>
  <c r="CD40" i="9"/>
  <c r="CF40" i="9" s="1"/>
  <c r="CH40" i="9"/>
  <c r="CI40" i="9"/>
  <c r="CE40" i="9" s="1"/>
  <c r="CG40" i="9" s="1"/>
  <c r="CJ40" i="9"/>
  <c r="CK40" i="9"/>
  <c r="CL40" i="9"/>
  <c r="CM40" i="9"/>
  <c r="CN40" i="9"/>
  <c r="CO40" i="9"/>
  <c r="CT40" i="9"/>
  <c r="CP40" i="9" s="1"/>
  <c r="CR40" i="9" s="1"/>
  <c r="CU40" i="9"/>
  <c r="CQ40" i="9" s="1"/>
  <c r="CS40" i="9" s="1"/>
  <c r="CZ40" i="9"/>
  <c r="DA40" i="9"/>
  <c r="CW40" i="9" s="1"/>
  <c r="CY40" i="9" s="1"/>
  <c r="DF40" i="9"/>
  <c r="DB40" i="9" s="1"/>
  <c r="DD40" i="9" s="1"/>
  <c r="DG40" i="9"/>
  <c r="DC40" i="9" s="1"/>
  <c r="DE40" i="9" s="1"/>
  <c r="CD41" i="9"/>
  <c r="CF41" i="9" s="1"/>
  <c r="CE41" i="9"/>
  <c r="CG41" i="9" s="1"/>
  <c r="CH41" i="9"/>
  <c r="CI41" i="9"/>
  <c r="CN41" i="9"/>
  <c r="CO41" i="9"/>
  <c r="CK41" i="9" s="1"/>
  <c r="CM41" i="9" s="1"/>
  <c r="CP41" i="9"/>
  <c r="CR41" i="9" s="1"/>
  <c r="CT41" i="9"/>
  <c r="CU41" i="9"/>
  <c r="CQ41" i="9" s="1"/>
  <c r="CS41" i="9" s="1"/>
  <c r="CV41" i="9"/>
  <c r="CW41" i="9"/>
  <c r="CX41" i="9"/>
  <c r="CY41" i="9"/>
  <c r="CZ41" i="9"/>
  <c r="DA41" i="9"/>
  <c r="DF41" i="9"/>
  <c r="DB41" i="9" s="1"/>
  <c r="DD41" i="9" s="1"/>
  <c r="DG41" i="9"/>
  <c r="DC41" i="9" s="1"/>
  <c r="DE41" i="9" s="1"/>
  <c r="CH42" i="9"/>
  <c r="CD42" i="9" s="1"/>
  <c r="CF42" i="9" s="1"/>
  <c r="CI42" i="9"/>
  <c r="CE42" i="9" s="1"/>
  <c r="CG42" i="9" s="1"/>
  <c r="CJ42" i="9"/>
  <c r="CL42" i="9" s="1"/>
  <c r="CK42" i="9"/>
  <c r="CM42" i="9"/>
  <c r="CN42" i="9"/>
  <c r="CO42" i="9"/>
  <c r="CP42" i="9"/>
  <c r="CR42" i="9" s="1"/>
  <c r="CQ42" i="9"/>
  <c r="CS42" i="9" s="1"/>
  <c r="CT42" i="9"/>
  <c r="CU42" i="9"/>
  <c r="CZ42" i="9"/>
  <c r="DA42" i="9"/>
  <c r="CW42" i="9" s="1"/>
  <c r="CY42" i="9" s="1"/>
  <c r="DB42" i="9"/>
  <c r="DD42" i="9" s="1"/>
  <c r="DF42" i="9"/>
  <c r="DG42" i="9"/>
  <c r="DC42" i="9" s="1"/>
  <c r="DE42" i="9" s="1"/>
  <c r="CE43" i="9"/>
  <c r="CD44" i="9"/>
  <c r="CF44" i="9" s="1"/>
  <c r="CH44" i="9"/>
  <c r="CI44" i="9"/>
  <c r="CE44" i="9" s="1"/>
  <c r="CG44" i="9" s="1"/>
  <c r="CJ44" i="9"/>
  <c r="CK44" i="9"/>
  <c r="CL44" i="9"/>
  <c r="CM44" i="9"/>
  <c r="CN44" i="9"/>
  <c r="CO44" i="9"/>
  <c r="CT44" i="9"/>
  <c r="CP44" i="9" s="1"/>
  <c r="CR44" i="9" s="1"/>
  <c r="CU44" i="9"/>
  <c r="CQ44" i="9" s="1"/>
  <c r="CS44" i="9" s="1"/>
  <c r="CZ44" i="9"/>
  <c r="DA44" i="9"/>
  <c r="CW44" i="9" s="1"/>
  <c r="CY44" i="9" s="1"/>
  <c r="DF44" i="9"/>
  <c r="DB44" i="9" s="1"/>
  <c r="DD44" i="9" s="1"/>
  <c r="DG44" i="9"/>
  <c r="DC44" i="9" s="1"/>
  <c r="DE44" i="9" s="1"/>
  <c r="CD45" i="9"/>
  <c r="CF45" i="9" s="1"/>
  <c r="CE45" i="9"/>
  <c r="CG45" i="9" s="1"/>
  <c r="CH45" i="9"/>
  <c r="CI45" i="9"/>
  <c r="CN45" i="9"/>
  <c r="CO45" i="9"/>
  <c r="CK45" i="9" s="1"/>
  <c r="CM45" i="9" s="1"/>
  <c r="CP45" i="9"/>
  <c r="CR45" i="9" s="1"/>
  <c r="CT45" i="9"/>
  <c r="CU45" i="9"/>
  <c r="CQ45" i="9" s="1"/>
  <c r="CS45" i="9" s="1"/>
  <c r="CV45" i="9"/>
  <c r="CW45" i="9"/>
  <c r="CX45" i="9"/>
  <c r="CY45" i="9"/>
  <c r="CZ45" i="9"/>
  <c r="DA45" i="9"/>
  <c r="DF45" i="9"/>
  <c r="DB45" i="9" s="1"/>
  <c r="DD45" i="9" s="1"/>
  <c r="DG45" i="9"/>
  <c r="DC45" i="9" s="1"/>
  <c r="DE45" i="9" s="1"/>
  <c r="CH46" i="9"/>
  <c r="CD46" i="9" s="1"/>
  <c r="CF46" i="9" s="1"/>
  <c r="CI46" i="9"/>
  <c r="CE46" i="9" s="1"/>
  <c r="CG46" i="9" s="1"/>
  <c r="CJ46" i="9"/>
  <c r="CL46" i="9" s="1"/>
  <c r="CK46" i="9"/>
  <c r="CM46" i="9"/>
  <c r="CN46" i="9"/>
  <c r="CO46" i="9"/>
  <c r="CP46" i="9"/>
  <c r="CR46" i="9" s="1"/>
  <c r="CQ46" i="9"/>
  <c r="CS46" i="9" s="1"/>
  <c r="CT46" i="9"/>
  <c r="CU46" i="9"/>
  <c r="CZ46" i="9"/>
  <c r="DA46" i="9"/>
  <c r="CW46" i="9" s="1"/>
  <c r="CY46" i="9" s="1"/>
  <c r="DB46" i="9"/>
  <c r="DD46" i="9" s="1"/>
  <c r="DF46" i="9"/>
  <c r="DG46" i="9"/>
  <c r="DC46" i="9" s="1"/>
  <c r="DE46" i="9" s="1"/>
  <c r="CH47" i="9"/>
  <c r="CD47" i="9" s="1"/>
  <c r="CF47" i="9" s="1"/>
  <c r="CI47" i="9"/>
  <c r="CE47" i="9" s="1"/>
  <c r="CG47" i="9" s="1"/>
  <c r="CN47" i="9"/>
  <c r="CO47" i="9"/>
  <c r="CK47" i="9" s="1"/>
  <c r="CM47" i="9" s="1"/>
  <c r="CT47" i="9"/>
  <c r="CP47" i="9" s="1"/>
  <c r="CR47" i="9" s="1"/>
  <c r="CU47" i="9"/>
  <c r="CQ47" i="9" s="1"/>
  <c r="CS47" i="9" s="1"/>
  <c r="CZ47" i="9"/>
  <c r="DB47" i="9"/>
  <c r="DD47" i="9" s="1"/>
  <c r="DC47" i="9"/>
  <c r="DE47" i="9" s="1"/>
  <c r="DF47" i="9"/>
  <c r="DG47" i="9"/>
  <c r="CD48" i="9"/>
  <c r="CF48" i="9" s="1"/>
  <c r="CH48" i="9"/>
  <c r="CI48" i="9"/>
  <c r="CE48" i="9" s="1"/>
  <c r="CG48" i="9" s="1"/>
  <c r="CJ48" i="9"/>
  <c r="CK48" i="9"/>
  <c r="CL48" i="9"/>
  <c r="CM48" i="9"/>
  <c r="CN48" i="9"/>
  <c r="CO48" i="9"/>
  <c r="CT48" i="9"/>
  <c r="CP48" i="9" s="1"/>
  <c r="CR48" i="9" s="1"/>
  <c r="CU48" i="9"/>
  <c r="CQ48" i="9" s="1"/>
  <c r="CS48" i="9" s="1"/>
  <c r="CV48" i="9"/>
  <c r="CX48" i="9" s="1"/>
  <c r="CZ48" i="9"/>
  <c r="DA48" i="9"/>
  <c r="CW48" i="9" s="1"/>
  <c r="CY48" i="9" s="1"/>
  <c r="DB48" i="9"/>
  <c r="DD48" i="9" s="1"/>
  <c r="DC48" i="9"/>
  <c r="DE48" i="9" s="1"/>
  <c r="DF48" i="9"/>
  <c r="DG48" i="9"/>
  <c r="DK3" i="9"/>
  <c r="DE3" i="9"/>
  <c r="CY3" i="9"/>
  <c r="CS3" i="9"/>
  <c r="CM3" i="9"/>
  <c r="CG3" i="9"/>
  <c r="BE5" i="28"/>
  <c r="BF5" i="28"/>
  <c r="BE6" i="28"/>
  <c r="BE11" i="28" s="1"/>
  <c r="BF6" i="28"/>
  <c r="BE7" i="28"/>
  <c r="BF7" i="28"/>
  <c r="BE8" i="28"/>
  <c r="BF8" i="28"/>
  <c r="BF4" i="28"/>
  <c r="BE4" i="28"/>
  <c r="BC5" i="28"/>
  <c r="BD5" i="28"/>
  <c r="BC6" i="28"/>
  <c r="BD6" i="28"/>
  <c r="BC7" i="28"/>
  <c r="BD7" i="28"/>
  <c r="BC8" i="28"/>
  <c r="BC11" i="28" s="1"/>
  <c r="BD8" i="28"/>
  <c r="BD4" i="28"/>
  <c r="BC4" i="28"/>
  <c r="BA5" i="28"/>
  <c r="BA11" i="28" s="1"/>
  <c r="BB5" i="28"/>
  <c r="BA6" i="28"/>
  <c r="BB6" i="28"/>
  <c r="BA7" i="28"/>
  <c r="BB7" i="28"/>
  <c r="BA8" i="28"/>
  <c r="BB8" i="28"/>
  <c r="BB4" i="28"/>
  <c r="BA4" i="28"/>
  <c r="AY5" i="28"/>
  <c r="AZ5" i="28"/>
  <c r="AY6" i="28"/>
  <c r="AZ6" i="28"/>
  <c r="AY7" i="28"/>
  <c r="AZ7" i="28"/>
  <c r="AY8" i="28"/>
  <c r="AZ8" i="28"/>
  <c r="AZ4" i="28"/>
  <c r="AY4" i="28"/>
  <c r="AW5" i="28"/>
  <c r="AX5" i="28"/>
  <c r="AW6" i="28"/>
  <c r="AX6" i="28"/>
  <c r="AW7" i="28"/>
  <c r="AX7" i="28"/>
  <c r="AW8" i="28"/>
  <c r="AX8" i="28"/>
  <c r="AX11" i="28" s="1"/>
  <c r="AX4" i="28"/>
  <c r="AW4" i="28"/>
  <c r="AW11" i="28" s="1"/>
  <c r="AU5" i="28"/>
  <c r="AV5" i="28"/>
  <c r="AU6" i="28"/>
  <c r="AV6" i="28"/>
  <c r="AU7" i="28"/>
  <c r="AV7" i="28"/>
  <c r="AU8" i="28"/>
  <c r="AV8" i="28"/>
  <c r="AV4" i="28"/>
  <c r="AV11" i="28" s="1"/>
  <c r="AU4" i="28"/>
  <c r="AZ11" i="28"/>
  <c r="BB11" i="28"/>
  <c r="BF11" i="28"/>
  <c r="DH3" i="9"/>
  <c r="DI3" i="9"/>
  <c r="DC3" i="9"/>
  <c r="CW3" i="9"/>
  <c r="CQ3" i="9"/>
  <c r="CK3" i="9"/>
  <c r="CE3" i="9"/>
  <c r="DJ3" i="9"/>
  <c r="DB3" i="9"/>
  <c r="DD3" i="9" s="1"/>
  <c r="CV3" i="9"/>
  <c r="CX3" i="9" s="1"/>
  <c r="CP3" i="9"/>
  <c r="CR3" i="9" s="1"/>
  <c r="CJ3" i="9"/>
  <c r="CL3" i="9" s="1"/>
  <c r="DG3" i="9"/>
  <c r="DF3" i="9"/>
  <c r="DA3" i="9"/>
  <c r="CZ3" i="9"/>
  <c r="CU3" i="9"/>
  <c r="CT3" i="9"/>
  <c r="CO3" i="9"/>
  <c r="CN3" i="9"/>
  <c r="CD3" i="9"/>
  <c r="CH3" i="9"/>
  <c r="CI3" i="9"/>
  <c r="CC16" i="9"/>
  <c r="CC18" i="9"/>
  <c r="BW3" i="28" l="1"/>
  <c r="BY3" i="28" s="1"/>
  <c r="CC7" i="28"/>
  <c r="CE7" i="28" s="1"/>
  <c r="BK3" i="28"/>
  <c r="BM3" i="28" s="1"/>
  <c r="BM23" i="24"/>
  <c r="BQ23" i="24" s="1"/>
  <c r="BS23" i="24" s="1"/>
  <c r="CG7" i="24"/>
  <c r="CI7" i="24" s="1"/>
  <c r="CG11" i="24"/>
  <c r="CI11" i="24" s="1"/>
  <c r="CB7" i="24"/>
  <c r="CD7" i="24" s="1"/>
  <c r="CB11" i="24"/>
  <c r="CD11" i="24" s="1"/>
  <c r="CA6" i="24"/>
  <c r="CC6" i="24" s="1"/>
  <c r="CA10" i="24"/>
  <c r="CC10" i="24" s="1"/>
  <c r="DP32" i="9"/>
  <c r="DN17" i="9"/>
  <c r="DP17" i="9" s="1"/>
  <c r="CW47" i="9"/>
  <c r="CY47" i="9" s="1"/>
  <c r="CD43" i="9"/>
  <c r="CE33" i="9"/>
  <c r="CV38" i="9"/>
  <c r="CX38" i="9" s="1"/>
  <c r="CV30" i="9"/>
  <c r="CX30" i="9" s="1"/>
  <c r="CV28" i="9"/>
  <c r="CX28" i="9" s="1"/>
  <c r="DB22" i="9"/>
  <c r="DD22" i="9" s="1"/>
  <c r="DH20" i="9"/>
  <c r="DJ20" i="9" s="1"/>
  <c r="DI20" i="9"/>
  <c r="DK20" i="9" s="1"/>
  <c r="CJ29" i="9"/>
  <c r="CL29" i="9" s="1"/>
  <c r="CK24" i="9"/>
  <c r="CM24" i="9" s="1"/>
  <c r="CP19" i="9"/>
  <c r="CR19" i="9" s="1"/>
  <c r="CJ18" i="9"/>
  <c r="CL18" i="9" s="1"/>
  <c r="CK18" i="9"/>
  <c r="CM18" i="9" s="1"/>
  <c r="DK29" i="9"/>
  <c r="DJ28" i="9"/>
  <c r="DK28" i="9"/>
  <c r="CV46" i="9"/>
  <c r="CX46" i="9" s="1"/>
  <c r="CV42" i="9"/>
  <c r="CX42" i="9" s="1"/>
  <c r="CJ41" i="9"/>
  <c r="CL41" i="9" s="1"/>
  <c r="CJ30" i="9"/>
  <c r="CL30" i="9" s="1"/>
  <c r="CP27" i="9"/>
  <c r="CR27" i="9" s="1"/>
  <c r="CW21" i="9"/>
  <c r="CY21" i="9" s="1"/>
  <c r="CV44" i="9"/>
  <c r="CX44" i="9" s="1"/>
  <c r="CV40" i="9"/>
  <c r="CX40" i="9" s="1"/>
  <c r="CJ39" i="9"/>
  <c r="CL39" i="9" s="1"/>
  <c r="CV36" i="9"/>
  <c r="CX36" i="9" s="1"/>
  <c r="CJ35" i="9"/>
  <c r="CL35" i="9" s="1"/>
  <c r="CV32" i="9"/>
  <c r="CX32" i="9" s="1"/>
  <c r="CD32" i="9"/>
  <c r="CF32" i="9" s="1"/>
  <c r="CP31" i="9"/>
  <c r="CR31" i="9" s="1"/>
  <c r="CD28" i="9"/>
  <c r="CF28" i="9" s="1"/>
  <c r="CJ26" i="9"/>
  <c r="CL26" i="9" s="1"/>
  <c r="CK26" i="9"/>
  <c r="CM26" i="9" s="1"/>
  <c r="CJ23" i="9"/>
  <c r="CL23" i="9" s="1"/>
  <c r="CJ45" i="9"/>
  <c r="CL45" i="9" s="1"/>
  <c r="CJ47" i="9"/>
  <c r="CL47" i="9" s="1"/>
  <c r="CD30" i="9"/>
  <c r="CF30" i="9" s="1"/>
  <c r="DB24" i="9"/>
  <c r="DD24" i="9" s="1"/>
  <c r="DI18" i="9"/>
  <c r="DK18" i="9" s="1"/>
  <c r="CJ17" i="9"/>
  <c r="CL17" i="9" s="1"/>
  <c r="CV23" i="9"/>
  <c r="CX23" i="9" s="1"/>
  <c r="CW23" i="9"/>
  <c r="CY23" i="9" s="1"/>
  <c r="CP17" i="9"/>
  <c r="CR17" i="9" s="1"/>
  <c r="DB16" i="9"/>
  <c r="DD16" i="9" s="1"/>
  <c r="CD16" i="9"/>
  <c r="CF16" i="9" s="1"/>
  <c r="CP15" i="9"/>
  <c r="CR15" i="9" s="1"/>
  <c r="DB14" i="9"/>
  <c r="DD14" i="9" s="1"/>
  <c r="CD14" i="9"/>
  <c r="CF14" i="9" s="1"/>
  <c r="CV12" i="9"/>
  <c r="CX12" i="9" s="1"/>
  <c r="CJ7" i="9"/>
  <c r="CL7" i="9" s="1"/>
  <c r="CP29" i="9"/>
  <c r="CR29" i="9" s="1"/>
  <c r="DJ27" i="9"/>
  <c r="CJ25" i="9"/>
  <c r="CL25" i="9" s="1"/>
  <c r="CV22" i="9"/>
  <c r="CX22" i="9" s="1"/>
  <c r="DH19" i="9"/>
  <c r="DJ19" i="9" s="1"/>
  <c r="DH7" i="9"/>
  <c r="DJ7" i="9" s="1"/>
  <c r="DB26" i="9"/>
  <c r="DD26" i="9" s="1"/>
  <c r="CD24" i="9"/>
  <c r="CF24" i="9" s="1"/>
  <c r="CP21" i="9"/>
  <c r="CR21" i="9" s="1"/>
  <c r="DB18" i="9"/>
  <c r="DD18" i="9" s="1"/>
  <c r="DH9" i="9"/>
  <c r="DJ9" i="9" s="1"/>
  <c r="CV4" i="9"/>
  <c r="CX4" i="9" s="1"/>
  <c r="BD11" i="28"/>
  <c r="AY11" i="28"/>
  <c r="CF3" i="9"/>
  <c r="BK3" i="9"/>
  <c r="AH7" i="24"/>
  <c r="AI7" i="24"/>
  <c r="AN7" i="24"/>
  <c r="AO7" i="24"/>
  <c r="AP7" i="24"/>
  <c r="AQ7" i="24"/>
  <c r="AJ8" i="24"/>
  <c r="AK8" i="24"/>
  <c r="AL8" i="24"/>
  <c r="AM8" i="24"/>
  <c r="AR8" i="24"/>
  <c r="AS8" i="24"/>
  <c r="AH9" i="24"/>
  <c r="AI9" i="24"/>
  <c r="AN9" i="24"/>
  <c r="AO9" i="24"/>
  <c r="AP9" i="24"/>
  <c r="AQ9" i="24"/>
  <c r="AJ10" i="24"/>
  <c r="AK10" i="24"/>
  <c r="AL10" i="24"/>
  <c r="AM10" i="24"/>
  <c r="AR10" i="24"/>
  <c r="AS10" i="24"/>
  <c r="AH11" i="24"/>
  <c r="AI11" i="24"/>
  <c r="AN11" i="24"/>
  <c r="AO11" i="24"/>
  <c r="AP11" i="24"/>
  <c r="AQ11" i="24"/>
  <c r="AJ12" i="24"/>
  <c r="AK12" i="24"/>
  <c r="AL12" i="24"/>
  <c r="AM12" i="24"/>
  <c r="AR12" i="24"/>
  <c r="AS12" i="24"/>
  <c r="AH13" i="24"/>
  <c r="AI13" i="24"/>
  <c r="AN13" i="24"/>
  <c r="AO13" i="24"/>
  <c r="AP13" i="24"/>
  <c r="AQ13" i="24"/>
  <c r="U7" i="24"/>
  <c r="AU7" i="24" s="1"/>
  <c r="V7" i="24"/>
  <c r="AV7" i="24" s="1"/>
  <c r="W7" i="24"/>
  <c r="AJ7" i="24" s="1"/>
  <c r="X7" i="24"/>
  <c r="AK7" i="24" s="1"/>
  <c r="Y7" i="24"/>
  <c r="AL7" i="24" s="1"/>
  <c r="Z7" i="24"/>
  <c r="AM7" i="24" s="1"/>
  <c r="AA7" i="24"/>
  <c r="BA7" i="24" s="1"/>
  <c r="AB7" i="24"/>
  <c r="BB7" i="24" s="1"/>
  <c r="AC7" i="24"/>
  <c r="BC7" i="24" s="1"/>
  <c r="AD7" i="24"/>
  <c r="BD7" i="24" s="1"/>
  <c r="AE7" i="24"/>
  <c r="AR7" i="24" s="1"/>
  <c r="AF7" i="24"/>
  <c r="AS7" i="24" s="1"/>
  <c r="U8" i="24"/>
  <c r="AH8" i="24" s="1"/>
  <c r="V8" i="24"/>
  <c r="AI8" i="24" s="1"/>
  <c r="W8" i="24"/>
  <c r="AW8" i="24" s="1"/>
  <c r="X8" i="24"/>
  <c r="AX8" i="24" s="1"/>
  <c r="Y8" i="24"/>
  <c r="AY8" i="24" s="1"/>
  <c r="Z8" i="24"/>
  <c r="AZ8" i="24" s="1"/>
  <c r="AA8" i="24"/>
  <c r="AN8" i="24" s="1"/>
  <c r="AB8" i="24"/>
  <c r="AO8" i="24" s="1"/>
  <c r="AC8" i="24"/>
  <c r="AP8" i="24" s="1"/>
  <c r="AD8" i="24"/>
  <c r="AQ8" i="24" s="1"/>
  <c r="AE8" i="24"/>
  <c r="BE8" i="24" s="1"/>
  <c r="AF8" i="24"/>
  <c r="BF8" i="24" s="1"/>
  <c r="U9" i="24"/>
  <c r="AU9" i="24" s="1"/>
  <c r="V9" i="24"/>
  <c r="AV9" i="24" s="1"/>
  <c r="W9" i="24"/>
  <c r="AJ9" i="24" s="1"/>
  <c r="X9" i="24"/>
  <c r="AK9" i="24" s="1"/>
  <c r="Y9" i="24"/>
  <c r="AL9" i="24" s="1"/>
  <c r="Z9" i="24"/>
  <c r="AM9" i="24" s="1"/>
  <c r="AA9" i="24"/>
  <c r="BA9" i="24" s="1"/>
  <c r="AB9" i="24"/>
  <c r="BB9" i="24" s="1"/>
  <c r="AC9" i="24"/>
  <c r="BC9" i="24" s="1"/>
  <c r="AD9" i="24"/>
  <c r="BD9" i="24" s="1"/>
  <c r="AE9" i="24"/>
  <c r="AR9" i="24" s="1"/>
  <c r="AF9" i="24"/>
  <c r="AS9" i="24" s="1"/>
  <c r="U10" i="24"/>
  <c r="AH10" i="24" s="1"/>
  <c r="V10" i="24"/>
  <c r="AI10" i="24" s="1"/>
  <c r="W10" i="24"/>
  <c r="AW10" i="24" s="1"/>
  <c r="X10" i="24"/>
  <c r="AX10" i="24" s="1"/>
  <c r="Y10" i="24"/>
  <c r="AY10" i="24" s="1"/>
  <c r="Z10" i="24"/>
  <c r="AZ10" i="24" s="1"/>
  <c r="AA10" i="24"/>
  <c r="AN10" i="24" s="1"/>
  <c r="AB10" i="24"/>
  <c r="AO10" i="24" s="1"/>
  <c r="AC10" i="24"/>
  <c r="AP10" i="24" s="1"/>
  <c r="AD10" i="24"/>
  <c r="AQ10" i="24" s="1"/>
  <c r="AE10" i="24"/>
  <c r="BE10" i="24" s="1"/>
  <c r="AF10" i="24"/>
  <c r="BF10" i="24" s="1"/>
  <c r="U11" i="24"/>
  <c r="AU11" i="24" s="1"/>
  <c r="V11" i="24"/>
  <c r="AV11" i="24" s="1"/>
  <c r="W11" i="24"/>
  <c r="AJ11" i="24" s="1"/>
  <c r="X11" i="24"/>
  <c r="AK11" i="24" s="1"/>
  <c r="Y11" i="24"/>
  <c r="AL11" i="24" s="1"/>
  <c r="Z11" i="24"/>
  <c r="AM11" i="24" s="1"/>
  <c r="AA11" i="24"/>
  <c r="BA11" i="24" s="1"/>
  <c r="AB11" i="24"/>
  <c r="BB11" i="24" s="1"/>
  <c r="AC11" i="24"/>
  <c r="BC11" i="24" s="1"/>
  <c r="AD11" i="24"/>
  <c r="BD11" i="24" s="1"/>
  <c r="AE11" i="24"/>
  <c r="AR11" i="24" s="1"/>
  <c r="AF11" i="24"/>
  <c r="AS11" i="24" s="1"/>
  <c r="U12" i="24"/>
  <c r="AH12" i="24" s="1"/>
  <c r="V12" i="24"/>
  <c r="AI12" i="24" s="1"/>
  <c r="W12" i="24"/>
  <c r="AW12" i="24" s="1"/>
  <c r="X12" i="24"/>
  <c r="AX12" i="24" s="1"/>
  <c r="Y12" i="24"/>
  <c r="AY12" i="24" s="1"/>
  <c r="Z12" i="24"/>
  <c r="AZ12" i="24" s="1"/>
  <c r="AA12" i="24"/>
  <c r="AN12" i="24" s="1"/>
  <c r="AB12" i="24"/>
  <c r="AO12" i="24" s="1"/>
  <c r="AC12" i="24"/>
  <c r="AP12" i="24" s="1"/>
  <c r="AD12" i="24"/>
  <c r="AQ12" i="24" s="1"/>
  <c r="AE12" i="24"/>
  <c r="BE12" i="24" s="1"/>
  <c r="AF12" i="24"/>
  <c r="BF12" i="24" s="1"/>
  <c r="U13" i="24"/>
  <c r="AU13" i="24" s="1"/>
  <c r="V13" i="24"/>
  <c r="AV13" i="24" s="1"/>
  <c r="W13" i="24"/>
  <c r="AJ13" i="24" s="1"/>
  <c r="X13" i="24"/>
  <c r="AK13" i="24" s="1"/>
  <c r="Y13" i="24"/>
  <c r="AL13" i="24" s="1"/>
  <c r="Z13" i="24"/>
  <c r="AM13" i="24" s="1"/>
  <c r="AA13" i="24"/>
  <c r="BA13" i="24" s="1"/>
  <c r="AB13" i="24"/>
  <c r="BB13" i="24" s="1"/>
  <c r="AC13" i="24"/>
  <c r="BC13" i="24" s="1"/>
  <c r="AD13" i="24"/>
  <c r="BD13" i="24" s="1"/>
  <c r="AE13" i="24"/>
  <c r="AR13" i="24" s="1"/>
  <c r="AF13" i="24"/>
  <c r="AS13" i="24" s="1"/>
  <c r="L80" i="8"/>
  <c r="L81" i="8"/>
  <c r="L82" i="8"/>
  <c r="L83" i="8"/>
  <c r="L84" i="8"/>
  <c r="L85" i="8"/>
  <c r="L86" i="8"/>
  <c r="L87" i="8"/>
  <c r="L88" i="8"/>
  <c r="L89" i="8"/>
  <c r="L90"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79" i="8"/>
  <c r="AU11" i="28"/>
  <c r="AL5" i="28"/>
  <c r="AN5" i="28"/>
  <c r="AP5" i="28"/>
  <c r="AS5" i="28"/>
  <c r="AN6" i="28"/>
  <c r="AO6" i="28"/>
  <c r="AP6" i="28"/>
  <c r="AQ6" i="28"/>
  <c r="AR6" i="28"/>
  <c r="AI7" i="28"/>
  <c r="AN7" i="28"/>
  <c r="AP7" i="28"/>
  <c r="AS7" i="28"/>
  <c r="AH8" i="28"/>
  <c r="AI8" i="28"/>
  <c r="AK8" i="28"/>
  <c r="AM8" i="28"/>
  <c r="AR8" i="28"/>
  <c r="AS4" i="28"/>
  <c r="AR4" i="28"/>
  <c r="AQ4" i="28"/>
  <c r="AP4" i="28"/>
  <c r="AO4" i="28"/>
  <c r="AN4" i="28"/>
  <c r="AM4" i="28"/>
  <c r="AL4" i="28"/>
  <c r="AK4" i="28"/>
  <c r="AJ4" i="28"/>
  <c r="AI4" i="28"/>
  <c r="AH4" i="28"/>
  <c r="U5" i="28"/>
  <c r="V5" i="28"/>
  <c r="W5" i="28"/>
  <c r="X5" i="28"/>
  <c r="Y5" i="28"/>
  <c r="Z5" i="28"/>
  <c r="AA5" i="28"/>
  <c r="AB5" i="28"/>
  <c r="AC5" i="28"/>
  <c r="AD5" i="28"/>
  <c r="AQ5" i="28" s="1"/>
  <c r="AE5" i="28"/>
  <c r="AF5" i="28"/>
  <c r="U6" i="28"/>
  <c r="V6" i="28"/>
  <c r="W6" i="28"/>
  <c r="X6" i="28"/>
  <c r="AK6" i="28" s="1"/>
  <c r="Y6" i="28"/>
  <c r="AL6" i="28" s="1"/>
  <c r="Z6" i="28"/>
  <c r="AA6" i="28"/>
  <c r="AB6" i="28"/>
  <c r="AC6" i="28"/>
  <c r="AD6" i="28"/>
  <c r="AE6" i="28"/>
  <c r="AF6" i="28"/>
  <c r="AS6" i="28" s="1"/>
  <c r="U7" i="28"/>
  <c r="V7" i="28"/>
  <c r="W7" i="28"/>
  <c r="X7" i="28"/>
  <c r="Y7" i="28"/>
  <c r="Z7" i="28"/>
  <c r="AA7" i="28"/>
  <c r="AB7" i="28"/>
  <c r="AC7" i="28"/>
  <c r="AD7" i="28"/>
  <c r="AQ7" i="28" s="1"/>
  <c r="AE7" i="28"/>
  <c r="AF7" i="28"/>
  <c r="U8" i="28"/>
  <c r="V8" i="28"/>
  <c r="W8" i="28"/>
  <c r="X8" i="28"/>
  <c r="Y8" i="28"/>
  <c r="Z8" i="28"/>
  <c r="AA8" i="28"/>
  <c r="AB8" i="28"/>
  <c r="AC8" i="28"/>
  <c r="AD8" i="28"/>
  <c r="AE8" i="28"/>
  <c r="AF8" i="28"/>
  <c r="AS8" i="28" s="1"/>
  <c r="AF4" i="28"/>
  <c r="AE4" i="28"/>
  <c r="AD4" i="28"/>
  <c r="AC4" i="28"/>
  <c r="AB4" i="28"/>
  <c r="AA4" i="28"/>
  <c r="Z4" i="28"/>
  <c r="Y4" i="28"/>
  <c r="X4" i="28"/>
  <c r="W4" i="28"/>
  <c r="U4" i="28"/>
  <c r="V4" i="28"/>
  <c r="J134" i="8"/>
  <c r="J129" i="8"/>
  <c r="J127" i="8"/>
  <c r="J124" i="8"/>
  <c r="J123" i="8"/>
  <c r="J121" i="8"/>
  <c r="J120" i="8"/>
  <c r="J119" i="8"/>
  <c r="J116" i="8"/>
  <c r="J115" i="8"/>
  <c r="G134" i="8"/>
  <c r="G133" i="8"/>
  <c r="G131" i="8"/>
  <c r="G130" i="8"/>
  <c r="H130" i="8" s="1"/>
  <c r="I130" i="8" s="1"/>
  <c r="G129" i="8"/>
  <c r="G128" i="8"/>
  <c r="H128" i="8" s="1"/>
  <c r="I128" i="8" s="1"/>
  <c r="G127" i="8"/>
  <c r="G126" i="8"/>
  <c r="F134" i="8"/>
  <c r="E134" i="8"/>
  <c r="D134" i="8"/>
  <c r="F133" i="8"/>
  <c r="E133" i="8"/>
  <c r="D133" i="8"/>
  <c r="F132" i="8"/>
  <c r="H132" i="8" s="1"/>
  <c r="I132" i="8" s="1"/>
  <c r="E132" i="8"/>
  <c r="D132" i="8"/>
  <c r="F131" i="8"/>
  <c r="H131" i="8" s="1"/>
  <c r="I131" i="8" s="1"/>
  <c r="E131" i="8"/>
  <c r="D131" i="8"/>
  <c r="F123" i="8"/>
  <c r="E123" i="8"/>
  <c r="D123" i="8"/>
  <c r="F122" i="8"/>
  <c r="H122" i="8" s="1"/>
  <c r="I122" i="8" s="1"/>
  <c r="E122" i="8"/>
  <c r="D122" i="8"/>
  <c r="F121" i="8"/>
  <c r="H121" i="8" s="1"/>
  <c r="I121" i="8" s="1"/>
  <c r="E121" i="8"/>
  <c r="D121" i="8"/>
  <c r="F120" i="8"/>
  <c r="E120" i="8"/>
  <c r="D120" i="8"/>
  <c r="F119" i="8"/>
  <c r="H119" i="8" s="1"/>
  <c r="I119" i="8" s="1"/>
  <c r="E119" i="8"/>
  <c r="D119" i="8"/>
  <c r="F118" i="8"/>
  <c r="E118" i="8"/>
  <c r="D118" i="8"/>
  <c r="F117" i="8"/>
  <c r="H117" i="8" s="1"/>
  <c r="I117" i="8" s="1"/>
  <c r="E117" i="8"/>
  <c r="D117" i="8"/>
  <c r="F116" i="8"/>
  <c r="H116" i="8" s="1"/>
  <c r="I116" i="8" s="1"/>
  <c r="E116" i="8"/>
  <c r="D116" i="8"/>
  <c r="F130" i="8"/>
  <c r="E130" i="8"/>
  <c r="D130" i="8"/>
  <c r="F129" i="8"/>
  <c r="H129" i="8" s="1"/>
  <c r="I129" i="8" s="1"/>
  <c r="E129" i="8"/>
  <c r="D129" i="8"/>
  <c r="F128" i="8"/>
  <c r="E128" i="8"/>
  <c r="D128" i="8"/>
  <c r="F127" i="8"/>
  <c r="H127" i="8" s="1"/>
  <c r="I127" i="8" s="1"/>
  <c r="E127" i="8"/>
  <c r="D127" i="8"/>
  <c r="F126" i="8"/>
  <c r="E126" i="8"/>
  <c r="D126" i="8"/>
  <c r="F125" i="8"/>
  <c r="H125" i="8" s="1"/>
  <c r="I125" i="8" s="1"/>
  <c r="E125" i="8"/>
  <c r="D125" i="8"/>
  <c r="F124" i="8"/>
  <c r="E124" i="8"/>
  <c r="D124" i="8"/>
  <c r="H115" i="8"/>
  <c r="I115" i="8" s="1"/>
  <c r="H118" i="8"/>
  <c r="I118" i="8" s="1"/>
  <c r="H120" i="8"/>
  <c r="I120" i="8" s="1"/>
  <c r="H123" i="8"/>
  <c r="I123" i="8" s="1"/>
  <c r="H124" i="8"/>
  <c r="I124" i="8" s="1"/>
  <c r="H126" i="8"/>
  <c r="I126" i="8" s="1"/>
  <c r="H133" i="8"/>
  <c r="I133" i="8" s="1"/>
  <c r="F115" i="8"/>
  <c r="II93" i="8"/>
  <c r="II92" i="8"/>
  <c r="II91" i="8"/>
  <c r="II90" i="8"/>
  <c r="II89" i="8"/>
  <c r="II88" i="8"/>
  <c r="IE93" i="8"/>
  <c r="IE92" i="8"/>
  <c r="IE91" i="8"/>
  <c r="IE90" i="8"/>
  <c r="IE89" i="8"/>
  <c r="IE88" i="8"/>
  <c r="IA93" i="8"/>
  <c r="IA92" i="8"/>
  <c r="IA91" i="8"/>
  <c r="IA90" i="8"/>
  <c r="IA89" i="8"/>
  <c r="IA88" i="8"/>
  <c r="HW93" i="8"/>
  <c r="HW92" i="8"/>
  <c r="HW91" i="8"/>
  <c r="HW90" i="8"/>
  <c r="HW89" i="8"/>
  <c r="HW88" i="8"/>
  <c r="HS93" i="8"/>
  <c r="HS92" i="8"/>
  <c r="HS91" i="8"/>
  <c r="HS90" i="8"/>
  <c r="HS89" i="8"/>
  <c r="HS88" i="8"/>
  <c r="HN93" i="8"/>
  <c r="HN92" i="8"/>
  <c r="HN91" i="8"/>
  <c r="HN90" i="8"/>
  <c r="HN89" i="8"/>
  <c r="HN88" i="8"/>
  <c r="HJ93" i="8"/>
  <c r="HJ92" i="8"/>
  <c r="HJ91" i="8"/>
  <c r="HJ90" i="8"/>
  <c r="HJ89" i="8"/>
  <c r="HJ88" i="8"/>
  <c r="HF93" i="8"/>
  <c r="HF92" i="8"/>
  <c r="HF91" i="8"/>
  <c r="HF90" i="8"/>
  <c r="HF89" i="8"/>
  <c r="HF88" i="8"/>
  <c r="HB93" i="8"/>
  <c r="HB92" i="8"/>
  <c r="HB91" i="8"/>
  <c r="HB90" i="8"/>
  <c r="HB89" i="8"/>
  <c r="HB88" i="8"/>
  <c r="GX93" i="8"/>
  <c r="GX92" i="8"/>
  <c r="GX91" i="8"/>
  <c r="GX90" i="8"/>
  <c r="GX89" i="8"/>
  <c r="GX88" i="8"/>
  <c r="GS93" i="8"/>
  <c r="GS92" i="8"/>
  <c r="GS91" i="8"/>
  <c r="GS90" i="8"/>
  <c r="GS89" i="8"/>
  <c r="GS88" i="8"/>
  <c r="GO93" i="8"/>
  <c r="GO92" i="8"/>
  <c r="GO91" i="8"/>
  <c r="GO90" i="8"/>
  <c r="GO89" i="8"/>
  <c r="GO88" i="8"/>
  <c r="GK93" i="8"/>
  <c r="GK92" i="8"/>
  <c r="GK91" i="8"/>
  <c r="GK90" i="8"/>
  <c r="GK89" i="8"/>
  <c r="GK88" i="8"/>
  <c r="GG93" i="8"/>
  <c r="GG92" i="8"/>
  <c r="GG91" i="8"/>
  <c r="GG90" i="8"/>
  <c r="GG89" i="8"/>
  <c r="GG88" i="8"/>
  <c r="GC93" i="8"/>
  <c r="GC92" i="8"/>
  <c r="GC91" i="8"/>
  <c r="GC90" i="8"/>
  <c r="GC89" i="8"/>
  <c r="GC88" i="8"/>
  <c r="FX93" i="8"/>
  <c r="FX92" i="8"/>
  <c r="FX91" i="8"/>
  <c r="FX90" i="8"/>
  <c r="FX89" i="8"/>
  <c r="FX88" i="8"/>
  <c r="FT93" i="8"/>
  <c r="FT92" i="8"/>
  <c r="FT91" i="8"/>
  <c r="FT90" i="8"/>
  <c r="FT89" i="8"/>
  <c r="FT88" i="8"/>
  <c r="FP93" i="8"/>
  <c r="FP92" i="8"/>
  <c r="FP91" i="8"/>
  <c r="FP90" i="8"/>
  <c r="FP89" i="8"/>
  <c r="FP88" i="8"/>
  <c r="FL93" i="8"/>
  <c r="FL92" i="8"/>
  <c r="FL91" i="8"/>
  <c r="FL90" i="8"/>
  <c r="FL89" i="8"/>
  <c r="FL88" i="8"/>
  <c r="FH93" i="8"/>
  <c r="FH92" i="8"/>
  <c r="FH91" i="8"/>
  <c r="FH90" i="8"/>
  <c r="FH89" i="8"/>
  <c r="FH88" i="8"/>
  <c r="E115" i="8"/>
  <c r="D115" i="8"/>
  <c r="CZ9" i="27"/>
  <c r="CW9" i="27"/>
  <c r="CU9" i="27"/>
  <c r="CS9" i="27"/>
  <c r="CP9" i="27"/>
  <c r="CN9" i="27"/>
  <c r="CL9" i="27"/>
  <c r="CI9" i="27"/>
  <c r="CG9" i="27"/>
  <c r="CE9" i="27"/>
  <c r="CC9" i="27"/>
  <c r="BZ9" i="27"/>
  <c r="BX9" i="27"/>
  <c r="BV9" i="27"/>
  <c r="BT9" i="27"/>
  <c r="BQ9" i="27"/>
  <c r="BO9" i="27"/>
  <c r="BM9" i="27"/>
  <c r="BK9" i="27"/>
  <c r="BV4" i="27"/>
  <c r="BW4" i="27"/>
  <c r="BX4" i="27"/>
  <c r="BY4" i="27"/>
  <c r="BZ4" i="27"/>
  <c r="CA4" i="27"/>
  <c r="CB4" i="27"/>
  <c r="CC4" i="27"/>
  <c r="CD4" i="27"/>
  <c r="CE4" i="27"/>
  <c r="CF4" i="27"/>
  <c r="CG4" i="27"/>
  <c r="CH4" i="27"/>
  <c r="CI4" i="27"/>
  <c r="CJ4" i="27"/>
  <c r="CK4" i="27"/>
  <c r="CL4" i="27" s="1"/>
  <c r="BV5" i="27"/>
  <c r="BW5" i="27"/>
  <c r="BX5" i="27"/>
  <c r="BY5" i="27"/>
  <c r="BZ5" i="27"/>
  <c r="CA5" i="27"/>
  <c r="CB5" i="27"/>
  <c r="CC5" i="27" s="1"/>
  <c r="CE5" i="27"/>
  <c r="CF5" i="27"/>
  <c r="CG5" i="27"/>
  <c r="CH5" i="27"/>
  <c r="CI5" i="27"/>
  <c r="CJ5" i="27"/>
  <c r="CK5" i="27"/>
  <c r="CL5" i="27" s="1"/>
  <c r="BV6" i="27"/>
  <c r="BW6" i="27"/>
  <c r="BX6" i="27"/>
  <c r="BY6" i="27"/>
  <c r="BZ6" i="27"/>
  <c r="CA6" i="27"/>
  <c r="CB6" i="27"/>
  <c r="CC6" i="27" s="1"/>
  <c r="CD6" i="27"/>
  <c r="CE6" i="27"/>
  <c r="CF6" i="27"/>
  <c r="CG6" i="27"/>
  <c r="CH6" i="27"/>
  <c r="CI6" i="27"/>
  <c r="CJ6" i="27"/>
  <c r="CK6" i="27"/>
  <c r="CL6" i="27"/>
  <c r="CM6" i="27"/>
  <c r="BV7" i="27"/>
  <c r="BW7" i="27"/>
  <c r="BX7" i="27"/>
  <c r="BY7" i="27"/>
  <c r="BZ7" i="27"/>
  <c r="CA7" i="27"/>
  <c r="CB7" i="27"/>
  <c r="CC7" i="27" s="1"/>
  <c r="CD7" i="27"/>
  <c r="CE7" i="27"/>
  <c r="CF7" i="27"/>
  <c r="CG7" i="27"/>
  <c r="CH7" i="27"/>
  <c r="CI7" i="27"/>
  <c r="CJ7" i="27"/>
  <c r="CK7" i="27"/>
  <c r="CL7" i="27"/>
  <c r="CM7" i="27"/>
  <c r="CN4" i="27"/>
  <c r="CO4" i="27"/>
  <c r="CP4" i="27"/>
  <c r="CQ4" i="27"/>
  <c r="CR4" i="27"/>
  <c r="CS4" i="27"/>
  <c r="CT4" i="27"/>
  <c r="CU4" i="27"/>
  <c r="CV4" i="27"/>
  <c r="CW4" i="27"/>
  <c r="CX4" i="27"/>
  <c r="CY4" i="27"/>
  <c r="CZ4" i="27" s="1"/>
  <c r="DA4" i="27"/>
  <c r="CN5" i="27"/>
  <c r="CO5" i="27"/>
  <c r="CP5" i="27"/>
  <c r="CQ5" i="27"/>
  <c r="CR5" i="27"/>
  <c r="CS5" i="27"/>
  <c r="CT5" i="27"/>
  <c r="CU5" i="27"/>
  <c r="CV5" i="27"/>
  <c r="CW5" i="27"/>
  <c r="CX5" i="27"/>
  <c r="CY5" i="27"/>
  <c r="CZ5" i="27" s="1"/>
  <c r="DA5" i="27"/>
  <c r="CN6" i="27"/>
  <c r="CO6" i="27"/>
  <c r="CP6" i="27"/>
  <c r="CQ6" i="27"/>
  <c r="CR6" i="27"/>
  <c r="CS6" i="27" s="1"/>
  <c r="CU6" i="27"/>
  <c r="CV6" i="27"/>
  <c r="CW6" i="27"/>
  <c r="CX6" i="27"/>
  <c r="CY6" i="27"/>
  <c r="CZ6" i="27" s="1"/>
  <c r="CN7" i="27"/>
  <c r="CO7" i="27"/>
  <c r="CP7" i="27"/>
  <c r="CQ7" i="27"/>
  <c r="CR7" i="27"/>
  <c r="CT7" i="27" s="1"/>
  <c r="CU7" i="27"/>
  <c r="CV7" i="27"/>
  <c r="CW7" i="27"/>
  <c r="CX7" i="27"/>
  <c r="CY7" i="27"/>
  <c r="DA7" i="27" s="1"/>
  <c r="CZ7" i="27"/>
  <c r="DA3" i="27"/>
  <c r="CZ3" i="27"/>
  <c r="CY3" i="27"/>
  <c r="CX3" i="27"/>
  <c r="CW3" i="27"/>
  <c r="CV3" i="27"/>
  <c r="CU3" i="27"/>
  <c r="CT3" i="27"/>
  <c r="CS3" i="27"/>
  <c r="CR3" i="27"/>
  <c r="CQ3" i="27"/>
  <c r="CP3" i="27"/>
  <c r="CO3" i="27"/>
  <c r="CN3" i="27"/>
  <c r="CM3" i="27"/>
  <c r="CL3" i="27"/>
  <c r="CK3" i="27"/>
  <c r="CJ3" i="27"/>
  <c r="CI3" i="27"/>
  <c r="CH3" i="27"/>
  <c r="CG3" i="27"/>
  <c r="CF3" i="27"/>
  <c r="CE3" i="27"/>
  <c r="CD3" i="27"/>
  <c r="CC3" i="27"/>
  <c r="CB3" i="27"/>
  <c r="CA3" i="27"/>
  <c r="BZ3" i="27"/>
  <c r="BY3" i="27"/>
  <c r="BX3" i="27"/>
  <c r="BW3" i="27"/>
  <c r="BV3" i="27"/>
  <c r="BK4" i="27"/>
  <c r="BL4" i="27"/>
  <c r="BM4" i="27"/>
  <c r="BN4" i="27"/>
  <c r="BO4" i="27"/>
  <c r="BP4" i="27"/>
  <c r="BQ4" i="27"/>
  <c r="BR4" i="27"/>
  <c r="BS4" i="27"/>
  <c r="BT4" i="27" s="1"/>
  <c r="BK5" i="27"/>
  <c r="BL5" i="27"/>
  <c r="BM5" i="27"/>
  <c r="BN5" i="27"/>
  <c r="BO5" i="27"/>
  <c r="BP5" i="27"/>
  <c r="BQ5" i="27"/>
  <c r="BR5" i="27"/>
  <c r="BS5" i="27"/>
  <c r="BT5" i="27" s="1"/>
  <c r="BU5" i="27"/>
  <c r="BK6" i="27"/>
  <c r="BL6" i="27"/>
  <c r="BM6" i="27"/>
  <c r="BN6" i="27"/>
  <c r="BO6" i="27"/>
  <c r="BP6" i="27"/>
  <c r="BQ6" i="27"/>
  <c r="BR6" i="27"/>
  <c r="BS6" i="27"/>
  <c r="BU6" i="27" s="1"/>
  <c r="BT6" i="27"/>
  <c r="BK7" i="27"/>
  <c r="BL7" i="27"/>
  <c r="BM7" i="27"/>
  <c r="BN7" i="27"/>
  <c r="BO7" i="27"/>
  <c r="BP7" i="27"/>
  <c r="BQ7" i="27"/>
  <c r="BR7" i="27"/>
  <c r="BS7" i="27"/>
  <c r="BT7" i="27"/>
  <c r="BU7" i="27"/>
  <c r="BU3" i="27"/>
  <c r="BT3" i="27"/>
  <c r="BS3" i="27"/>
  <c r="BR3" i="27"/>
  <c r="BQ3" i="27"/>
  <c r="BP3" i="27"/>
  <c r="BO3" i="27"/>
  <c r="BN3" i="27"/>
  <c r="BM3" i="27"/>
  <c r="BL3" i="27"/>
  <c r="BK3" i="27"/>
  <c r="CF10" i="25"/>
  <c r="CF11" i="25"/>
  <c r="CF12" i="25"/>
  <c r="CF13" i="25"/>
  <c r="CF9" i="25"/>
  <c r="CG9" i="25" s="1"/>
  <c r="BT8" i="25"/>
  <c r="BU8" i="25" s="1"/>
  <c r="BT3" i="25"/>
  <c r="BV3" i="25" s="1"/>
  <c r="BH4" i="25"/>
  <c r="BH5" i="25"/>
  <c r="BH6" i="25"/>
  <c r="BH7" i="25"/>
  <c r="BH8" i="25"/>
  <c r="BH9" i="25"/>
  <c r="BI9" i="25" s="1"/>
  <c r="BH10" i="25"/>
  <c r="BI10" i="25" s="1"/>
  <c r="BH11" i="25"/>
  <c r="BI11" i="25" s="1"/>
  <c r="BH12" i="25"/>
  <c r="BH13" i="25"/>
  <c r="BH3" i="25"/>
  <c r="CS15" i="25"/>
  <c r="CP15" i="25"/>
  <c r="CM15" i="25"/>
  <c r="CJ15" i="25"/>
  <c r="CG10" i="25"/>
  <c r="CI10" i="25"/>
  <c r="CJ10" i="25"/>
  <c r="CK10" i="25"/>
  <c r="CL10" i="25"/>
  <c r="CN10" i="25" s="1"/>
  <c r="CM10" i="25"/>
  <c r="CO10" i="25"/>
  <c r="CP10" i="25" s="1"/>
  <c r="CR10" i="25"/>
  <c r="CS10" i="25" s="1"/>
  <c r="CG11" i="25"/>
  <c r="CH11" i="25"/>
  <c r="CI11" i="25"/>
  <c r="CJ11" i="25"/>
  <c r="CK11" i="25"/>
  <c r="CL11" i="25"/>
  <c r="CR11" i="25" s="1"/>
  <c r="CM11" i="25"/>
  <c r="CN11" i="25"/>
  <c r="CO11" i="25"/>
  <c r="CQ11" i="25" s="1"/>
  <c r="CP11" i="25"/>
  <c r="CH12" i="25"/>
  <c r="CG12" i="25"/>
  <c r="CI12" i="25"/>
  <c r="CJ12" i="25" s="1"/>
  <c r="CL12" i="25"/>
  <c r="CM12" i="25" s="1"/>
  <c r="CO12" i="25"/>
  <c r="CP12" i="25" s="1"/>
  <c r="CQ12" i="25"/>
  <c r="CG13" i="25"/>
  <c r="CH13" i="25"/>
  <c r="CI13" i="25"/>
  <c r="CK13" i="25" s="1"/>
  <c r="CJ13" i="25"/>
  <c r="CL13" i="25"/>
  <c r="CM13" i="25"/>
  <c r="CN13" i="25"/>
  <c r="CO13" i="25"/>
  <c r="CQ13" i="25" s="1"/>
  <c r="CP13" i="25"/>
  <c r="CR13" i="25"/>
  <c r="CS13" i="25" s="1"/>
  <c r="CT9" i="25"/>
  <c r="CS9" i="25"/>
  <c r="CR9" i="25"/>
  <c r="CQ9" i="25"/>
  <c r="CP9" i="25"/>
  <c r="CO9" i="25"/>
  <c r="CN9" i="25"/>
  <c r="CM9" i="25"/>
  <c r="CL9" i="25"/>
  <c r="CK9" i="25"/>
  <c r="CJ9" i="25"/>
  <c r="CI9" i="25"/>
  <c r="CH9" i="25"/>
  <c r="BO15" i="25"/>
  <c r="BX15" i="25"/>
  <c r="CC4" i="25"/>
  <c r="CE4" i="25" s="1"/>
  <c r="CD4" i="25"/>
  <c r="CC5" i="25"/>
  <c r="CD5" i="25"/>
  <c r="CE5" i="25"/>
  <c r="CC6" i="25"/>
  <c r="CE6" i="25" s="1"/>
  <c r="CD6" i="25"/>
  <c r="CC7" i="25"/>
  <c r="CD7" i="25" s="1"/>
  <c r="CC8" i="25"/>
  <c r="CD8" i="25"/>
  <c r="CE8" i="25"/>
  <c r="CC9" i="25"/>
  <c r="CD9" i="25" s="1"/>
  <c r="CC10" i="25"/>
  <c r="CD10" i="25"/>
  <c r="CE10" i="25"/>
  <c r="CC11" i="25"/>
  <c r="CD11" i="25" s="1"/>
  <c r="CE11" i="25"/>
  <c r="CC12" i="25"/>
  <c r="CE12" i="25" s="1"/>
  <c r="CD12" i="25"/>
  <c r="CC13" i="25"/>
  <c r="CD13" i="25"/>
  <c r="CE13" i="25"/>
  <c r="CE3" i="25"/>
  <c r="CD3" i="25"/>
  <c r="CC3" i="25"/>
  <c r="CA4" i="25"/>
  <c r="CB4" i="25"/>
  <c r="CA5" i="25"/>
  <c r="CB5" i="25"/>
  <c r="CA6" i="25"/>
  <c r="CB6" i="25"/>
  <c r="CA7" i="25"/>
  <c r="CB7" i="25"/>
  <c r="CA8" i="25"/>
  <c r="CB8" i="25"/>
  <c r="CA9" i="25"/>
  <c r="CB9" i="25"/>
  <c r="CA10" i="25"/>
  <c r="CB10" i="25"/>
  <c r="CA11" i="25"/>
  <c r="CB11" i="25"/>
  <c r="CA12" i="25"/>
  <c r="CB12" i="25"/>
  <c r="CA13" i="25"/>
  <c r="CB13" i="25"/>
  <c r="CB3" i="25"/>
  <c r="CA3" i="25"/>
  <c r="BX4" i="25"/>
  <c r="BY4" i="25"/>
  <c r="BX5" i="25"/>
  <c r="BY5" i="25"/>
  <c r="BX6" i="25"/>
  <c r="BY6" i="25"/>
  <c r="BX7" i="25"/>
  <c r="BY7" i="25"/>
  <c r="BX8" i="25"/>
  <c r="BY8" i="25"/>
  <c r="BX9" i="25"/>
  <c r="BY9" i="25"/>
  <c r="BX10" i="25"/>
  <c r="BY10" i="25"/>
  <c r="BX11" i="25"/>
  <c r="BY11" i="25"/>
  <c r="BX12" i="25"/>
  <c r="BY12" i="25"/>
  <c r="BX13" i="25"/>
  <c r="BY13" i="25"/>
  <c r="BY3" i="25"/>
  <c r="BX3" i="25"/>
  <c r="BU4" i="25"/>
  <c r="BV4" i="25"/>
  <c r="BU5" i="25"/>
  <c r="BV5" i="25"/>
  <c r="BU6" i="25"/>
  <c r="BV6" i="25"/>
  <c r="BU7" i="25"/>
  <c r="BV7" i="25"/>
  <c r="BV8" i="25"/>
  <c r="BU9" i="25"/>
  <c r="BV9" i="25"/>
  <c r="BU10" i="25"/>
  <c r="BV10" i="25"/>
  <c r="BU11" i="25"/>
  <c r="BV11" i="25"/>
  <c r="BU12" i="25"/>
  <c r="BV12" i="25"/>
  <c r="BU13" i="25"/>
  <c r="BV13" i="25"/>
  <c r="BZ13" i="25"/>
  <c r="BZ12" i="25"/>
  <c r="BZ11" i="25"/>
  <c r="BZ10" i="25"/>
  <c r="BZ9" i="25"/>
  <c r="BZ7" i="25"/>
  <c r="BZ6" i="25"/>
  <c r="BZ5" i="25"/>
  <c r="BZ4" i="25"/>
  <c r="BW13" i="25"/>
  <c r="BW12" i="25"/>
  <c r="BW11" i="25"/>
  <c r="BW10" i="25"/>
  <c r="BW9" i="25"/>
  <c r="BW7" i="25"/>
  <c r="BW6" i="25"/>
  <c r="BW5" i="25"/>
  <c r="BW4" i="25"/>
  <c r="BT13" i="25"/>
  <c r="BT12" i="25"/>
  <c r="BT11" i="25"/>
  <c r="BT10" i="25"/>
  <c r="BT9" i="25"/>
  <c r="BT7" i="25"/>
  <c r="BT6" i="25"/>
  <c r="BT5" i="25"/>
  <c r="BT4" i="25"/>
  <c r="BZ8" i="25"/>
  <c r="BZ3" i="25"/>
  <c r="BW8" i="25"/>
  <c r="BW3" i="25"/>
  <c r="BI4" i="25"/>
  <c r="BK4" i="25"/>
  <c r="BL4" i="25"/>
  <c r="BM4" i="25"/>
  <c r="BN4" i="25"/>
  <c r="BP4" i="25" s="1"/>
  <c r="BO4" i="25"/>
  <c r="BI5" i="25"/>
  <c r="BJ5" i="25"/>
  <c r="BK5" i="25"/>
  <c r="BL5" i="25" s="1"/>
  <c r="BN5" i="25"/>
  <c r="BO5" i="25"/>
  <c r="BP5" i="25"/>
  <c r="BI6" i="25"/>
  <c r="BK6" i="25"/>
  <c r="BL6" i="25"/>
  <c r="BM6" i="25"/>
  <c r="BN6" i="25"/>
  <c r="BP6" i="25" s="1"/>
  <c r="BO6" i="25"/>
  <c r="BI7" i="25"/>
  <c r="BJ7" i="25"/>
  <c r="BK7" i="25"/>
  <c r="BL7" i="25" s="1"/>
  <c r="BN7" i="25"/>
  <c r="BO7" i="25"/>
  <c r="BP7" i="25"/>
  <c r="BI8" i="25"/>
  <c r="BK8" i="25"/>
  <c r="BL8" i="25"/>
  <c r="BM8" i="25"/>
  <c r="BN8" i="25"/>
  <c r="BP8" i="25" s="1"/>
  <c r="BO8" i="25"/>
  <c r="BK9" i="25"/>
  <c r="BL9" i="25" s="1"/>
  <c r="BN9" i="25"/>
  <c r="BO9" i="25"/>
  <c r="BP9" i="25"/>
  <c r="BK10" i="25"/>
  <c r="BL10" i="25"/>
  <c r="BM10" i="25"/>
  <c r="BN10" i="25"/>
  <c r="BP10" i="25" s="1"/>
  <c r="BO10" i="25"/>
  <c r="BJ11" i="25"/>
  <c r="BK11" i="25"/>
  <c r="BL11" i="25" s="1"/>
  <c r="BN11" i="25"/>
  <c r="BO11" i="25"/>
  <c r="BP11" i="25"/>
  <c r="BI12" i="25"/>
  <c r="BK12" i="25"/>
  <c r="BL12" i="25"/>
  <c r="BM12" i="25"/>
  <c r="BN12" i="25"/>
  <c r="BP12" i="25" s="1"/>
  <c r="BO12" i="25"/>
  <c r="BI13" i="25"/>
  <c r="BJ13" i="25"/>
  <c r="BK13" i="25"/>
  <c r="BL13" i="25" s="1"/>
  <c r="BN13" i="25"/>
  <c r="BO13" i="25"/>
  <c r="BP13" i="25"/>
  <c r="BS3" i="25"/>
  <c r="BR3" i="25"/>
  <c r="BQ3" i="25"/>
  <c r="BP3" i="25"/>
  <c r="BO3" i="25"/>
  <c r="BN3" i="25"/>
  <c r="BM3" i="25"/>
  <c r="BL3" i="25"/>
  <c r="BK3" i="25"/>
  <c r="BJ3" i="25"/>
  <c r="BI3" i="25"/>
  <c r="NS4" i="26"/>
  <c r="NS5" i="26"/>
  <c r="NS6" i="26"/>
  <c r="NS7" i="26"/>
  <c r="NS8" i="26"/>
  <c r="NS9" i="26"/>
  <c r="NS3" i="26"/>
  <c r="NO4" i="26"/>
  <c r="NP4" i="26"/>
  <c r="NQ4" i="26"/>
  <c r="NR4" i="26"/>
  <c r="NO5" i="26"/>
  <c r="NP5" i="26"/>
  <c r="NQ5" i="26"/>
  <c r="NR5" i="26"/>
  <c r="NO6" i="26"/>
  <c r="NP6" i="26"/>
  <c r="NQ6" i="26"/>
  <c r="NR6" i="26"/>
  <c r="NO7" i="26"/>
  <c r="NP7" i="26"/>
  <c r="NQ7" i="26"/>
  <c r="NR7" i="26"/>
  <c r="NO8" i="26"/>
  <c r="NP8" i="26"/>
  <c r="NQ8" i="26"/>
  <c r="NR8" i="26"/>
  <c r="NO9" i="26"/>
  <c r="NP9" i="26"/>
  <c r="NQ9" i="26"/>
  <c r="NR9" i="26"/>
  <c r="NR3" i="26"/>
  <c r="NQ3" i="26"/>
  <c r="NP3" i="26"/>
  <c r="NO3" i="26"/>
  <c r="MY9" i="26"/>
  <c r="MY8" i="26"/>
  <c r="MY7" i="26"/>
  <c r="MH9" i="26"/>
  <c r="MH8" i="26"/>
  <c r="MH7" i="26"/>
  <c r="LQ9" i="26"/>
  <c r="LQ8" i="26"/>
  <c r="LQ7" i="26"/>
  <c r="KZ9" i="26"/>
  <c r="KZ8" i="26"/>
  <c r="KZ7" i="26"/>
  <c r="KL9" i="26"/>
  <c r="KL8" i="26"/>
  <c r="KL7" i="26"/>
  <c r="JU9" i="26"/>
  <c r="JU8" i="26"/>
  <c r="JU7" i="26"/>
  <c r="JA9" i="26"/>
  <c r="JA8" i="26"/>
  <c r="JA7" i="26"/>
  <c r="ID9" i="26"/>
  <c r="ID8" i="26"/>
  <c r="ID7" i="26"/>
  <c r="HJ9" i="26"/>
  <c r="HJ8" i="26"/>
  <c r="HJ7" i="26"/>
  <c r="GS9" i="26"/>
  <c r="GS8" i="26"/>
  <c r="GS7" i="26"/>
  <c r="FH9" i="26"/>
  <c r="FH8" i="26"/>
  <c r="FH7" i="26"/>
  <c r="EN9" i="26"/>
  <c r="EN8" i="26"/>
  <c r="EN7" i="26"/>
  <c r="DW9" i="26"/>
  <c r="DW8" i="26"/>
  <c r="DW7" i="26"/>
  <c r="CZ9" i="26"/>
  <c r="CZ8" i="26"/>
  <c r="CZ7" i="26"/>
  <c r="CC9" i="26"/>
  <c r="CC8" i="26"/>
  <c r="CC7" i="26"/>
  <c r="BF9" i="26"/>
  <c r="BF8" i="26"/>
  <c r="BF7" i="26"/>
  <c r="AO9" i="26"/>
  <c r="AO8" i="26"/>
  <c r="AO7" i="26"/>
  <c r="X9" i="26"/>
  <c r="X8" i="26"/>
  <c r="X7" i="26"/>
  <c r="G9" i="26"/>
  <c r="G8" i="26"/>
  <c r="G7" i="26"/>
  <c r="MY6" i="26"/>
  <c r="MY5" i="26"/>
  <c r="MH6" i="26"/>
  <c r="MH5" i="26"/>
  <c r="LQ6" i="26"/>
  <c r="LQ5" i="26"/>
  <c r="KZ6" i="26"/>
  <c r="KZ5" i="26"/>
  <c r="KL6" i="26"/>
  <c r="KL5" i="26"/>
  <c r="JU6" i="26"/>
  <c r="JU5" i="26"/>
  <c r="JA6" i="26"/>
  <c r="JA5" i="26"/>
  <c r="ID6" i="26"/>
  <c r="ID5" i="26"/>
  <c r="HJ6" i="26"/>
  <c r="HJ5" i="26"/>
  <c r="GS6" i="26"/>
  <c r="GS5" i="26"/>
  <c r="FY5" i="26"/>
  <c r="FH6" i="26"/>
  <c r="FH5" i="26"/>
  <c r="EN6" i="26"/>
  <c r="EN5" i="26"/>
  <c r="DW6" i="26"/>
  <c r="DW5" i="26"/>
  <c r="CZ6" i="26"/>
  <c r="CZ5" i="26"/>
  <c r="CC6" i="26"/>
  <c r="BF6" i="26"/>
  <c r="BF5" i="26"/>
  <c r="AO6" i="26"/>
  <c r="AO5" i="26"/>
  <c r="X6" i="26"/>
  <c r="X5" i="26"/>
  <c r="G6" i="26"/>
  <c r="G5" i="26"/>
  <c r="MY4" i="26"/>
  <c r="MY3" i="26"/>
  <c r="MH4" i="26"/>
  <c r="MH3" i="26"/>
  <c r="LQ4" i="26"/>
  <c r="LQ3" i="26"/>
  <c r="KZ4" i="26"/>
  <c r="KZ3" i="26"/>
  <c r="KL4" i="26"/>
  <c r="KL3" i="26"/>
  <c r="JU4" i="26"/>
  <c r="JU3" i="26"/>
  <c r="JA4" i="26"/>
  <c r="JA3" i="26"/>
  <c r="ID4" i="26"/>
  <c r="ID3" i="26"/>
  <c r="HJ4" i="26"/>
  <c r="HJ3" i="26"/>
  <c r="GS4" i="26"/>
  <c r="GS3" i="26"/>
  <c r="FY3" i="26"/>
  <c r="FH4" i="26"/>
  <c r="FH3" i="26"/>
  <c r="EN4" i="26"/>
  <c r="EN3" i="26"/>
  <c r="DW4" i="26"/>
  <c r="DW3" i="26"/>
  <c r="CC4" i="26"/>
  <c r="CC3" i="26"/>
  <c r="BF4" i="26"/>
  <c r="BF3" i="26"/>
  <c r="AO4" i="26"/>
  <c r="AO3" i="26"/>
  <c r="X4" i="26"/>
  <c r="X3" i="26"/>
  <c r="G4" i="26"/>
  <c r="G3" i="26"/>
  <c r="H23" i="26"/>
  <c r="J23" i="26" s="1"/>
  <c r="K23" i="26" s="1"/>
  <c r="L23" i="26" s="1"/>
  <c r="H22" i="26"/>
  <c r="J22" i="26" s="1"/>
  <c r="K22" i="26" s="1"/>
  <c r="L22" i="26" s="1"/>
  <c r="H21" i="26"/>
  <c r="J21" i="26" s="1"/>
  <c r="K21" i="26" s="1"/>
  <c r="L21" i="26" s="1"/>
  <c r="H20" i="26"/>
  <c r="J20" i="26" s="1"/>
  <c r="K20" i="26" s="1"/>
  <c r="L20" i="26" s="1"/>
  <c r="H19" i="26"/>
  <c r="J18" i="26"/>
  <c r="K18" i="26"/>
  <c r="L18" i="26" s="1"/>
  <c r="H18" i="26"/>
  <c r="H17" i="26"/>
  <c r="J17" i="26"/>
  <c r="K17" i="26" s="1"/>
  <c r="L17" i="26" s="1"/>
  <c r="CX9" i="26"/>
  <c r="DU8" i="26"/>
  <c r="FF6" i="26"/>
  <c r="HH7" i="26"/>
  <c r="GQ7" i="26"/>
  <c r="X3" i="23"/>
  <c r="BF14" i="22"/>
  <c r="U30" i="14"/>
  <c r="U29" i="14"/>
  <c r="U28" i="14"/>
  <c r="U27" i="14"/>
  <c r="U26" i="14"/>
  <c r="W30" i="14"/>
  <c r="W29" i="14"/>
  <c r="W28" i="14"/>
  <c r="W27" i="14"/>
  <c r="W26" i="14"/>
  <c r="AN44" i="6"/>
  <c r="BF46" i="6"/>
  <c r="BH46" i="6"/>
  <c r="BF44" i="6"/>
  <c r="BF45" i="6"/>
  <c r="BH45" i="6"/>
  <c r="BH44" i="6"/>
  <c r="BF43" i="6"/>
  <c r="BH43" i="6"/>
  <c r="BF42" i="6"/>
  <c r="BH42" i="6"/>
  <c r="BF40" i="6"/>
  <c r="BH40" i="6"/>
  <c r="BF39" i="6"/>
  <c r="BH39" i="6"/>
  <c r="AN46" i="6"/>
  <c r="AN45" i="6"/>
  <c r="AP46" i="6"/>
  <c r="AP45" i="6"/>
  <c r="AP44" i="6"/>
  <c r="AN43" i="6"/>
  <c r="AP43" i="6"/>
  <c r="AN42" i="6"/>
  <c r="AP42" i="6"/>
  <c r="AN40" i="6"/>
  <c r="AP40" i="6"/>
  <c r="AN39" i="6"/>
  <c r="AN38" i="6"/>
  <c r="AP39" i="6"/>
  <c r="AP38" i="6"/>
  <c r="V46" i="6"/>
  <c r="X46" i="6"/>
  <c r="V45" i="6"/>
  <c r="X45" i="6"/>
  <c r="V44" i="6"/>
  <c r="X44" i="6"/>
  <c r="V43" i="6"/>
  <c r="V42" i="6"/>
  <c r="X43" i="6"/>
  <c r="X42" i="6"/>
  <c r="DV24" i="9" l="1"/>
  <c r="DU22" i="9" s="1"/>
  <c r="AZ13" i="24"/>
  <c r="BD12" i="24"/>
  <c r="AV12" i="24"/>
  <c r="AZ11" i="24"/>
  <c r="BD10" i="24"/>
  <c r="AV10" i="24"/>
  <c r="AZ9" i="24"/>
  <c r="BD8" i="24"/>
  <c r="AV8" i="24"/>
  <c r="AZ7" i="24"/>
  <c r="AY13" i="24"/>
  <c r="BC12" i="24"/>
  <c r="AU12" i="24"/>
  <c r="AY11" i="24"/>
  <c r="BC10" i="24"/>
  <c r="AU10" i="24"/>
  <c r="AY9" i="24"/>
  <c r="BC8" i="24"/>
  <c r="AU8" i="24"/>
  <c r="AY7" i="24"/>
  <c r="BF13" i="24"/>
  <c r="AX13" i="24"/>
  <c r="BB12" i="24"/>
  <c r="BF11" i="24"/>
  <c r="AX11" i="24"/>
  <c r="BB10" i="24"/>
  <c r="BF9" i="24"/>
  <c r="AX9" i="24"/>
  <c r="BB8" i="24"/>
  <c r="BF7" i="24"/>
  <c r="AX7" i="24"/>
  <c r="BE13" i="24"/>
  <c r="AW13" i="24"/>
  <c r="BA12" i="24"/>
  <c r="BE11" i="24"/>
  <c r="AW11" i="24"/>
  <c r="BA10" i="24"/>
  <c r="BE9" i="24"/>
  <c r="AW9" i="24"/>
  <c r="BA8" i="24"/>
  <c r="BE7" i="24"/>
  <c r="AW7" i="24"/>
  <c r="AP8" i="28"/>
  <c r="AQ8" i="28"/>
  <c r="AN8" i="28"/>
  <c r="AO8" i="28"/>
  <c r="AL8" i="28"/>
  <c r="AJ8" i="28"/>
  <c r="AR7" i="28"/>
  <c r="AO7" i="28"/>
  <c r="AL7" i="28"/>
  <c r="AM7" i="28"/>
  <c r="AK7" i="28"/>
  <c r="AJ7" i="28"/>
  <c r="AH7" i="28"/>
  <c r="AM6" i="28"/>
  <c r="AJ6" i="28"/>
  <c r="AH6" i="28"/>
  <c r="AI6" i="28"/>
  <c r="AR5" i="28"/>
  <c r="AO5" i="28"/>
  <c r="AM5" i="28"/>
  <c r="AJ5" i="28"/>
  <c r="AK5" i="28"/>
  <c r="AI5" i="28"/>
  <c r="AH5" i="28"/>
  <c r="H134" i="8"/>
  <c r="I134" i="8" s="1"/>
  <c r="CM5" i="27"/>
  <c r="CD5" i="27"/>
  <c r="CM4" i="27"/>
  <c r="CS7" i="27"/>
  <c r="CT6" i="27"/>
  <c r="DA6" i="27"/>
  <c r="BU4" i="27"/>
  <c r="CG15" i="25"/>
  <c r="BU3" i="25"/>
  <c r="BU15" i="25" s="1"/>
  <c r="BJ9" i="25"/>
  <c r="BI15" i="25"/>
  <c r="CS11" i="25"/>
  <c r="CT11" i="25"/>
  <c r="CN12" i="25"/>
  <c r="CT10" i="25"/>
  <c r="CT13" i="25"/>
  <c r="CK12" i="25"/>
  <c r="CQ10" i="25"/>
  <c r="CR12" i="25"/>
  <c r="CH10" i="25"/>
  <c r="CE7" i="25"/>
  <c r="CE9" i="25"/>
  <c r="BQ7" i="25"/>
  <c r="BQ13" i="25"/>
  <c r="BQ5" i="25"/>
  <c r="BQ9" i="25"/>
  <c r="BJ12" i="25"/>
  <c r="BJ10" i="25"/>
  <c r="BJ8" i="25"/>
  <c r="BJ6" i="25"/>
  <c r="BJ4" i="25"/>
  <c r="BQ11" i="25"/>
  <c r="BM13" i="25"/>
  <c r="BQ12" i="25"/>
  <c r="BM11" i="25"/>
  <c r="BQ10" i="25"/>
  <c r="BM9" i="25"/>
  <c r="BQ8" i="25"/>
  <c r="BM7" i="25"/>
  <c r="BQ6" i="25"/>
  <c r="BM5" i="25"/>
  <c r="BQ4" i="25"/>
  <c r="V38" i="6"/>
  <c r="X38" i="6"/>
  <c r="C80" i="5"/>
  <c r="C79" i="5"/>
  <c r="C78" i="5"/>
  <c r="C77" i="5"/>
  <c r="C76" i="5"/>
  <c r="C75" i="5"/>
  <c r="C74" i="5"/>
  <c r="C73" i="5"/>
  <c r="C72" i="5"/>
  <c r="C71" i="5"/>
  <c r="C70" i="5"/>
  <c r="C69" i="5"/>
  <c r="C68" i="5"/>
  <c r="C67" i="5"/>
  <c r="C66" i="5"/>
  <c r="C65" i="5"/>
  <c r="DA40" i="6"/>
  <c r="DA42" i="6"/>
  <c r="DA43" i="6"/>
  <c r="DA46" i="6"/>
  <c r="DD40" i="6"/>
  <c r="CG17" i="21"/>
  <c r="CG4" i="21"/>
  <c r="CG5" i="21"/>
  <c r="CG6" i="21"/>
  <c r="CG7" i="21"/>
  <c r="CG8" i="21"/>
  <c r="CG9" i="21"/>
  <c r="CG10" i="21"/>
  <c r="CG11" i="21"/>
  <c r="CG12" i="21"/>
  <c r="CG13" i="21"/>
  <c r="CG14" i="21"/>
  <c r="CG15" i="21"/>
  <c r="CG3" i="21"/>
  <c r="BS17" i="20"/>
  <c r="BS4" i="20"/>
  <c r="BS5" i="20"/>
  <c r="BS6" i="20"/>
  <c r="BS7" i="20"/>
  <c r="BS8" i="20"/>
  <c r="BS9" i="20"/>
  <c r="BS10" i="20"/>
  <c r="BS11" i="20"/>
  <c r="BS12" i="20"/>
  <c r="BS13" i="20"/>
  <c r="BS14" i="20"/>
  <c r="BS15" i="20"/>
  <c r="BS3" i="20"/>
  <c r="EG61" i="1"/>
  <c r="EG4" i="1"/>
  <c r="EG5" i="1"/>
  <c r="EG6" i="1"/>
  <c r="EG7" i="1"/>
  <c r="EG8" i="1"/>
  <c r="EG9" i="1"/>
  <c r="EG10" i="1"/>
  <c r="EG11" i="1"/>
  <c r="EG12" i="1"/>
  <c r="EG13" i="1"/>
  <c r="EG14" i="1"/>
  <c r="EG15" i="1"/>
  <c r="EG16" i="1"/>
  <c r="EG17" i="1"/>
  <c r="EG18" i="1"/>
  <c r="EG19" i="1"/>
  <c r="EG20" i="1"/>
  <c r="EG21" i="1"/>
  <c r="EG22" i="1"/>
  <c r="EG23" i="1"/>
  <c r="EG24" i="1"/>
  <c r="EG25" i="1"/>
  <c r="EG26" i="1"/>
  <c r="EG27" i="1"/>
  <c r="EG28" i="1"/>
  <c r="EG29" i="1"/>
  <c r="EG30" i="1"/>
  <c r="EG31" i="1"/>
  <c r="EG32" i="1"/>
  <c r="EG33" i="1"/>
  <c r="EG34" i="1"/>
  <c r="EG35" i="1"/>
  <c r="EG36" i="1"/>
  <c r="EG37" i="1"/>
  <c r="EG38" i="1"/>
  <c r="EG39" i="1"/>
  <c r="EG40" i="1"/>
  <c r="EG41" i="1"/>
  <c r="EG42" i="1"/>
  <c r="EG43" i="1"/>
  <c r="EG44" i="1"/>
  <c r="EG45" i="1"/>
  <c r="EG46" i="1"/>
  <c r="EG47" i="1"/>
  <c r="EG48" i="1"/>
  <c r="EG49" i="1"/>
  <c r="EG50" i="1"/>
  <c r="EG51" i="1"/>
  <c r="EG52" i="1"/>
  <c r="EG53" i="1"/>
  <c r="EG54" i="1"/>
  <c r="EG55" i="1"/>
  <c r="EG56" i="1"/>
  <c r="EG57" i="1"/>
  <c r="EG58" i="1"/>
  <c r="EG3" i="1"/>
  <c r="CX46" i="2"/>
  <c r="CX35" i="2"/>
  <c r="CX36" i="2"/>
  <c r="CX37" i="2"/>
  <c r="CX38" i="2"/>
  <c r="CX39" i="2"/>
  <c r="CX40" i="2"/>
  <c r="CX41" i="2"/>
  <c r="CX42" i="2"/>
  <c r="CX43" i="2"/>
  <c r="CX44" i="2"/>
  <c r="CX34" i="2"/>
  <c r="DA37" i="6"/>
  <c r="DA38" i="6"/>
  <c r="DA39" i="6"/>
  <c r="DA36" i="6"/>
  <c r="CK4" i="22"/>
  <c r="CK5" i="22"/>
  <c r="CK6" i="22"/>
  <c r="CK7" i="22"/>
  <c r="CK8" i="22"/>
  <c r="CK9" i="22"/>
  <c r="CK10" i="22"/>
  <c r="CK16" i="22" s="1"/>
  <c r="CK11" i="22"/>
  <c r="CK12" i="22"/>
  <c r="CK13" i="22"/>
  <c r="CK14" i="22"/>
  <c r="CK3" i="22"/>
  <c r="EI15" i="23"/>
  <c r="EI4" i="23"/>
  <c r="EI5" i="23"/>
  <c r="EI6" i="23"/>
  <c r="EI7" i="23"/>
  <c r="EI8" i="23"/>
  <c r="EI9" i="23"/>
  <c r="EI10" i="23"/>
  <c r="EI11" i="23"/>
  <c r="EI12" i="23"/>
  <c r="EI13" i="23"/>
  <c r="EI3" i="23"/>
  <c r="EG15" i="23"/>
  <c r="EG6" i="23"/>
  <c r="EG7" i="23"/>
  <c r="EG8" i="23"/>
  <c r="EG9" i="23"/>
  <c r="EG10" i="23"/>
  <c r="EG11" i="23"/>
  <c r="EG12" i="23"/>
  <c r="EG13" i="23"/>
  <c r="BW16" i="22"/>
  <c r="BI15" i="21"/>
  <c r="BL15" i="21" s="1"/>
  <c r="BO15" i="21" s="1"/>
  <c r="BJ15" i="21"/>
  <c r="BK15" i="21"/>
  <c r="BO13" i="20"/>
  <c r="BO14" i="20"/>
  <c r="BO15" i="20"/>
  <c r="BL13" i="20"/>
  <c r="BL14" i="20"/>
  <c r="BL15" i="20"/>
  <c r="BK13" i="20"/>
  <c r="BK14" i="20"/>
  <c r="BK15" i="20"/>
  <c r="BJ13" i="20"/>
  <c r="BJ14" i="20"/>
  <c r="BJ15" i="20"/>
  <c r="BI13" i="20"/>
  <c r="BI14" i="20"/>
  <c r="BI15" i="20"/>
  <c r="CJ13" i="22"/>
  <c r="CJ14" i="22"/>
  <c r="BF15" i="23"/>
  <c r="DS15" i="23"/>
  <c r="EH12" i="23"/>
  <c r="EH13" i="23"/>
  <c r="EF12" i="23"/>
  <c r="EF13" i="23"/>
  <c r="DS13" i="23"/>
  <c r="DS12" i="23"/>
  <c r="DB13" i="23"/>
  <c r="DB12" i="23"/>
  <c r="CK13" i="23"/>
  <c r="CK12" i="23"/>
  <c r="BT13" i="23"/>
  <c r="BT12" i="23"/>
  <c r="BF13" i="23"/>
  <c r="BF12" i="23"/>
  <c r="AO13" i="23"/>
  <c r="AO12" i="23"/>
  <c r="X13" i="23"/>
  <c r="X12" i="23"/>
  <c r="G13" i="23"/>
  <c r="G12" i="23"/>
  <c r="BW14" i="22"/>
  <c r="BW13" i="22"/>
  <c r="BF13" i="22"/>
  <c r="AO14" i="22"/>
  <c r="AO13" i="22"/>
  <c r="X14" i="22"/>
  <c r="X13" i="22"/>
  <c r="DA45" i="6"/>
  <c r="X7" i="23"/>
  <c r="X8" i="23"/>
  <c r="AO7" i="23"/>
  <c r="AO8" i="23"/>
  <c r="DS4" i="23"/>
  <c r="DS10" i="23"/>
  <c r="AW41" i="2"/>
  <c r="AI41" i="2"/>
  <c r="U41" i="2"/>
  <c r="J114" i="8"/>
  <c r="J111" i="8"/>
  <c r="F114" i="8"/>
  <c r="H114" i="8" s="1"/>
  <c r="I114" i="8" s="1"/>
  <c r="E114" i="8"/>
  <c r="D114" i="8"/>
  <c r="F113" i="8"/>
  <c r="E113" i="8"/>
  <c r="D113" i="8"/>
  <c r="F112" i="8"/>
  <c r="H112" i="8" s="1"/>
  <c r="I112" i="8" s="1"/>
  <c r="E112" i="8"/>
  <c r="D112" i="8"/>
  <c r="F111" i="8"/>
  <c r="E111" i="8"/>
  <c r="D111" i="8"/>
  <c r="J110" i="8"/>
  <c r="J107" i="8"/>
  <c r="F110" i="8"/>
  <c r="H110" i="8" s="1"/>
  <c r="I110" i="8" s="1"/>
  <c r="E110" i="8"/>
  <c r="D110" i="8"/>
  <c r="F108" i="8"/>
  <c r="H108" i="8" s="1"/>
  <c r="I108" i="8" s="1"/>
  <c r="F109" i="8"/>
  <c r="E109" i="8"/>
  <c r="D109" i="8"/>
  <c r="E108" i="8"/>
  <c r="D108" i="8"/>
  <c r="H107" i="8"/>
  <c r="I107" i="8" s="1"/>
  <c r="H109" i="8"/>
  <c r="I109" i="8" s="1"/>
  <c r="H111" i="8"/>
  <c r="I111" i="8" s="1"/>
  <c r="H113" i="8"/>
  <c r="I113" i="8" s="1"/>
  <c r="F107" i="8"/>
  <c r="FA79" i="8"/>
  <c r="FA80" i="8"/>
  <c r="FA81" i="8"/>
  <c r="FA82" i="8"/>
  <c r="FA83" i="8"/>
  <c r="FA84" i="8"/>
  <c r="FA85" i="8"/>
  <c r="FA86" i="8"/>
  <c r="FA87" i="8"/>
  <c r="EW79" i="8"/>
  <c r="EW80" i="8"/>
  <c r="EW81" i="8"/>
  <c r="EW82" i="8"/>
  <c r="EW83" i="8"/>
  <c r="EW84" i="8"/>
  <c r="EW85" i="8"/>
  <c r="EW86" i="8"/>
  <c r="EW87" i="8"/>
  <c r="ES79" i="8"/>
  <c r="ES80" i="8"/>
  <c r="ES81" i="8"/>
  <c r="ES82" i="8"/>
  <c r="ES83" i="8"/>
  <c r="ES84" i="8"/>
  <c r="ES85" i="8"/>
  <c r="ES86" i="8"/>
  <c r="ES87" i="8"/>
  <c r="EO79" i="8"/>
  <c r="EO80" i="8"/>
  <c r="EO81" i="8"/>
  <c r="EO82" i="8"/>
  <c r="EO83" i="8"/>
  <c r="EO84" i="8"/>
  <c r="EO85" i="8"/>
  <c r="EO86" i="8"/>
  <c r="EO87" i="8"/>
  <c r="EJ79" i="8"/>
  <c r="EJ80" i="8"/>
  <c r="EJ81" i="8"/>
  <c r="EJ82" i="8"/>
  <c r="EJ83" i="8"/>
  <c r="EJ84" i="8"/>
  <c r="EJ85" i="8"/>
  <c r="EJ86" i="8"/>
  <c r="EJ87" i="8"/>
  <c r="EF79" i="8"/>
  <c r="EF80" i="8"/>
  <c r="EF81" i="8"/>
  <c r="EF82" i="8"/>
  <c r="EF83" i="8"/>
  <c r="EF84" i="8"/>
  <c r="EF85" i="8"/>
  <c r="EF86" i="8"/>
  <c r="EF87" i="8"/>
  <c r="EB79" i="8"/>
  <c r="EB80" i="8"/>
  <c r="EB81" i="8"/>
  <c r="EB82" i="8"/>
  <c r="EB83" i="8"/>
  <c r="EB84" i="8"/>
  <c r="EB85" i="8"/>
  <c r="EB86" i="8"/>
  <c r="EB87" i="8"/>
  <c r="DX79" i="8"/>
  <c r="DX80" i="8"/>
  <c r="DX81" i="8"/>
  <c r="DX82" i="8"/>
  <c r="DX83" i="8"/>
  <c r="DX84" i="8"/>
  <c r="DX85" i="8"/>
  <c r="DX86" i="8"/>
  <c r="DX87" i="8"/>
  <c r="E107" i="8"/>
  <c r="D107" i="8"/>
  <c r="J106" i="8"/>
  <c r="J102" i="8"/>
  <c r="F106" i="8"/>
  <c r="E106" i="8"/>
  <c r="D106" i="8"/>
  <c r="F105" i="8"/>
  <c r="E105" i="8"/>
  <c r="D105" i="8"/>
  <c r="F104" i="8"/>
  <c r="E104" i="8"/>
  <c r="D104" i="8"/>
  <c r="DS79" i="8"/>
  <c r="DS80" i="8"/>
  <c r="DS81" i="8"/>
  <c r="DS82" i="8"/>
  <c r="DS83" i="8"/>
  <c r="DS84" i="8"/>
  <c r="DS85" i="8"/>
  <c r="DS86" i="8"/>
  <c r="DS87" i="8"/>
  <c r="DO79" i="8"/>
  <c r="DO80" i="8"/>
  <c r="DO81" i="8"/>
  <c r="DO82" i="8"/>
  <c r="DO83" i="8"/>
  <c r="DO84" i="8"/>
  <c r="DO85" i="8"/>
  <c r="DO86" i="8"/>
  <c r="DO87" i="8"/>
  <c r="DK79" i="8"/>
  <c r="DK80" i="8"/>
  <c r="DK81" i="8"/>
  <c r="DK82" i="8"/>
  <c r="DK83" i="8"/>
  <c r="DK84" i="8"/>
  <c r="DK85" i="8"/>
  <c r="DK86" i="8"/>
  <c r="DK87" i="8"/>
  <c r="F103" i="8"/>
  <c r="E103" i="8"/>
  <c r="D103" i="8"/>
  <c r="DG79" i="8"/>
  <c r="DG80" i="8"/>
  <c r="DG81" i="8"/>
  <c r="DG82" i="8"/>
  <c r="DG83" i="8"/>
  <c r="DG84" i="8"/>
  <c r="DG85" i="8"/>
  <c r="DG86" i="8"/>
  <c r="DG87" i="8"/>
  <c r="DC79" i="8"/>
  <c r="DC80" i="8"/>
  <c r="DC81" i="8"/>
  <c r="DC82" i="8"/>
  <c r="DC83" i="8"/>
  <c r="F102" i="8" s="1"/>
  <c r="DC84" i="8"/>
  <c r="DC85" i="8"/>
  <c r="DC86" i="8"/>
  <c r="DC87" i="8"/>
  <c r="E102" i="8"/>
  <c r="D102" i="8"/>
  <c r="ET14" i="23"/>
  <c r="ET13" i="23"/>
  <c r="EP13" i="23"/>
  <c r="ER13" i="23" s="1"/>
  <c r="ES13" i="23" s="1"/>
  <c r="EP14" i="23" s="1"/>
  <c r="ER14" i="23" s="1"/>
  <c r="ES14" i="23" s="1"/>
  <c r="CX15" i="22"/>
  <c r="CV15" i="22"/>
  <c r="CW15" i="22"/>
  <c r="CT15" i="22"/>
  <c r="CX14" i="22"/>
  <c r="CV14" i="22"/>
  <c r="CW14" i="22" s="1"/>
  <c r="CT14" i="22"/>
  <c r="CS12" i="25" l="1"/>
  <c r="CT12" i="25"/>
  <c r="BR4" i="25"/>
  <c r="BS4" i="25"/>
  <c r="BR12" i="25"/>
  <c r="BS12" i="25"/>
  <c r="BR9" i="25"/>
  <c r="BS9" i="25"/>
  <c r="BR8" i="25"/>
  <c r="BS8" i="25"/>
  <c r="BR5" i="25"/>
  <c r="BS5" i="25"/>
  <c r="BR10" i="25"/>
  <c r="BS10" i="25"/>
  <c r="BR6" i="25"/>
  <c r="BS6" i="25"/>
  <c r="BR11" i="25"/>
  <c r="BS11" i="25"/>
  <c r="BR13" i="25"/>
  <c r="BS13" i="25"/>
  <c r="BR7" i="25"/>
  <c r="BS7" i="25"/>
  <c r="BD19" i="19"/>
  <c r="BA19" i="19"/>
  <c r="AX19" i="19"/>
  <c r="AU19" i="19"/>
  <c r="H90" i="15"/>
  <c r="H91" i="15"/>
  <c r="H92" i="15"/>
  <c r="G92" i="15"/>
  <c r="G91" i="15"/>
  <c r="G90" i="15"/>
  <c r="H89" i="15"/>
  <c r="G89" i="15"/>
  <c r="H88" i="15"/>
  <c r="G88" i="15"/>
  <c r="AA41" i="15"/>
  <c r="AB41" i="15"/>
  <c r="AC41" i="15"/>
  <c r="AD41" i="15"/>
  <c r="AE41" i="15"/>
  <c r="AF41" i="15"/>
  <c r="AG41" i="15"/>
  <c r="AH41" i="15"/>
  <c r="AA42" i="15"/>
  <c r="AB42" i="15"/>
  <c r="AC42" i="15"/>
  <c r="AD42" i="15"/>
  <c r="AE42" i="15"/>
  <c r="AF42" i="15"/>
  <c r="AG42" i="15"/>
  <c r="AH42" i="15"/>
  <c r="AA43" i="15"/>
  <c r="AB43" i="15"/>
  <c r="AC43" i="15"/>
  <c r="AD43" i="15"/>
  <c r="AE43" i="15"/>
  <c r="AF43" i="15"/>
  <c r="AG43" i="15"/>
  <c r="AH43" i="15"/>
  <c r="AA44" i="15"/>
  <c r="AB44" i="15"/>
  <c r="AC44" i="15"/>
  <c r="AD44" i="15"/>
  <c r="AE44" i="15"/>
  <c r="AF44" i="15"/>
  <c r="AG44" i="15"/>
  <c r="AH44" i="15"/>
  <c r="AA45" i="15"/>
  <c r="AB45" i="15"/>
  <c r="AC45" i="15"/>
  <c r="AD45" i="15"/>
  <c r="AE45" i="15"/>
  <c r="AF45" i="15"/>
  <c r="AG45" i="15"/>
  <c r="AH45" i="15"/>
  <c r="AA46" i="15"/>
  <c r="AB46" i="15"/>
  <c r="AC46" i="15"/>
  <c r="AD46" i="15"/>
  <c r="AE46" i="15"/>
  <c r="AF46" i="15"/>
  <c r="AG46" i="15"/>
  <c r="AH46" i="15"/>
  <c r="AA47" i="15"/>
  <c r="AB47" i="15"/>
  <c r="AC47" i="15"/>
  <c r="AD47" i="15"/>
  <c r="AE47" i="15"/>
  <c r="AF47" i="15"/>
  <c r="AG47" i="15"/>
  <c r="AH47" i="15"/>
  <c r="AA48" i="15"/>
  <c r="AB48" i="15"/>
  <c r="AC48" i="15"/>
  <c r="AD48" i="15"/>
  <c r="AE48" i="15"/>
  <c r="AF48" i="15"/>
  <c r="AG48" i="15"/>
  <c r="AH48" i="15"/>
  <c r="AA49" i="15"/>
  <c r="AB49" i="15"/>
  <c r="AC49" i="15"/>
  <c r="AD49" i="15"/>
  <c r="AE49" i="15"/>
  <c r="AF49" i="15"/>
  <c r="AG49" i="15"/>
  <c r="AH49" i="15"/>
  <c r="AA50" i="15"/>
  <c r="AB50" i="15"/>
  <c r="AC50" i="15"/>
  <c r="AD50" i="15"/>
  <c r="AE50" i="15"/>
  <c r="AF50" i="15"/>
  <c r="AG50" i="15"/>
  <c r="AH50" i="15"/>
  <c r="AA51" i="15"/>
  <c r="AB51" i="15"/>
  <c r="AC51" i="15"/>
  <c r="AD51" i="15"/>
  <c r="AE51" i="15"/>
  <c r="AF51" i="15"/>
  <c r="AG51" i="15"/>
  <c r="AH51" i="15"/>
  <c r="AA52" i="15"/>
  <c r="AB52" i="15"/>
  <c r="AC52" i="15"/>
  <c r="AD52" i="15"/>
  <c r="AE52" i="15"/>
  <c r="AF52" i="15"/>
  <c r="AG52" i="15"/>
  <c r="AH52" i="15"/>
  <c r="AA53" i="15"/>
  <c r="AB53" i="15"/>
  <c r="AC53" i="15"/>
  <c r="AD53" i="15"/>
  <c r="AE53" i="15"/>
  <c r="AF53" i="15"/>
  <c r="AG53" i="15"/>
  <c r="AH53" i="15"/>
  <c r="AA54" i="15"/>
  <c r="AB54" i="15"/>
  <c r="AC54" i="15"/>
  <c r="AD54" i="15"/>
  <c r="AE54" i="15"/>
  <c r="AF54" i="15"/>
  <c r="AG54" i="15"/>
  <c r="AH54" i="15"/>
  <c r="AA55" i="15"/>
  <c r="AB55" i="15"/>
  <c r="AC55" i="15"/>
  <c r="AD55" i="15"/>
  <c r="AE55" i="15"/>
  <c r="AF55" i="15"/>
  <c r="AG55" i="15"/>
  <c r="AH55" i="15"/>
  <c r="AA56" i="15"/>
  <c r="AB56" i="15"/>
  <c r="AC56" i="15"/>
  <c r="AD56" i="15"/>
  <c r="AE56" i="15"/>
  <c r="AF56" i="15"/>
  <c r="AG56" i="15"/>
  <c r="AH56" i="15"/>
  <c r="AA57" i="15"/>
  <c r="AB57" i="15"/>
  <c r="AC57" i="15"/>
  <c r="AD57" i="15"/>
  <c r="AE57" i="15"/>
  <c r="AF57" i="15"/>
  <c r="AG57" i="15"/>
  <c r="AH57" i="15"/>
  <c r="AA58" i="15"/>
  <c r="AB58" i="15"/>
  <c r="AC58" i="15"/>
  <c r="AD58" i="15"/>
  <c r="AE58" i="15"/>
  <c r="AF58" i="15"/>
  <c r="AG58" i="15"/>
  <c r="AH58" i="15"/>
  <c r="AA59" i="15"/>
  <c r="AB59" i="15"/>
  <c r="AC59" i="15"/>
  <c r="AD59" i="15"/>
  <c r="AE59" i="15"/>
  <c r="AF59" i="15"/>
  <c r="AG59" i="15"/>
  <c r="AH59" i="15"/>
  <c r="AA60" i="15"/>
  <c r="AB60" i="15"/>
  <c r="AC60" i="15"/>
  <c r="AD60" i="15"/>
  <c r="AE60" i="15"/>
  <c r="AF60" i="15"/>
  <c r="AG60" i="15"/>
  <c r="AH60" i="15"/>
  <c r="AA61" i="15"/>
  <c r="AB61" i="15"/>
  <c r="AC61" i="15"/>
  <c r="AD61" i="15"/>
  <c r="AE61" i="15"/>
  <c r="AF61" i="15"/>
  <c r="AG61" i="15"/>
  <c r="AH61" i="15"/>
  <c r="AA62" i="15"/>
  <c r="AB62" i="15"/>
  <c r="AC62" i="15"/>
  <c r="AD62" i="15"/>
  <c r="AE62" i="15"/>
  <c r="AF62" i="15"/>
  <c r="AG62" i="15"/>
  <c r="AH62" i="15"/>
  <c r="AA63" i="15"/>
  <c r="AB63" i="15"/>
  <c r="AC63" i="15"/>
  <c r="AD63" i="15"/>
  <c r="AE63" i="15"/>
  <c r="AF63" i="15"/>
  <c r="AG63" i="15"/>
  <c r="AH63" i="15"/>
  <c r="AA64" i="15"/>
  <c r="AB64" i="15"/>
  <c r="AC64" i="15"/>
  <c r="AD64" i="15"/>
  <c r="AE64" i="15"/>
  <c r="AF64" i="15"/>
  <c r="AG64" i="15"/>
  <c r="AH64" i="15"/>
  <c r="AA65" i="15"/>
  <c r="AB65" i="15"/>
  <c r="AC65" i="15"/>
  <c r="AD65" i="15"/>
  <c r="AE65" i="15"/>
  <c r="AF65" i="15"/>
  <c r="AG65" i="15"/>
  <c r="AH65" i="15"/>
  <c r="AA66" i="15"/>
  <c r="AB66" i="15"/>
  <c r="AC66" i="15"/>
  <c r="AD66" i="15"/>
  <c r="AE66" i="15"/>
  <c r="AF66" i="15"/>
  <c r="AG66" i="15"/>
  <c r="AH66" i="15"/>
  <c r="AA67" i="15"/>
  <c r="AB67" i="15"/>
  <c r="AC67" i="15"/>
  <c r="AD67" i="15"/>
  <c r="AE67" i="15"/>
  <c r="AF67" i="15"/>
  <c r="AG67" i="15"/>
  <c r="AH67" i="15"/>
  <c r="AA68" i="15"/>
  <c r="AB68" i="15"/>
  <c r="AC68" i="15"/>
  <c r="AD68" i="15"/>
  <c r="AE68" i="15"/>
  <c r="AF68" i="15"/>
  <c r="AG68" i="15"/>
  <c r="AH68" i="15"/>
  <c r="AA69" i="15"/>
  <c r="AB69" i="15"/>
  <c r="AC69" i="15"/>
  <c r="AD69" i="15"/>
  <c r="AE69" i="15"/>
  <c r="AF69" i="15"/>
  <c r="AG69" i="15"/>
  <c r="AH69" i="15"/>
  <c r="AA70" i="15"/>
  <c r="AB70" i="15"/>
  <c r="AC70" i="15"/>
  <c r="AD70" i="15"/>
  <c r="AE70" i="15"/>
  <c r="AF70" i="15"/>
  <c r="AG70" i="15"/>
  <c r="AH70" i="15"/>
  <c r="AA71" i="15"/>
  <c r="AB71" i="15"/>
  <c r="AC71" i="15"/>
  <c r="AD71" i="15"/>
  <c r="AE71" i="15"/>
  <c r="AF71" i="15"/>
  <c r="AG71" i="15"/>
  <c r="AH71" i="15"/>
  <c r="AA72" i="15"/>
  <c r="AB72" i="15"/>
  <c r="AC72" i="15"/>
  <c r="AD72" i="15"/>
  <c r="AE72" i="15"/>
  <c r="AF72" i="15"/>
  <c r="AG72" i="15"/>
  <c r="AH72" i="15"/>
  <c r="AA73" i="15"/>
  <c r="AB73" i="15"/>
  <c r="AC73" i="15"/>
  <c r="AD73" i="15"/>
  <c r="AE73" i="15"/>
  <c r="AF73" i="15"/>
  <c r="AG73" i="15"/>
  <c r="AH73" i="15"/>
  <c r="AA74" i="15"/>
  <c r="AB74" i="15"/>
  <c r="AC74" i="15"/>
  <c r="AD74" i="15"/>
  <c r="AE74" i="15"/>
  <c r="AF74" i="15"/>
  <c r="AG74" i="15"/>
  <c r="AH74" i="15"/>
  <c r="AA75" i="15"/>
  <c r="AB75" i="15"/>
  <c r="AC75" i="15"/>
  <c r="AD75" i="15"/>
  <c r="AE75" i="15"/>
  <c r="AF75" i="15"/>
  <c r="AG75" i="15"/>
  <c r="AH75" i="15"/>
  <c r="AA76" i="15"/>
  <c r="AB76" i="15"/>
  <c r="AC76" i="15"/>
  <c r="AD76" i="15"/>
  <c r="AE76" i="15"/>
  <c r="AF76" i="15"/>
  <c r="AG76" i="15"/>
  <c r="AH76" i="15"/>
  <c r="AA77" i="15"/>
  <c r="AB77" i="15"/>
  <c r="AC77" i="15"/>
  <c r="AD77" i="15"/>
  <c r="AE77" i="15"/>
  <c r="AF77" i="15"/>
  <c r="AG77" i="15"/>
  <c r="AH77" i="15"/>
  <c r="AA78" i="15"/>
  <c r="AB78" i="15"/>
  <c r="AC78" i="15"/>
  <c r="AD78" i="15"/>
  <c r="AE78" i="15"/>
  <c r="AF78" i="15"/>
  <c r="AG78" i="15"/>
  <c r="AH78" i="15"/>
  <c r="AA79" i="15"/>
  <c r="AB79" i="15"/>
  <c r="AC79" i="15"/>
  <c r="AD79" i="15"/>
  <c r="AE79" i="15"/>
  <c r="AF79" i="15"/>
  <c r="AG79" i="15"/>
  <c r="AH79" i="15"/>
  <c r="AA80" i="15"/>
  <c r="AB80" i="15"/>
  <c r="AC80" i="15"/>
  <c r="AD80" i="15"/>
  <c r="AE80" i="15"/>
  <c r="AF80" i="15"/>
  <c r="AG80" i="15"/>
  <c r="AH80" i="15"/>
  <c r="AA81" i="15"/>
  <c r="AB81" i="15"/>
  <c r="AC81" i="15"/>
  <c r="AD81" i="15"/>
  <c r="AE81" i="15"/>
  <c r="AF81" i="15"/>
  <c r="AG81" i="15"/>
  <c r="AH81" i="15"/>
  <c r="AA82" i="15"/>
  <c r="AB82" i="15"/>
  <c r="AC82" i="15"/>
  <c r="AD82" i="15"/>
  <c r="AE82" i="15"/>
  <c r="AF82" i="15"/>
  <c r="AG82" i="15"/>
  <c r="AH82" i="15"/>
  <c r="AA83" i="15"/>
  <c r="AB83" i="15"/>
  <c r="AC83" i="15"/>
  <c r="AD83" i="15"/>
  <c r="AE83" i="15"/>
  <c r="AF83" i="15"/>
  <c r="AG83" i="15"/>
  <c r="AH83" i="15"/>
  <c r="AH40" i="15"/>
  <c r="AG40" i="15"/>
  <c r="AF40" i="15"/>
  <c r="AE40" i="15"/>
  <c r="AD40" i="15"/>
  <c r="AC40" i="15"/>
  <c r="AB40" i="15"/>
  <c r="AA40" i="15"/>
  <c r="Y41" i="15"/>
  <c r="Z41" i="15"/>
  <c r="Y42" i="15"/>
  <c r="Z42" i="15"/>
  <c r="Y43" i="15"/>
  <c r="Z43" i="15"/>
  <c r="Y44" i="15"/>
  <c r="Z44" i="15"/>
  <c r="Y45" i="15"/>
  <c r="Z45" i="15"/>
  <c r="Y46" i="15"/>
  <c r="Z46" i="15"/>
  <c r="Y47" i="15"/>
  <c r="Z47" i="15"/>
  <c r="Y48" i="15"/>
  <c r="Z48" i="15"/>
  <c r="Y49" i="15"/>
  <c r="Z49" i="15"/>
  <c r="Y50" i="15"/>
  <c r="Z50" i="15"/>
  <c r="Y51" i="15"/>
  <c r="Z51" i="15"/>
  <c r="Y52" i="15"/>
  <c r="Z52" i="15"/>
  <c r="Y53" i="15"/>
  <c r="Z53" i="15"/>
  <c r="Y54" i="15"/>
  <c r="Z54" i="15"/>
  <c r="Y55" i="15"/>
  <c r="Z55" i="15"/>
  <c r="Y56" i="15"/>
  <c r="Z56" i="15"/>
  <c r="Y57" i="15"/>
  <c r="Z57" i="15"/>
  <c r="Y58" i="15"/>
  <c r="Z58" i="15"/>
  <c r="Y59" i="15"/>
  <c r="Z59" i="15"/>
  <c r="Y60" i="15"/>
  <c r="Z60" i="15"/>
  <c r="Y61" i="15"/>
  <c r="Z61" i="15"/>
  <c r="Y62" i="15"/>
  <c r="Z62" i="15"/>
  <c r="Y63" i="15"/>
  <c r="Z63" i="15"/>
  <c r="Y64" i="15"/>
  <c r="Z64" i="15"/>
  <c r="Y65" i="15"/>
  <c r="Z65" i="15"/>
  <c r="Y66" i="15"/>
  <c r="Z66" i="15"/>
  <c r="Y67" i="15"/>
  <c r="Z67" i="15"/>
  <c r="Y68" i="15"/>
  <c r="Z68" i="15"/>
  <c r="Y69" i="15"/>
  <c r="Z69" i="15"/>
  <c r="Y70" i="15"/>
  <c r="Z70" i="15"/>
  <c r="Y71" i="15"/>
  <c r="Z71" i="15"/>
  <c r="Y72" i="15"/>
  <c r="Z72" i="15"/>
  <c r="Y73" i="15"/>
  <c r="Z73" i="15"/>
  <c r="Y74" i="15"/>
  <c r="Z74" i="15"/>
  <c r="Y75" i="15"/>
  <c r="Z75" i="15"/>
  <c r="Y76" i="15"/>
  <c r="Z76" i="15"/>
  <c r="Y77" i="15"/>
  <c r="Z77" i="15"/>
  <c r="Y78" i="15"/>
  <c r="Z78" i="15"/>
  <c r="Y79" i="15"/>
  <c r="Z79" i="15"/>
  <c r="Y80" i="15"/>
  <c r="Z80" i="15"/>
  <c r="Y81" i="15"/>
  <c r="Z81" i="15"/>
  <c r="Y82" i="15"/>
  <c r="Z82" i="15"/>
  <c r="Y83" i="15"/>
  <c r="Z83" i="15"/>
  <c r="Z40" i="15"/>
  <c r="Y40" i="15"/>
  <c r="F92" i="15"/>
  <c r="E92" i="15"/>
  <c r="F91" i="15"/>
  <c r="E91" i="15"/>
  <c r="F90" i="15"/>
  <c r="E90" i="15"/>
  <c r="F89" i="15"/>
  <c r="E89" i="15"/>
  <c r="F88" i="15"/>
  <c r="E88" i="15"/>
  <c r="K74" i="15"/>
  <c r="W41" i="15"/>
  <c r="X41" i="15"/>
  <c r="W42" i="15"/>
  <c r="X42" i="15"/>
  <c r="W43" i="15"/>
  <c r="X43" i="15"/>
  <c r="W44" i="15"/>
  <c r="X44" i="15"/>
  <c r="W45" i="15"/>
  <c r="X45" i="15"/>
  <c r="W46" i="15"/>
  <c r="X46" i="15"/>
  <c r="W47" i="15"/>
  <c r="X47" i="15"/>
  <c r="W48" i="15"/>
  <c r="X48" i="15"/>
  <c r="W49" i="15"/>
  <c r="X49" i="15"/>
  <c r="W50" i="15"/>
  <c r="X50" i="15"/>
  <c r="W51" i="15"/>
  <c r="X51" i="15"/>
  <c r="W52" i="15"/>
  <c r="X52" i="15"/>
  <c r="W53" i="15"/>
  <c r="X53" i="15"/>
  <c r="W54" i="15"/>
  <c r="X54" i="15"/>
  <c r="W55" i="15"/>
  <c r="X55" i="15"/>
  <c r="W56" i="15"/>
  <c r="X56" i="15"/>
  <c r="W57" i="15"/>
  <c r="X57" i="15"/>
  <c r="W58" i="15"/>
  <c r="X58" i="15"/>
  <c r="W59" i="15"/>
  <c r="X59" i="15"/>
  <c r="W60" i="15"/>
  <c r="X60" i="15"/>
  <c r="W61" i="15"/>
  <c r="X61" i="15"/>
  <c r="W62" i="15"/>
  <c r="X62" i="15"/>
  <c r="W63" i="15"/>
  <c r="X63" i="15"/>
  <c r="W64" i="15"/>
  <c r="X64" i="15"/>
  <c r="W65" i="15"/>
  <c r="X65" i="15"/>
  <c r="W66" i="15"/>
  <c r="X66" i="15"/>
  <c r="W67" i="15"/>
  <c r="X67" i="15"/>
  <c r="W68" i="15"/>
  <c r="X68" i="15"/>
  <c r="W69" i="15"/>
  <c r="X69" i="15"/>
  <c r="W70" i="15"/>
  <c r="X70" i="15"/>
  <c r="W71" i="15"/>
  <c r="X71" i="15"/>
  <c r="W72" i="15"/>
  <c r="X72" i="15"/>
  <c r="S41" i="15"/>
  <c r="T41" i="15"/>
  <c r="S42" i="15"/>
  <c r="T42" i="15"/>
  <c r="S43" i="15"/>
  <c r="T43" i="15"/>
  <c r="S44" i="15"/>
  <c r="T44" i="15"/>
  <c r="S45" i="15"/>
  <c r="T45" i="15"/>
  <c r="S46" i="15"/>
  <c r="T46" i="15"/>
  <c r="S47" i="15"/>
  <c r="T47" i="15"/>
  <c r="S48" i="15"/>
  <c r="T48" i="15"/>
  <c r="S49" i="15"/>
  <c r="T49" i="15"/>
  <c r="S50" i="15"/>
  <c r="T50" i="15"/>
  <c r="S51" i="15"/>
  <c r="T51" i="15"/>
  <c r="S52" i="15"/>
  <c r="T52" i="15"/>
  <c r="S53" i="15"/>
  <c r="T53" i="15"/>
  <c r="S54" i="15"/>
  <c r="T54" i="15"/>
  <c r="S55" i="15"/>
  <c r="T55" i="15"/>
  <c r="S56" i="15"/>
  <c r="T56" i="15"/>
  <c r="S57" i="15"/>
  <c r="T57" i="15"/>
  <c r="S58" i="15"/>
  <c r="T58" i="15"/>
  <c r="S59" i="15"/>
  <c r="T59" i="15"/>
  <c r="S60" i="15"/>
  <c r="T60" i="15"/>
  <c r="S61" i="15"/>
  <c r="T61" i="15"/>
  <c r="S62" i="15"/>
  <c r="T62" i="15"/>
  <c r="S63" i="15"/>
  <c r="T63" i="15"/>
  <c r="S64" i="15"/>
  <c r="T64" i="15"/>
  <c r="S65" i="15"/>
  <c r="T65" i="15"/>
  <c r="S66" i="15"/>
  <c r="T66" i="15"/>
  <c r="S67" i="15"/>
  <c r="T67" i="15"/>
  <c r="S68" i="15"/>
  <c r="T68" i="15"/>
  <c r="S69" i="15"/>
  <c r="T69" i="15"/>
  <c r="S70" i="15"/>
  <c r="T70" i="15"/>
  <c r="S71" i="15"/>
  <c r="T71" i="15"/>
  <c r="S72" i="15"/>
  <c r="T72" i="15"/>
  <c r="S73" i="15"/>
  <c r="T73" i="15"/>
  <c r="S74" i="15"/>
  <c r="T74" i="15"/>
  <c r="S75" i="15"/>
  <c r="T75" i="15"/>
  <c r="S76" i="15"/>
  <c r="T76" i="15"/>
  <c r="S77" i="15"/>
  <c r="T77" i="15"/>
  <c r="S78" i="15"/>
  <c r="T78" i="15"/>
  <c r="S79" i="15"/>
  <c r="T79" i="15"/>
  <c r="S80" i="15"/>
  <c r="T80" i="15"/>
  <c r="S81" i="15"/>
  <c r="T81" i="15"/>
  <c r="S82" i="15"/>
  <c r="T82" i="15"/>
  <c r="S83" i="15"/>
  <c r="T83" i="15"/>
  <c r="O41" i="15"/>
  <c r="P41" i="15"/>
  <c r="O42" i="15"/>
  <c r="P42" i="15"/>
  <c r="O43" i="15"/>
  <c r="P43" i="15"/>
  <c r="O44" i="15"/>
  <c r="P44" i="15"/>
  <c r="O45" i="15"/>
  <c r="P45" i="15"/>
  <c r="O46" i="15"/>
  <c r="P46" i="15"/>
  <c r="O47" i="15"/>
  <c r="P47" i="15"/>
  <c r="O48" i="15"/>
  <c r="P48" i="15"/>
  <c r="O49" i="15"/>
  <c r="P49" i="15"/>
  <c r="O50" i="15"/>
  <c r="P50" i="15"/>
  <c r="O51" i="15"/>
  <c r="P51" i="15"/>
  <c r="O52" i="15"/>
  <c r="P52" i="15"/>
  <c r="O53" i="15"/>
  <c r="P53" i="15"/>
  <c r="O54" i="15"/>
  <c r="P54" i="15"/>
  <c r="O55" i="15"/>
  <c r="P55" i="15"/>
  <c r="O56" i="15"/>
  <c r="P56" i="15"/>
  <c r="O57" i="15"/>
  <c r="P57" i="15"/>
  <c r="O58" i="15"/>
  <c r="P58" i="15"/>
  <c r="O59" i="15"/>
  <c r="P59" i="15"/>
  <c r="O60" i="15"/>
  <c r="P60" i="15"/>
  <c r="O61" i="15"/>
  <c r="P61" i="15"/>
  <c r="O62" i="15"/>
  <c r="P62" i="15"/>
  <c r="O63" i="15"/>
  <c r="P63" i="15"/>
  <c r="O64" i="15"/>
  <c r="P64" i="15"/>
  <c r="O65" i="15"/>
  <c r="P65" i="15"/>
  <c r="O66" i="15"/>
  <c r="P66" i="15"/>
  <c r="O67" i="15"/>
  <c r="P67" i="15"/>
  <c r="O68" i="15"/>
  <c r="P68" i="15"/>
  <c r="O69" i="15"/>
  <c r="P69" i="15"/>
  <c r="O70" i="15"/>
  <c r="P70" i="15"/>
  <c r="O71" i="15"/>
  <c r="P71" i="15"/>
  <c r="O72" i="15"/>
  <c r="P72" i="15"/>
  <c r="O73" i="15"/>
  <c r="P73" i="15"/>
  <c r="O74" i="15"/>
  <c r="P74" i="15"/>
  <c r="O75" i="15"/>
  <c r="P75" i="15"/>
  <c r="O76" i="15"/>
  <c r="P76" i="15"/>
  <c r="O77" i="15"/>
  <c r="P77" i="15"/>
  <c r="O78" i="15"/>
  <c r="P78" i="15"/>
  <c r="O79" i="15"/>
  <c r="P79" i="15"/>
  <c r="O80" i="15"/>
  <c r="P80" i="15"/>
  <c r="O81" i="15"/>
  <c r="P81" i="15"/>
  <c r="O82" i="15"/>
  <c r="P82" i="15"/>
  <c r="O83" i="15"/>
  <c r="P83" i="15"/>
  <c r="K41" i="15"/>
  <c r="L41" i="15"/>
  <c r="K42" i="15"/>
  <c r="L42" i="15"/>
  <c r="K43" i="15"/>
  <c r="L43" i="15"/>
  <c r="K44" i="15"/>
  <c r="L44" i="15"/>
  <c r="K45" i="15"/>
  <c r="L45" i="15"/>
  <c r="K46" i="15"/>
  <c r="L46" i="15"/>
  <c r="K47" i="15"/>
  <c r="L47" i="15"/>
  <c r="K48" i="15"/>
  <c r="L48" i="15"/>
  <c r="K49" i="15"/>
  <c r="L49" i="15"/>
  <c r="K50" i="15"/>
  <c r="L50" i="15"/>
  <c r="K51" i="15"/>
  <c r="L51" i="15"/>
  <c r="K52" i="15"/>
  <c r="L52" i="15"/>
  <c r="K53" i="15"/>
  <c r="L53" i="15"/>
  <c r="K54" i="15"/>
  <c r="L54" i="15"/>
  <c r="K55" i="15"/>
  <c r="L55" i="15"/>
  <c r="K56" i="15"/>
  <c r="L56" i="15"/>
  <c r="K57" i="15"/>
  <c r="L57" i="15"/>
  <c r="K58" i="15"/>
  <c r="L58" i="15"/>
  <c r="K59" i="15"/>
  <c r="L59" i="15"/>
  <c r="K60" i="15"/>
  <c r="L60" i="15"/>
  <c r="K61" i="15"/>
  <c r="L61" i="15"/>
  <c r="K62" i="15"/>
  <c r="L62" i="15"/>
  <c r="K63" i="15"/>
  <c r="L63" i="15"/>
  <c r="K64" i="15"/>
  <c r="L64" i="15"/>
  <c r="K65" i="15"/>
  <c r="L65" i="15"/>
  <c r="K66" i="15"/>
  <c r="L66" i="15"/>
  <c r="K67" i="15"/>
  <c r="L67" i="15"/>
  <c r="K68" i="15"/>
  <c r="L68" i="15"/>
  <c r="K69" i="15"/>
  <c r="L69" i="15"/>
  <c r="K70" i="15"/>
  <c r="L70" i="15"/>
  <c r="K71" i="15"/>
  <c r="L71" i="15"/>
  <c r="K72" i="15"/>
  <c r="L72" i="15"/>
  <c r="K73" i="15"/>
  <c r="L73" i="15"/>
  <c r="L74" i="15"/>
  <c r="K75" i="15"/>
  <c r="L75" i="15"/>
  <c r="K76" i="15"/>
  <c r="L76" i="15"/>
  <c r="K77" i="15"/>
  <c r="L77" i="15"/>
  <c r="K78" i="15"/>
  <c r="L78" i="15"/>
  <c r="K79" i="15"/>
  <c r="L79" i="15"/>
  <c r="K80" i="15"/>
  <c r="L80" i="15"/>
  <c r="K81" i="15"/>
  <c r="L81" i="15"/>
  <c r="K82" i="15"/>
  <c r="L82" i="15"/>
  <c r="K83" i="15"/>
  <c r="L83" i="15"/>
  <c r="X40" i="15"/>
  <c r="W40" i="15"/>
  <c r="T40" i="15"/>
  <c r="S40" i="15"/>
  <c r="L40" i="15"/>
  <c r="K40" i="15"/>
  <c r="G67" i="15"/>
  <c r="G41" i="15"/>
  <c r="H41" i="15"/>
  <c r="G42" i="15"/>
  <c r="H42" i="15"/>
  <c r="G43" i="15"/>
  <c r="H43" i="15"/>
  <c r="G44" i="15"/>
  <c r="H44" i="15"/>
  <c r="G45" i="15"/>
  <c r="H45" i="15"/>
  <c r="G46" i="15"/>
  <c r="H46" i="15"/>
  <c r="G47" i="15"/>
  <c r="H47" i="15"/>
  <c r="G48" i="15"/>
  <c r="H48" i="15"/>
  <c r="G49" i="15"/>
  <c r="H49" i="15"/>
  <c r="G50" i="15"/>
  <c r="H50" i="15"/>
  <c r="G51" i="15"/>
  <c r="H51" i="15"/>
  <c r="G52" i="15"/>
  <c r="H52" i="15"/>
  <c r="G53" i="15"/>
  <c r="H53" i="15"/>
  <c r="G54" i="15"/>
  <c r="H54" i="15"/>
  <c r="G55" i="15"/>
  <c r="H55" i="15"/>
  <c r="G56" i="15"/>
  <c r="H56" i="15"/>
  <c r="G57" i="15"/>
  <c r="H57" i="15"/>
  <c r="G58" i="15"/>
  <c r="H58" i="15"/>
  <c r="G59" i="15"/>
  <c r="H59" i="15"/>
  <c r="G60" i="15"/>
  <c r="H60" i="15"/>
  <c r="G61" i="15"/>
  <c r="H61" i="15"/>
  <c r="G62" i="15"/>
  <c r="H62" i="15"/>
  <c r="G63" i="15"/>
  <c r="H63" i="15"/>
  <c r="G64" i="15"/>
  <c r="H64" i="15"/>
  <c r="G65" i="15"/>
  <c r="H65" i="15"/>
  <c r="G66" i="15"/>
  <c r="H66" i="15"/>
  <c r="H67" i="15"/>
  <c r="G68" i="15"/>
  <c r="H68" i="15"/>
  <c r="G69" i="15"/>
  <c r="H69" i="15"/>
  <c r="G70" i="15"/>
  <c r="H70" i="15"/>
  <c r="G71" i="15"/>
  <c r="H71" i="15"/>
  <c r="G72" i="15"/>
  <c r="H72" i="15"/>
  <c r="G73" i="15"/>
  <c r="H73" i="15"/>
  <c r="G74" i="15"/>
  <c r="H74" i="15"/>
  <c r="G75" i="15"/>
  <c r="H75" i="15"/>
  <c r="G76" i="15"/>
  <c r="H76" i="15"/>
  <c r="G77" i="15"/>
  <c r="H77" i="15"/>
  <c r="G78" i="15"/>
  <c r="H78" i="15"/>
  <c r="G79" i="15"/>
  <c r="H79" i="15"/>
  <c r="G80" i="15"/>
  <c r="H80" i="15"/>
  <c r="G81" i="15"/>
  <c r="H81" i="15"/>
  <c r="G82" i="15"/>
  <c r="H82" i="15"/>
  <c r="G83" i="15"/>
  <c r="H83" i="15"/>
  <c r="H40" i="15"/>
  <c r="G40" i="15"/>
  <c r="AM11" i="23"/>
  <c r="AO11" i="23" s="1"/>
  <c r="EF11" i="23" s="1"/>
  <c r="EH10" i="23"/>
  <c r="EH11" i="23"/>
  <c r="EF10" i="23"/>
  <c r="CJ11" i="22"/>
  <c r="CJ12" i="22"/>
  <c r="BW12" i="22"/>
  <c r="BW11" i="22"/>
  <c r="BF12" i="22"/>
  <c r="BF11" i="22"/>
  <c r="AO12" i="22"/>
  <c r="AO11" i="22"/>
  <c r="X12" i="22"/>
  <c r="X11" i="22"/>
  <c r="G12" i="22"/>
  <c r="G11" i="22"/>
  <c r="DS11" i="23"/>
  <c r="DB11" i="23"/>
  <c r="DB10" i="23"/>
  <c r="CK11" i="23"/>
  <c r="CK10" i="23"/>
  <c r="BT11" i="23"/>
  <c r="BT10" i="23"/>
  <c r="BF11" i="23"/>
  <c r="BF10" i="23"/>
  <c r="AO10" i="23"/>
  <c r="X11" i="23"/>
  <c r="X10" i="23"/>
  <c r="G11" i="23"/>
  <c r="G10" i="23"/>
  <c r="CZ10" i="23"/>
  <c r="BD11" i="22"/>
  <c r="BF10" i="22"/>
  <c r="AO10" i="22"/>
  <c r="X10" i="22"/>
  <c r="CK5" i="23"/>
  <c r="CK9" i="23"/>
  <c r="CK8" i="23"/>
  <c r="CK7" i="23"/>
  <c r="CK6" i="23"/>
  <c r="CK4" i="23"/>
  <c r="CK3" i="23"/>
  <c r="DB9" i="23"/>
  <c r="DB8" i="23"/>
  <c r="DB7" i="23"/>
  <c r="DB6" i="23"/>
  <c r="DB5" i="23"/>
  <c r="DB4" i="23"/>
  <c r="DB3" i="23"/>
  <c r="BT4" i="23"/>
  <c r="BT5" i="23"/>
  <c r="BT6" i="23"/>
  <c r="BT3" i="23"/>
  <c r="AO3" i="23"/>
  <c r="X4" i="23"/>
  <c r="G3" i="23"/>
  <c r="BT58" i="1"/>
  <c r="BC58" i="1"/>
  <c r="AL58" i="1"/>
  <c r="U58" i="1"/>
  <c r="BT57" i="1"/>
  <c r="BC57" i="1"/>
  <c r="AL57" i="1"/>
  <c r="U57" i="1"/>
  <c r="BC56" i="1"/>
  <c r="AL56" i="1"/>
  <c r="U56" i="1"/>
  <c r="BT54" i="1"/>
  <c r="G9" i="23"/>
  <c r="G8" i="23"/>
  <c r="G7" i="23"/>
  <c r="X9" i="23"/>
  <c r="AO9" i="23"/>
  <c r="BT9" i="23"/>
  <c r="BT8" i="23"/>
  <c r="BT7" i="23"/>
  <c r="DS9" i="23"/>
  <c r="DS8" i="23"/>
  <c r="DS7" i="23"/>
  <c r="BF9" i="23"/>
  <c r="BF8" i="23"/>
  <c r="BF7" i="23"/>
  <c r="EQ10" i="23"/>
  <c r="CU11" i="22"/>
  <c r="BW10" i="22"/>
  <c r="BW9" i="22"/>
  <c r="BW8" i="22"/>
  <c r="BF9" i="22"/>
  <c r="BF8" i="22"/>
  <c r="AO9" i="22"/>
  <c r="AO8" i="22"/>
  <c r="X9" i="22"/>
  <c r="X8" i="22"/>
  <c r="G10" i="22"/>
  <c r="G9" i="22"/>
  <c r="G8" i="22"/>
  <c r="BR6" i="19"/>
  <c r="BQ8" i="19"/>
  <c r="BO8" i="19"/>
  <c r="BP7" i="19"/>
  <c r="BO7" i="19"/>
  <c r="BQ6" i="19"/>
  <c r="BP6" i="19"/>
  <c r="BO6" i="19"/>
  <c r="BR5" i="19"/>
  <c r="BQ5" i="19"/>
  <c r="BP5" i="19"/>
  <c r="BO5" i="19"/>
  <c r="BR4" i="19"/>
  <c r="BQ4" i="19"/>
  <c r="BP4" i="19"/>
  <c r="BO4" i="19"/>
  <c r="BR3" i="19"/>
  <c r="BQ3" i="19"/>
  <c r="BP3" i="19"/>
  <c r="BO3" i="19"/>
  <c r="BK12" i="19"/>
  <c r="BK3" i="19"/>
  <c r="BK4" i="19"/>
  <c r="BK5" i="19"/>
  <c r="BK6" i="19"/>
  <c r="BK7" i="19"/>
  <c r="BK8" i="19"/>
  <c r="BK9" i="19"/>
  <c r="BK10" i="19"/>
  <c r="BK11" i="19"/>
  <c r="BK13" i="19"/>
  <c r="BK14" i="19"/>
  <c r="BK15" i="19"/>
  <c r="BK16" i="19"/>
  <c r="BK17" i="19"/>
  <c r="BK2" i="19"/>
  <c r="BH12" i="19"/>
  <c r="BJ12" i="19" s="1"/>
  <c r="BG12" i="19"/>
  <c r="BI12" i="19" s="1"/>
  <c r="BG3" i="19"/>
  <c r="BI3" i="19" s="1"/>
  <c r="BH3" i="19"/>
  <c r="BJ3" i="19" s="1"/>
  <c r="BG4" i="19"/>
  <c r="BH4" i="19"/>
  <c r="BI4" i="19"/>
  <c r="BJ4" i="19"/>
  <c r="BG5" i="19"/>
  <c r="BI5" i="19" s="1"/>
  <c r="BH5" i="19"/>
  <c r="BJ5" i="19" s="1"/>
  <c r="BG6" i="19"/>
  <c r="BH6" i="19"/>
  <c r="BI6" i="19"/>
  <c r="BJ6" i="19"/>
  <c r="BG7" i="19"/>
  <c r="BI7" i="19" s="1"/>
  <c r="BH7" i="19"/>
  <c r="BJ7" i="19" s="1"/>
  <c r="BG8" i="19"/>
  <c r="BH8" i="19"/>
  <c r="BI8" i="19"/>
  <c r="BJ8" i="19"/>
  <c r="BG9" i="19"/>
  <c r="BI9" i="19" s="1"/>
  <c r="BH9" i="19"/>
  <c r="BJ9" i="19" s="1"/>
  <c r="BG10" i="19"/>
  <c r="BH10" i="19"/>
  <c r="BI10" i="19"/>
  <c r="BJ10" i="19"/>
  <c r="BG11" i="19"/>
  <c r="BI11" i="19" s="1"/>
  <c r="BH11" i="19"/>
  <c r="BJ11" i="19" s="1"/>
  <c r="BG13" i="19"/>
  <c r="BI13" i="19" s="1"/>
  <c r="BH13" i="19"/>
  <c r="BJ13" i="19" s="1"/>
  <c r="BG14" i="19"/>
  <c r="BH14" i="19"/>
  <c r="BI14" i="19"/>
  <c r="BJ14" i="19"/>
  <c r="BG15" i="19"/>
  <c r="BI15" i="19" s="1"/>
  <c r="BH15" i="19"/>
  <c r="BJ15" i="19" s="1"/>
  <c r="BG16" i="19"/>
  <c r="BH16" i="19"/>
  <c r="BI16" i="19"/>
  <c r="BJ16" i="19"/>
  <c r="BG17" i="19"/>
  <c r="BI17" i="19" s="1"/>
  <c r="BH17" i="19"/>
  <c r="BJ17" i="19" s="1"/>
  <c r="BJ2" i="19"/>
  <c r="BI2" i="19"/>
  <c r="BH2" i="19"/>
  <c r="BG2" i="19"/>
  <c r="BF3" i="19"/>
  <c r="BF4" i="19"/>
  <c r="BF5" i="19"/>
  <c r="BF6" i="19"/>
  <c r="BF7" i="19"/>
  <c r="BF8" i="19"/>
  <c r="BF9" i="19"/>
  <c r="BF10" i="19"/>
  <c r="BF11" i="19"/>
  <c r="BF12" i="19"/>
  <c r="BF13" i="19"/>
  <c r="BF14" i="19"/>
  <c r="BF15" i="19"/>
  <c r="BF16" i="19"/>
  <c r="BF17" i="19"/>
  <c r="BF18" i="19"/>
  <c r="BF19" i="19"/>
  <c r="BF20" i="19"/>
  <c r="BF21" i="19"/>
  <c r="BF2" i="19"/>
  <c r="BD3" i="19"/>
  <c r="BD4" i="19"/>
  <c r="BD5" i="19"/>
  <c r="BD6" i="19"/>
  <c r="BD7" i="19"/>
  <c r="BD8" i="19"/>
  <c r="BD9" i="19"/>
  <c r="BD10" i="19"/>
  <c r="BD11" i="19"/>
  <c r="BD13" i="19"/>
  <c r="BD14" i="19"/>
  <c r="BD15" i="19"/>
  <c r="BD16" i="19"/>
  <c r="BD17" i="19"/>
  <c r="BD2" i="19"/>
  <c r="BA3" i="19"/>
  <c r="BA4" i="19"/>
  <c r="BA5" i="19"/>
  <c r="BA6" i="19"/>
  <c r="BA7" i="19"/>
  <c r="BA8" i="19"/>
  <c r="BA9" i="19"/>
  <c r="BA10" i="19"/>
  <c r="BA11" i="19"/>
  <c r="BA12" i="19"/>
  <c r="BA13" i="19"/>
  <c r="BA14" i="19"/>
  <c r="BA15" i="19"/>
  <c r="BA16" i="19"/>
  <c r="BA17" i="19"/>
  <c r="BA2" i="19"/>
  <c r="AX3" i="19"/>
  <c r="AX4" i="19"/>
  <c r="AX5" i="19"/>
  <c r="AX6" i="19"/>
  <c r="AX7" i="19"/>
  <c r="AX8" i="19"/>
  <c r="AX9" i="19"/>
  <c r="AX10" i="19"/>
  <c r="AX11" i="19"/>
  <c r="AX12" i="19"/>
  <c r="AX13" i="19"/>
  <c r="AX14" i="19"/>
  <c r="AX15" i="19"/>
  <c r="AX16" i="19"/>
  <c r="AX17" i="19"/>
  <c r="AX2" i="19"/>
  <c r="AU3" i="19"/>
  <c r="AU4" i="19"/>
  <c r="AU5" i="19"/>
  <c r="AU6" i="19"/>
  <c r="AU7" i="19"/>
  <c r="AU8" i="19"/>
  <c r="AU9" i="19"/>
  <c r="AU10" i="19"/>
  <c r="AU11" i="19"/>
  <c r="AU12" i="19"/>
  <c r="AU13" i="19"/>
  <c r="AU14" i="19"/>
  <c r="AU15" i="19"/>
  <c r="AU16" i="19"/>
  <c r="AU17" i="19"/>
  <c r="AU2" i="19"/>
  <c r="BE18" i="19"/>
  <c r="BE19" i="19"/>
  <c r="BE20" i="19"/>
  <c r="BE21" i="19"/>
  <c r="BE2" i="19"/>
  <c r="BE3" i="19"/>
  <c r="BE4" i="19"/>
  <c r="BE5" i="19"/>
  <c r="BE6" i="19"/>
  <c r="BE7" i="19"/>
  <c r="BE8" i="19"/>
  <c r="BE9" i="19"/>
  <c r="BE10" i="19"/>
  <c r="BE11" i="19"/>
  <c r="BE12" i="19"/>
  <c r="BE13" i="19"/>
  <c r="BE14" i="19"/>
  <c r="BE15" i="19"/>
  <c r="BE16" i="19"/>
  <c r="BE17" i="19"/>
  <c r="AS2" i="19"/>
  <c r="AV2" i="19"/>
  <c r="AY2" i="19"/>
  <c r="BB2" i="19"/>
  <c r="AS3" i="19"/>
  <c r="AV3" i="19"/>
  <c r="AY3" i="19"/>
  <c r="BB3" i="19"/>
  <c r="AS4" i="19"/>
  <c r="AV4" i="19"/>
  <c r="AY4" i="19"/>
  <c r="AZ4" i="19" s="1"/>
  <c r="BB4" i="19"/>
  <c r="AS5" i="19"/>
  <c r="AV5" i="19"/>
  <c r="AY5" i="19"/>
  <c r="BB5" i="19"/>
  <c r="AS6" i="19"/>
  <c r="AV6" i="19"/>
  <c r="AY6" i="19"/>
  <c r="BB6" i="19"/>
  <c r="BC6" i="19" s="1"/>
  <c r="AS7" i="19"/>
  <c r="AV7" i="19"/>
  <c r="AW7" i="19" s="1"/>
  <c r="AY7" i="19"/>
  <c r="BB7" i="19"/>
  <c r="AS8" i="19"/>
  <c r="AV8" i="19"/>
  <c r="AY8" i="19"/>
  <c r="BB8" i="19"/>
  <c r="AS9" i="19"/>
  <c r="AV9" i="19"/>
  <c r="AY9" i="19"/>
  <c r="BB9" i="19"/>
  <c r="BC9" i="19" s="1"/>
  <c r="AS10" i="19"/>
  <c r="AT10" i="19" s="1"/>
  <c r="AV10" i="19"/>
  <c r="AY10" i="19"/>
  <c r="BB10" i="19"/>
  <c r="AS11" i="19"/>
  <c r="AV11" i="19"/>
  <c r="AY11" i="19"/>
  <c r="BB11" i="19"/>
  <c r="AS12" i="19"/>
  <c r="AV12" i="19"/>
  <c r="AY12" i="19"/>
  <c r="AZ12" i="19" s="1"/>
  <c r="BB12" i="19"/>
  <c r="AS13" i="19"/>
  <c r="AV13" i="19"/>
  <c r="AY13" i="19"/>
  <c r="BB13" i="19"/>
  <c r="AS14" i="19"/>
  <c r="AT14" i="19" s="1"/>
  <c r="AV14" i="19"/>
  <c r="AY14" i="19"/>
  <c r="BB14" i="19"/>
  <c r="BC14" i="19" s="1"/>
  <c r="AS15" i="19"/>
  <c r="AV15" i="19"/>
  <c r="AW15" i="19" s="1"/>
  <c r="AY15" i="19"/>
  <c r="BB15" i="19"/>
  <c r="AS16" i="19"/>
  <c r="AV16" i="19"/>
  <c r="AY16" i="19"/>
  <c r="BB16" i="19"/>
  <c r="AS17" i="19"/>
  <c r="AV17" i="19"/>
  <c r="AY17" i="19"/>
  <c r="BB17" i="19"/>
  <c r="BC17" i="19" s="1"/>
  <c r="AR15" i="19"/>
  <c r="AR16" i="19"/>
  <c r="AR17" i="19"/>
  <c r="AR14" i="19"/>
  <c r="AR3" i="19"/>
  <c r="AR4" i="19"/>
  <c r="AR5" i="19"/>
  <c r="AR6" i="19"/>
  <c r="AR7" i="19"/>
  <c r="AR8" i="19"/>
  <c r="AR9" i="19"/>
  <c r="AR10" i="19"/>
  <c r="AR11" i="19"/>
  <c r="AR12" i="19"/>
  <c r="AR13" i="19"/>
  <c r="AR2" i="19"/>
  <c r="EH9" i="23" l="1"/>
  <c r="EF7" i="23"/>
  <c r="EH7" i="23"/>
  <c r="EH8" i="23"/>
  <c r="EF8" i="23"/>
  <c r="EF9" i="23"/>
  <c r="CJ8" i="22"/>
  <c r="CJ9" i="22"/>
  <c r="CJ10" i="22"/>
  <c r="AW4" i="19"/>
  <c r="AT4" i="19"/>
  <c r="BC15" i="19"/>
  <c r="BC13" i="19"/>
  <c r="BC11" i="19"/>
  <c r="BC7" i="19"/>
  <c r="BC5" i="19"/>
  <c r="BC3" i="19"/>
  <c r="AW12" i="19"/>
  <c r="AT12" i="19"/>
  <c r="AZ15" i="19"/>
  <c r="AZ13" i="19"/>
  <c r="AZ11" i="19"/>
  <c r="AZ7" i="19"/>
  <c r="AZ5" i="19"/>
  <c r="AZ3" i="19"/>
  <c r="AW13" i="19"/>
  <c r="AW3" i="19"/>
  <c r="AW11" i="19"/>
  <c r="AW5" i="19"/>
  <c r="AT13" i="19"/>
  <c r="AT11" i="19"/>
  <c r="AT5" i="19"/>
  <c r="AZ17" i="19"/>
  <c r="AZ9" i="19"/>
  <c r="AT3" i="19"/>
  <c r="BC4" i="19"/>
  <c r="AW17" i="19"/>
  <c r="AT17" i="19"/>
  <c r="AT15" i="19"/>
  <c r="AT9" i="19"/>
  <c r="AT7" i="19"/>
  <c r="AW9" i="19"/>
  <c r="BC8" i="19"/>
  <c r="BC16" i="19"/>
  <c r="AZ16" i="19"/>
  <c r="AZ14" i="19"/>
  <c r="AZ8" i="19"/>
  <c r="AZ6" i="19"/>
  <c r="AW16" i="19"/>
  <c r="AW14" i="19"/>
  <c r="AW8" i="19"/>
  <c r="AW6" i="19"/>
  <c r="AT16" i="19"/>
  <c r="AT8" i="19"/>
  <c r="AT6" i="19"/>
  <c r="AW10" i="19"/>
  <c r="BC10" i="19"/>
  <c r="AZ10" i="19"/>
  <c r="CY80" i="8"/>
  <c r="CX80" i="8"/>
  <c r="CG81" i="8"/>
  <c r="BP80" i="8"/>
  <c r="BO80" i="8"/>
  <c r="BN75" i="8"/>
  <c r="AS63" i="8"/>
  <c r="X62" i="8"/>
  <c r="W62" i="8"/>
  <c r="F101" i="8"/>
  <c r="F100" i="8"/>
  <c r="F99" i="8"/>
  <c r="F98" i="8"/>
  <c r="F97" i="8"/>
  <c r="F96" i="8"/>
  <c r="F95" i="8"/>
  <c r="F94" i="8"/>
  <c r="E101" i="8"/>
  <c r="E100" i="8"/>
  <c r="E99" i="8"/>
  <c r="E98" i="8"/>
  <c r="E97" i="8"/>
  <c r="E96" i="8"/>
  <c r="E95" i="8"/>
  <c r="E94" i="8"/>
  <c r="D101" i="8"/>
  <c r="D100" i="8"/>
  <c r="D99" i="8"/>
  <c r="D98" i="8"/>
  <c r="D97" i="8"/>
  <c r="D96" i="8"/>
  <c r="D95" i="8"/>
  <c r="D94" i="8"/>
  <c r="FK61" i="5"/>
  <c r="FK60" i="5" s="1"/>
  <c r="FG61" i="5"/>
  <c r="FG60" i="5" s="1"/>
  <c r="EV35" i="5"/>
  <c r="FD35" i="5" s="1"/>
  <c r="EW35" i="5"/>
  <c r="EX35" i="5"/>
  <c r="FF35" i="5" s="1"/>
  <c r="EV36" i="5"/>
  <c r="FD36" i="5" s="1"/>
  <c r="EW36" i="5"/>
  <c r="FE36" i="5" s="1"/>
  <c r="EV37" i="5"/>
  <c r="FD37" i="5" s="1"/>
  <c r="EV38" i="5"/>
  <c r="FD38" i="5" s="1"/>
  <c r="EY34" i="5"/>
  <c r="FG34" i="5" s="1"/>
  <c r="EX34" i="5"/>
  <c r="FF34" i="5" s="1"/>
  <c r="EW34" i="5"/>
  <c r="FE34" i="5" s="1"/>
  <c r="EV34" i="5"/>
  <c r="FD34" i="5" s="1"/>
  <c r="DS6" i="23"/>
  <c r="DS5" i="23"/>
  <c r="BF6" i="23"/>
  <c r="BF4" i="23"/>
  <c r="BF5" i="23"/>
  <c r="AO6" i="23"/>
  <c r="AO4" i="23"/>
  <c r="AO5" i="23"/>
  <c r="X6" i="23"/>
  <c r="X5" i="23"/>
  <c r="G6" i="23"/>
  <c r="G4" i="23"/>
  <c r="G5" i="23"/>
  <c r="BW7" i="22"/>
  <c r="BW6" i="22"/>
  <c r="BW5" i="22"/>
  <c r="BF7" i="22"/>
  <c r="BF6" i="22"/>
  <c r="BF5" i="22"/>
  <c r="AO7" i="22"/>
  <c r="AO6" i="22"/>
  <c r="AO5" i="22"/>
  <c r="X7" i="22"/>
  <c r="X6" i="22"/>
  <c r="X5" i="22"/>
  <c r="G6" i="22"/>
  <c r="G7" i="22"/>
  <c r="G5" i="22"/>
  <c r="BX65" i="9"/>
  <c r="BV65" i="9"/>
  <c r="BU65" i="9"/>
  <c r="BU55" i="9"/>
  <c r="BV55" i="9"/>
  <c r="BW55" i="9"/>
  <c r="BX55" i="9"/>
  <c r="BU56" i="9"/>
  <c r="BV56" i="9"/>
  <c r="BW56" i="9"/>
  <c r="BX56" i="9"/>
  <c r="BU57" i="9"/>
  <c r="BV57" i="9"/>
  <c r="BW57" i="9"/>
  <c r="BX57" i="9"/>
  <c r="BU58" i="9"/>
  <c r="BV58" i="9"/>
  <c r="BW58" i="9"/>
  <c r="BX58" i="9"/>
  <c r="BU59" i="9"/>
  <c r="BV59" i="9"/>
  <c r="BW59" i="9"/>
  <c r="BX59" i="9"/>
  <c r="BU60" i="9"/>
  <c r="BV60" i="9"/>
  <c r="BW60" i="9"/>
  <c r="BX60" i="9"/>
  <c r="BU61" i="9"/>
  <c r="BV61" i="9"/>
  <c r="BW61" i="9"/>
  <c r="BX61" i="9"/>
  <c r="BU62" i="9"/>
  <c r="BV62" i="9"/>
  <c r="BW62" i="9"/>
  <c r="BX62" i="9"/>
  <c r="BU63" i="9"/>
  <c r="BV63" i="9"/>
  <c r="BW63" i="9"/>
  <c r="BX63" i="9"/>
  <c r="BX54" i="9"/>
  <c r="BW54" i="9"/>
  <c r="BV54" i="9"/>
  <c r="BU54" i="9"/>
  <c r="AJ65" i="9"/>
  <c r="AI65" i="9"/>
  <c r="AI63" i="9"/>
  <c r="AJ63" i="9"/>
  <c r="AI55" i="9"/>
  <c r="AJ55" i="9"/>
  <c r="AI56" i="9"/>
  <c r="AJ56" i="9"/>
  <c r="AI57" i="9"/>
  <c r="AJ57" i="9"/>
  <c r="AI58" i="9"/>
  <c r="AJ58" i="9"/>
  <c r="AI59" i="9"/>
  <c r="AJ59" i="9"/>
  <c r="AI60" i="9"/>
  <c r="AJ60" i="9"/>
  <c r="AI61" i="9"/>
  <c r="AJ61" i="9"/>
  <c r="AI62" i="9"/>
  <c r="AJ62" i="9"/>
  <c r="AJ54" i="9"/>
  <c r="AI54" i="9"/>
  <c r="U4" i="24"/>
  <c r="AU4" i="24" s="1"/>
  <c r="V4" i="24"/>
  <c r="W4" i="24"/>
  <c r="X4" i="24"/>
  <c r="Y4" i="24"/>
  <c r="Z4" i="24"/>
  <c r="AM4" i="24" s="1"/>
  <c r="AA4" i="24"/>
  <c r="BA4" i="24" s="1"/>
  <c r="AB4" i="24"/>
  <c r="BB4" i="24" s="1"/>
  <c r="AC4" i="24"/>
  <c r="BC4" i="24" s="1"/>
  <c r="AD4" i="24"/>
  <c r="AE4" i="24"/>
  <c r="AF4" i="24"/>
  <c r="AF3" i="24"/>
  <c r="AE3" i="24"/>
  <c r="AR3" i="24" s="1"/>
  <c r="AD3" i="24"/>
  <c r="AC3" i="24"/>
  <c r="AP3" i="24" s="1"/>
  <c r="AB3" i="24"/>
  <c r="BB3" i="24" s="1"/>
  <c r="AA3" i="24"/>
  <c r="Z3" i="24"/>
  <c r="Y3" i="24"/>
  <c r="AW4" i="24"/>
  <c r="AX4" i="24"/>
  <c r="X3" i="24"/>
  <c r="W3" i="24"/>
  <c r="AW3" i="24" s="1"/>
  <c r="AI4" i="24"/>
  <c r="V3" i="24"/>
  <c r="AV3" i="24" s="1"/>
  <c r="U3" i="24"/>
  <c r="AU3" i="24"/>
  <c r="AY4" i="24"/>
  <c r="AZ4" i="24"/>
  <c r="BD4" i="24"/>
  <c r="BE4" i="24"/>
  <c r="BF4" i="24"/>
  <c r="AZ5" i="24"/>
  <c r="AV6" i="24"/>
  <c r="BD6" i="24"/>
  <c r="AJ4" i="24"/>
  <c r="AK4" i="24"/>
  <c r="AL4" i="24"/>
  <c r="AQ4" i="24"/>
  <c r="AR4" i="24"/>
  <c r="AS4" i="24"/>
  <c r="U5" i="24"/>
  <c r="AU5" i="24" s="1"/>
  <c r="V5" i="24"/>
  <c r="AI5" i="24" s="1"/>
  <c r="W5" i="24"/>
  <c r="AJ5" i="24" s="1"/>
  <c r="X5" i="24"/>
  <c r="AK5" i="24" s="1"/>
  <c r="Y5" i="24"/>
  <c r="AL5" i="24" s="1"/>
  <c r="Z5" i="24"/>
  <c r="AM5" i="24" s="1"/>
  <c r="AA5" i="24"/>
  <c r="AN5" i="24" s="1"/>
  <c r="AB5" i="24"/>
  <c r="AO5" i="24" s="1"/>
  <c r="AC5" i="24"/>
  <c r="BC5" i="24" s="1"/>
  <c r="AD5" i="24"/>
  <c r="AQ5" i="24" s="1"/>
  <c r="AE5" i="24"/>
  <c r="AR5" i="24" s="1"/>
  <c r="AF5" i="24"/>
  <c r="AS5" i="24" s="1"/>
  <c r="U6" i="24"/>
  <c r="AH6" i="24" s="1"/>
  <c r="V6" i="24"/>
  <c r="AI6" i="24" s="1"/>
  <c r="W6" i="24"/>
  <c r="AJ6" i="24" s="1"/>
  <c r="X6" i="24"/>
  <c r="AK6" i="24" s="1"/>
  <c r="Y6" i="24"/>
  <c r="AY6" i="24" s="1"/>
  <c r="Z6" i="24"/>
  <c r="AM6" i="24" s="1"/>
  <c r="AA6" i="24"/>
  <c r="AN6" i="24" s="1"/>
  <c r="AB6" i="24"/>
  <c r="AO6" i="24" s="1"/>
  <c r="AC6" i="24"/>
  <c r="AP6" i="24" s="1"/>
  <c r="AD6" i="24"/>
  <c r="AQ6" i="24" s="1"/>
  <c r="AE6" i="24"/>
  <c r="AR6" i="24" s="1"/>
  <c r="AF6" i="24"/>
  <c r="AS6" i="24" s="1"/>
  <c r="BF3" i="24"/>
  <c r="AX3" i="24"/>
  <c r="AY3" i="24"/>
  <c r="AZ3" i="24"/>
  <c r="BA3" i="24"/>
  <c r="BD3" i="24"/>
  <c r="AK3" i="24"/>
  <c r="AL3" i="24"/>
  <c r="AM3" i="24"/>
  <c r="AN3" i="24"/>
  <c r="AQ3" i="24"/>
  <c r="AS3" i="24"/>
  <c r="AH3" i="24"/>
  <c r="FA78" i="8"/>
  <c r="EW78" i="8"/>
  <c r="ES78" i="8"/>
  <c r="EO78" i="8"/>
  <c r="EJ78" i="8"/>
  <c r="EF78" i="8"/>
  <c r="EB78" i="8"/>
  <c r="DX78" i="8"/>
  <c r="DS78" i="8"/>
  <c r="DO78" i="8"/>
  <c r="DK78" i="8"/>
  <c r="DG78" i="8"/>
  <c r="DC78" i="8"/>
  <c r="DS77" i="8"/>
  <c r="DO77" i="8"/>
  <c r="DK77" i="8"/>
  <c r="DG77" i="8"/>
  <c r="DC77" i="8"/>
  <c r="BM77" i="8"/>
  <c r="AR77" i="8"/>
  <c r="ER4" i="23"/>
  <c r="ES4" i="23" s="1"/>
  <c r="ET4" i="23" s="1"/>
  <c r="BY17" i="21"/>
  <c r="CJ17" i="20"/>
  <c r="CL17" i="20" s="1"/>
  <c r="CM17" i="20" s="1"/>
  <c r="CJ18" i="20" s="1"/>
  <c r="AQ47" i="14"/>
  <c r="AS47" i="14" s="1"/>
  <c r="AT47" i="14" s="1"/>
  <c r="CT4" i="22"/>
  <c r="CV4" i="22" s="1"/>
  <c r="CW4" i="22" s="1"/>
  <c r="CX4" i="22" s="1"/>
  <c r="CA17" i="21"/>
  <c r="CB17" i="21" s="1"/>
  <c r="BY18" i="21" s="1"/>
  <c r="EF3" i="23"/>
  <c r="DS3" i="23"/>
  <c r="BF3" i="23"/>
  <c r="BW4" i="22"/>
  <c r="BW3" i="22"/>
  <c r="BF4" i="22"/>
  <c r="BF3" i="22"/>
  <c r="AO4" i="22"/>
  <c r="AO3" i="22"/>
  <c r="X4" i="22"/>
  <c r="X3" i="22"/>
  <c r="G4" i="22"/>
  <c r="G3" i="22"/>
  <c r="AW15" i="21"/>
  <c r="AW14" i="21"/>
  <c r="AW13" i="21"/>
  <c r="AK12" i="7" s="1"/>
  <c r="AI15" i="21"/>
  <c r="AI14" i="21"/>
  <c r="AI13" i="21"/>
  <c r="U15" i="21"/>
  <c r="U14" i="21"/>
  <c r="U13" i="21"/>
  <c r="G15" i="21"/>
  <c r="G14" i="21"/>
  <c r="AI13" i="7" s="1"/>
  <c r="G13" i="21"/>
  <c r="AW15" i="20"/>
  <c r="AW14" i="20"/>
  <c r="AW13" i="20"/>
  <c r="AI15" i="20"/>
  <c r="AI14" i="20"/>
  <c r="AI13" i="20"/>
  <c r="U15" i="20"/>
  <c r="U14" i="20"/>
  <c r="U13" i="20"/>
  <c r="G15" i="20"/>
  <c r="G14" i="20"/>
  <c r="G13" i="20"/>
  <c r="U35" i="14"/>
  <c r="U34" i="14"/>
  <c r="U33" i="14"/>
  <c r="G35" i="14"/>
  <c r="G34" i="14"/>
  <c r="G33" i="14"/>
  <c r="BV33" i="2" s="1"/>
  <c r="W35" i="14"/>
  <c r="CJ35" i="6" s="1"/>
  <c r="W34" i="14"/>
  <c r="W33" i="14"/>
  <c r="CJ33" i="6" s="1"/>
  <c r="AE14" i="7"/>
  <c r="AF3" i="7"/>
  <c r="AG3" i="7"/>
  <c r="AH3" i="7"/>
  <c r="AI3" i="7"/>
  <c r="AJ3" i="7"/>
  <c r="AK3" i="7"/>
  <c r="AF4" i="7"/>
  <c r="AG4" i="7"/>
  <c r="AH4" i="7"/>
  <c r="AI4" i="7"/>
  <c r="AJ4" i="7"/>
  <c r="AK4" i="7"/>
  <c r="AF5" i="7"/>
  <c r="AG5" i="7"/>
  <c r="AH5" i="7"/>
  <c r="AI5" i="7"/>
  <c r="AJ5" i="7"/>
  <c r="AK5" i="7"/>
  <c r="AF6" i="7"/>
  <c r="AG6" i="7"/>
  <c r="AH6" i="7"/>
  <c r="AI6" i="7"/>
  <c r="AJ6" i="7"/>
  <c r="AK6" i="7"/>
  <c r="AF7" i="7"/>
  <c r="AG7" i="7"/>
  <c r="AH7" i="7"/>
  <c r="AI7" i="7"/>
  <c r="AJ7" i="7"/>
  <c r="AK7" i="7"/>
  <c r="AF8" i="7"/>
  <c r="AG8" i="7"/>
  <c r="AH8" i="7"/>
  <c r="AI8" i="7"/>
  <c r="AJ8" i="7"/>
  <c r="AK8" i="7"/>
  <c r="AF9" i="7"/>
  <c r="AG9" i="7"/>
  <c r="AH9" i="7"/>
  <c r="AI9" i="7"/>
  <c r="AJ9" i="7"/>
  <c r="AK9" i="7"/>
  <c r="AF10" i="7"/>
  <c r="AG10" i="7"/>
  <c r="AH10" i="7"/>
  <c r="AI10" i="7"/>
  <c r="AJ10" i="7"/>
  <c r="AK10" i="7"/>
  <c r="AF11" i="7"/>
  <c r="AG11" i="7"/>
  <c r="AH11" i="7"/>
  <c r="AI11" i="7"/>
  <c r="AJ11" i="7"/>
  <c r="AK11" i="7"/>
  <c r="AF12" i="7"/>
  <c r="AG12" i="7"/>
  <c r="AH12" i="7"/>
  <c r="AI12" i="7"/>
  <c r="AF13" i="7"/>
  <c r="AG13" i="7"/>
  <c r="AH13" i="7"/>
  <c r="AK13" i="7"/>
  <c r="AF14" i="7"/>
  <c r="AG14" i="7"/>
  <c r="AH14" i="7"/>
  <c r="AI14" i="7"/>
  <c r="AJ14" i="7"/>
  <c r="AK14" i="7"/>
  <c r="AK2" i="7"/>
  <c r="AJ2" i="7"/>
  <c r="AI2" i="7"/>
  <c r="AH2" i="7"/>
  <c r="AG2" i="7"/>
  <c r="AF2" i="7"/>
  <c r="AE3" i="7"/>
  <c r="AE4" i="7"/>
  <c r="AE5" i="7"/>
  <c r="AE6" i="7"/>
  <c r="AE7" i="7"/>
  <c r="AE8" i="7"/>
  <c r="AE9" i="7"/>
  <c r="AE10" i="7"/>
  <c r="AE11" i="7"/>
  <c r="AE12" i="7"/>
  <c r="AE13" i="7"/>
  <c r="AE2" i="7"/>
  <c r="BW49" i="9"/>
  <c r="BW67" i="9" s="1"/>
  <c r="BX49" i="9"/>
  <c r="BW50" i="9"/>
  <c r="BX50" i="9"/>
  <c r="BW51" i="9"/>
  <c r="BX51" i="9"/>
  <c r="BW52" i="9"/>
  <c r="BX52" i="9"/>
  <c r="BW53" i="9"/>
  <c r="BX53" i="9"/>
  <c r="BX48" i="9"/>
  <c r="BW48" i="9"/>
  <c r="BY9" i="9" s="1"/>
  <c r="BU35" i="9"/>
  <c r="BU67" i="9" s="1"/>
  <c r="BV35" i="9"/>
  <c r="BU36" i="9"/>
  <c r="BV36" i="9"/>
  <c r="BZ7" i="9" s="1"/>
  <c r="BU37" i="9"/>
  <c r="BV37" i="9"/>
  <c r="BU38" i="9"/>
  <c r="BV38" i="9"/>
  <c r="BU39" i="9"/>
  <c r="BV39" i="9"/>
  <c r="BU40" i="9"/>
  <c r="BV40" i="9"/>
  <c r="BU41" i="9"/>
  <c r="BV41" i="9"/>
  <c r="BU42" i="9"/>
  <c r="BV42" i="9"/>
  <c r="BU44" i="9"/>
  <c r="BV44" i="9"/>
  <c r="BU45" i="9"/>
  <c r="BV45" i="9"/>
  <c r="BU46" i="9"/>
  <c r="BV46" i="9"/>
  <c r="BU47" i="9"/>
  <c r="BV47" i="9"/>
  <c r="BU48" i="9"/>
  <c r="BV48" i="9"/>
  <c r="BU49" i="9"/>
  <c r="BV49" i="9"/>
  <c r="BU50" i="9"/>
  <c r="BV50" i="9"/>
  <c r="BU51" i="9"/>
  <c r="BV51" i="9"/>
  <c r="BU52" i="9"/>
  <c r="BV52" i="9"/>
  <c r="BU53" i="9"/>
  <c r="BV53" i="9"/>
  <c r="BY7" i="9"/>
  <c r="BV34" i="9"/>
  <c r="BU34" i="9"/>
  <c r="AJ34" i="9"/>
  <c r="AI34" i="9"/>
  <c r="BM4" i="9"/>
  <c r="BN4" i="9"/>
  <c r="BO4" i="9"/>
  <c r="BP4" i="9"/>
  <c r="BQ4" i="9"/>
  <c r="BR4" i="9"/>
  <c r="BS4" i="9"/>
  <c r="BT4" i="9"/>
  <c r="BK5" i="9"/>
  <c r="BY8" i="9" s="1"/>
  <c r="BL5" i="9"/>
  <c r="BM5" i="9"/>
  <c r="BN5" i="9"/>
  <c r="BO5" i="9"/>
  <c r="BP5" i="9"/>
  <c r="BQ5" i="9"/>
  <c r="BR5" i="9"/>
  <c r="BS5" i="9"/>
  <c r="BT5" i="9"/>
  <c r="BK6" i="9"/>
  <c r="BL6" i="9"/>
  <c r="BM6" i="9"/>
  <c r="BN6" i="9"/>
  <c r="BO6" i="9"/>
  <c r="BP6" i="9"/>
  <c r="BQ6" i="9"/>
  <c r="BR6" i="9"/>
  <c r="BS6" i="9"/>
  <c r="BT6" i="9"/>
  <c r="BK7" i="9"/>
  <c r="BL7" i="9"/>
  <c r="BM7" i="9"/>
  <c r="BN7" i="9"/>
  <c r="BO7" i="9"/>
  <c r="BP7" i="9"/>
  <c r="BQ7" i="9"/>
  <c r="BR7" i="9"/>
  <c r="BS7" i="9"/>
  <c r="BT7" i="9"/>
  <c r="BK8" i="9"/>
  <c r="BL8" i="9"/>
  <c r="BM8" i="9"/>
  <c r="BN8" i="9"/>
  <c r="BO8" i="9"/>
  <c r="BP8" i="9"/>
  <c r="BQ8" i="9"/>
  <c r="BR8" i="9"/>
  <c r="BS8" i="9"/>
  <c r="BT8" i="9"/>
  <c r="BK9" i="9"/>
  <c r="BL9" i="9"/>
  <c r="BM9" i="9"/>
  <c r="BN9" i="9"/>
  <c r="BO9" i="9"/>
  <c r="BP9" i="9"/>
  <c r="BQ9" i="9"/>
  <c r="BR9" i="9"/>
  <c r="BS9" i="9"/>
  <c r="BT9" i="9"/>
  <c r="BK10" i="9"/>
  <c r="BL10" i="9"/>
  <c r="BM10" i="9"/>
  <c r="BN10" i="9"/>
  <c r="BO10" i="9"/>
  <c r="BP10" i="9"/>
  <c r="BQ10" i="9"/>
  <c r="BR10" i="9"/>
  <c r="BS10" i="9"/>
  <c r="BT10" i="9"/>
  <c r="BK11" i="9"/>
  <c r="BL11" i="9"/>
  <c r="BM11" i="9"/>
  <c r="BN11" i="9"/>
  <c r="BO11" i="9"/>
  <c r="BP11" i="9"/>
  <c r="BQ11" i="9"/>
  <c r="BR11" i="9"/>
  <c r="BS11" i="9"/>
  <c r="BT11" i="9"/>
  <c r="BK12" i="9"/>
  <c r="BL12" i="9"/>
  <c r="BM12" i="9"/>
  <c r="BN12" i="9"/>
  <c r="BO12" i="9"/>
  <c r="BP12" i="9"/>
  <c r="BQ12" i="9"/>
  <c r="BR12" i="9"/>
  <c r="BS12" i="9"/>
  <c r="BT12" i="9"/>
  <c r="BK13" i="9"/>
  <c r="BL13" i="9"/>
  <c r="BM13" i="9"/>
  <c r="BN13" i="9"/>
  <c r="BO13" i="9"/>
  <c r="BP13" i="9"/>
  <c r="BQ13" i="9"/>
  <c r="BR13" i="9"/>
  <c r="BS13" i="9"/>
  <c r="BT13" i="9"/>
  <c r="BK14" i="9"/>
  <c r="BL14" i="9"/>
  <c r="BM14" i="9"/>
  <c r="BN14" i="9"/>
  <c r="BO14" i="9"/>
  <c r="BP14" i="9"/>
  <c r="BQ14" i="9"/>
  <c r="BR14" i="9"/>
  <c r="BS14" i="9"/>
  <c r="BT14" i="9"/>
  <c r="BK15" i="9"/>
  <c r="BL15" i="9"/>
  <c r="BM15" i="9"/>
  <c r="BN15" i="9"/>
  <c r="BO15" i="9"/>
  <c r="BP15" i="9"/>
  <c r="BQ15" i="9"/>
  <c r="BR15" i="9"/>
  <c r="BS15" i="9"/>
  <c r="BT15" i="9"/>
  <c r="BK16" i="9"/>
  <c r="BL16" i="9"/>
  <c r="BM16" i="9"/>
  <c r="BN16" i="9"/>
  <c r="BO16" i="9"/>
  <c r="BP16" i="9"/>
  <c r="BQ16" i="9"/>
  <c r="BR16" i="9"/>
  <c r="BS16" i="9"/>
  <c r="BT16" i="9"/>
  <c r="BK17" i="9"/>
  <c r="BL17" i="9"/>
  <c r="BM17" i="9"/>
  <c r="BN17" i="9"/>
  <c r="BO17" i="9"/>
  <c r="BP17" i="9"/>
  <c r="BQ17" i="9"/>
  <c r="BR17" i="9"/>
  <c r="BS17" i="9"/>
  <c r="BT17" i="9"/>
  <c r="BK18" i="9"/>
  <c r="BL18" i="9"/>
  <c r="BM18" i="9"/>
  <c r="BN18" i="9"/>
  <c r="BO18" i="9"/>
  <c r="BP18" i="9"/>
  <c r="BQ18" i="9"/>
  <c r="BR18" i="9"/>
  <c r="BS18" i="9"/>
  <c r="BT18" i="9"/>
  <c r="BK19" i="9"/>
  <c r="BL19" i="9"/>
  <c r="BM19" i="9"/>
  <c r="BN19" i="9"/>
  <c r="BO19" i="9"/>
  <c r="BP19" i="9"/>
  <c r="BQ19" i="9"/>
  <c r="BR19" i="9"/>
  <c r="BS19" i="9"/>
  <c r="BT19" i="9"/>
  <c r="BK20" i="9"/>
  <c r="BL20" i="9"/>
  <c r="BM20" i="9"/>
  <c r="BN20" i="9"/>
  <c r="BO20" i="9"/>
  <c r="BP20" i="9"/>
  <c r="BQ20" i="9"/>
  <c r="BR20" i="9"/>
  <c r="BS20" i="9"/>
  <c r="BT20" i="9"/>
  <c r="BK21" i="9"/>
  <c r="BL21" i="9"/>
  <c r="BM21" i="9"/>
  <c r="BN21" i="9"/>
  <c r="BO21" i="9"/>
  <c r="BP21" i="9"/>
  <c r="BQ21" i="9"/>
  <c r="BR21" i="9"/>
  <c r="BS21" i="9"/>
  <c r="BT21" i="9"/>
  <c r="BK22" i="9"/>
  <c r="BL22" i="9"/>
  <c r="BM22" i="9"/>
  <c r="BN22" i="9"/>
  <c r="BO22" i="9"/>
  <c r="BP22" i="9"/>
  <c r="BQ22" i="9"/>
  <c r="BR22" i="9"/>
  <c r="BS22" i="9"/>
  <c r="BT22" i="9"/>
  <c r="BK23" i="9"/>
  <c r="BL23" i="9"/>
  <c r="BM23" i="9"/>
  <c r="BN23" i="9"/>
  <c r="BO23" i="9"/>
  <c r="BP23" i="9"/>
  <c r="BQ23" i="9"/>
  <c r="BR23" i="9"/>
  <c r="BS23" i="9"/>
  <c r="BT23" i="9"/>
  <c r="BK24" i="9"/>
  <c r="BL24" i="9"/>
  <c r="BM24" i="9"/>
  <c r="BN24" i="9"/>
  <c r="BO24" i="9"/>
  <c r="BP24" i="9"/>
  <c r="BQ24" i="9"/>
  <c r="BR24" i="9"/>
  <c r="BS24" i="9"/>
  <c r="BT24" i="9"/>
  <c r="BK25" i="9"/>
  <c r="BL25" i="9"/>
  <c r="BM25" i="9"/>
  <c r="BN25" i="9"/>
  <c r="BO25" i="9"/>
  <c r="BP25" i="9"/>
  <c r="BQ25" i="9"/>
  <c r="BR25" i="9"/>
  <c r="BS25" i="9"/>
  <c r="BT25" i="9"/>
  <c r="BK26" i="9"/>
  <c r="BL26" i="9"/>
  <c r="BM26" i="9"/>
  <c r="BN26" i="9"/>
  <c r="BO26" i="9"/>
  <c r="BP26" i="9"/>
  <c r="BQ26" i="9"/>
  <c r="BR26" i="9"/>
  <c r="BS26" i="9"/>
  <c r="BT26" i="9"/>
  <c r="BK27" i="9"/>
  <c r="BL27" i="9"/>
  <c r="BM27" i="9"/>
  <c r="BN27" i="9"/>
  <c r="BO27" i="9"/>
  <c r="BP27" i="9"/>
  <c r="BQ27" i="9"/>
  <c r="BR27" i="9"/>
  <c r="BS27" i="9"/>
  <c r="BT27" i="9"/>
  <c r="BK28" i="9"/>
  <c r="BL28" i="9"/>
  <c r="BM28" i="9"/>
  <c r="BN28" i="9"/>
  <c r="BO28" i="9"/>
  <c r="BP28" i="9"/>
  <c r="BQ28" i="9"/>
  <c r="BR28" i="9"/>
  <c r="BS28" i="9"/>
  <c r="BT28" i="9"/>
  <c r="BK29" i="9"/>
  <c r="BL29" i="9"/>
  <c r="BM29" i="9"/>
  <c r="BN29" i="9"/>
  <c r="BO29" i="9"/>
  <c r="BP29" i="9"/>
  <c r="BQ29" i="9"/>
  <c r="BR29" i="9"/>
  <c r="BS29" i="9"/>
  <c r="BT29" i="9"/>
  <c r="BK30" i="9"/>
  <c r="BL30" i="9"/>
  <c r="BM30" i="9"/>
  <c r="BN30" i="9"/>
  <c r="BO30" i="9"/>
  <c r="BP30" i="9"/>
  <c r="BQ30" i="9"/>
  <c r="BR30" i="9"/>
  <c r="BS30" i="9"/>
  <c r="BT30" i="9"/>
  <c r="BK31" i="9"/>
  <c r="BL31" i="9"/>
  <c r="BM31" i="9"/>
  <c r="BN31" i="9"/>
  <c r="BO31" i="9"/>
  <c r="BP31" i="9"/>
  <c r="BQ31" i="9"/>
  <c r="BR31" i="9"/>
  <c r="BS31" i="9"/>
  <c r="BT31" i="9"/>
  <c r="BK32" i="9"/>
  <c r="BL32" i="9"/>
  <c r="BM32" i="9"/>
  <c r="BN32" i="9"/>
  <c r="BO32" i="9"/>
  <c r="BP32" i="9"/>
  <c r="BQ32" i="9"/>
  <c r="BR32" i="9"/>
  <c r="BS32" i="9"/>
  <c r="BT32" i="9"/>
  <c r="BK34" i="9"/>
  <c r="BL34" i="9"/>
  <c r="BM34" i="9"/>
  <c r="BN34" i="9"/>
  <c r="BO34" i="9"/>
  <c r="BP34" i="9"/>
  <c r="BQ34" i="9"/>
  <c r="BR34" i="9"/>
  <c r="BS34" i="9"/>
  <c r="BT34" i="9"/>
  <c r="BK35" i="9"/>
  <c r="BL35" i="9"/>
  <c r="BM35" i="9"/>
  <c r="BN35" i="9"/>
  <c r="BO35" i="9"/>
  <c r="BP35" i="9"/>
  <c r="BQ35" i="9"/>
  <c r="BR35" i="9"/>
  <c r="BS35" i="9"/>
  <c r="BT35" i="9"/>
  <c r="BK36" i="9"/>
  <c r="BL36" i="9"/>
  <c r="BM36" i="9"/>
  <c r="BN36" i="9"/>
  <c r="BO36" i="9"/>
  <c r="BP36" i="9"/>
  <c r="BQ36" i="9"/>
  <c r="BR36" i="9"/>
  <c r="BS36" i="9"/>
  <c r="BT36" i="9"/>
  <c r="BK37" i="9"/>
  <c r="BL37" i="9"/>
  <c r="BM37" i="9"/>
  <c r="BN37" i="9"/>
  <c r="BO37" i="9"/>
  <c r="BP37" i="9"/>
  <c r="BQ37" i="9"/>
  <c r="BR37" i="9"/>
  <c r="BS37" i="9"/>
  <c r="BT37" i="9"/>
  <c r="BK38" i="9"/>
  <c r="BL38" i="9"/>
  <c r="BM38" i="9"/>
  <c r="BN38" i="9"/>
  <c r="BO38" i="9"/>
  <c r="BP38" i="9"/>
  <c r="BQ38" i="9"/>
  <c r="BR38" i="9"/>
  <c r="BS38" i="9"/>
  <c r="BT38" i="9"/>
  <c r="BK39" i="9"/>
  <c r="BL39" i="9"/>
  <c r="BM39" i="9"/>
  <c r="BN39" i="9"/>
  <c r="BO39" i="9"/>
  <c r="BP39" i="9"/>
  <c r="BQ39" i="9"/>
  <c r="BR39" i="9"/>
  <c r="BS39" i="9"/>
  <c r="BT39" i="9"/>
  <c r="BK40" i="9"/>
  <c r="BL40" i="9"/>
  <c r="BM40" i="9"/>
  <c r="BN40" i="9"/>
  <c r="BO40" i="9"/>
  <c r="BP40" i="9"/>
  <c r="BQ40" i="9"/>
  <c r="BR40" i="9"/>
  <c r="BS40" i="9"/>
  <c r="BT40" i="9"/>
  <c r="BK41" i="9"/>
  <c r="BL41" i="9"/>
  <c r="BM41" i="9"/>
  <c r="BN41" i="9"/>
  <c r="BO41" i="9"/>
  <c r="BP41" i="9"/>
  <c r="BQ41" i="9"/>
  <c r="BR41" i="9"/>
  <c r="BS41" i="9"/>
  <c r="BT41" i="9"/>
  <c r="BK42" i="9"/>
  <c r="BL42" i="9"/>
  <c r="BM42" i="9"/>
  <c r="BN42" i="9"/>
  <c r="BO42" i="9"/>
  <c r="BP42" i="9"/>
  <c r="BQ42" i="9"/>
  <c r="BR42" i="9"/>
  <c r="BS42" i="9"/>
  <c r="BT42" i="9"/>
  <c r="BK44" i="9"/>
  <c r="BL44" i="9"/>
  <c r="BM44" i="9"/>
  <c r="BN44" i="9"/>
  <c r="BO44" i="9"/>
  <c r="BP44" i="9"/>
  <c r="BQ44" i="9"/>
  <c r="BR44" i="9"/>
  <c r="BS44" i="9"/>
  <c r="BT44" i="9"/>
  <c r="BK45" i="9"/>
  <c r="BL45" i="9"/>
  <c r="BM45" i="9"/>
  <c r="BN45" i="9"/>
  <c r="BO45" i="9"/>
  <c r="BP45" i="9"/>
  <c r="BQ45" i="9"/>
  <c r="BR45" i="9"/>
  <c r="BS45" i="9"/>
  <c r="BT45" i="9"/>
  <c r="BK46" i="9"/>
  <c r="BL46" i="9"/>
  <c r="BM46" i="9"/>
  <c r="BN46" i="9"/>
  <c r="BO46" i="9"/>
  <c r="BP46" i="9"/>
  <c r="BQ46" i="9"/>
  <c r="BR46" i="9"/>
  <c r="BS46" i="9"/>
  <c r="BT46" i="9"/>
  <c r="BK47" i="9"/>
  <c r="BL47" i="9"/>
  <c r="BM47" i="9"/>
  <c r="BN47" i="9"/>
  <c r="BO47" i="9"/>
  <c r="BP47" i="9"/>
  <c r="BQ47" i="9"/>
  <c r="BR47" i="9"/>
  <c r="BS47" i="9"/>
  <c r="BT47" i="9"/>
  <c r="BK48" i="9"/>
  <c r="BL48" i="9"/>
  <c r="BM48" i="9"/>
  <c r="BN48" i="9"/>
  <c r="BO48" i="9"/>
  <c r="BP48" i="9"/>
  <c r="BQ48" i="9"/>
  <c r="BR48" i="9"/>
  <c r="BS48" i="9"/>
  <c r="BT48" i="9"/>
  <c r="BT3" i="9"/>
  <c r="BZ6" i="9" s="1"/>
  <c r="BS3" i="9"/>
  <c r="BY6" i="9" s="1"/>
  <c r="CA6" i="9" s="1"/>
  <c r="BR3" i="9"/>
  <c r="BZ5" i="9" s="1"/>
  <c r="BQ3" i="9"/>
  <c r="BY5" i="9" s="1"/>
  <c r="CA5" i="9" s="1"/>
  <c r="BP3" i="9"/>
  <c r="BZ4" i="9" s="1"/>
  <c r="BO3" i="9"/>
  <c r="BY4" i="9" s="1"/>
  <c r="CA4" i="9" s="1"/>
  <c r="BN3" i="9"/>
  <c r="BZ3" i="9" s="1"/>
  <c r="BM3" i="9"/>
  <c r="BY3" i="9" s="1"/>
  <c r="CA3" i="9" s="1"/>
  <c r="BL3" i="9"/>
  <c r="BZ8" i="9" s="1"/>
  <c r="AH3" i="9"/>
  <c r="AG3" i="9"/>
  <c r="AF3" i="9"/>
  <c r="AE3" i="9"/>
  <c r="AD3" i="9"/>
  <c r="AC3" i="9"/>
  <c r="AB3" i="9"/>
  <c r="AA3" i="9"/>
  <c r="Z3" i="9"/>
  <c r="Y3" i="9"/>
  <c r="E84" i="8"/>
  <c r="G106" i="8"/>
  <c r="H106" i="8" s="1"/>
  <c r="I106" i="8" s="1"/>
  <c r="G105" i="8"/>
  <c r="G104" i="8"/>
  <c r="G103" i="8"/>
  <c r="G102" i="8"/>
  <c r="H102" i="8" s="1"/>
  <c r="I102" i="8" s="1"/>
  <c r="G101" i="8"/>
  <c r="H101" i="8" s="1"/>
  <c r="I101" i="8" s="1"/>
  <c r="G100" i="8"/>
  <c r="G99" i="8"/>
  <c r="H99" i="8" s="1"/>
  <c r="I99" i="8" s="1"/>
  <c r="G97" i="8"/>
  <c r="G96" i="8"/>
  <c r="H96" i="8" s="1"/>
  <c r="I96" i="8" s="1"/>
  <c r="G95" i="8"/>
  <c r="H95" i="8" s="1"/>
  <c r="I95" i="8" s="1"/>
  <c r="E93" i="8"/>
  <c r="D93" i="8"/>
  <c r="E92" i="8"/>
  <c r="D92" i="8"/>
  <c r="E91" i="8"/>
  <c r="D91" i="8"/>
  <c r="L91" i="8" s="1"/>
  <c r="E90" i="8"/>
  <c r="D90" i="8"/>
  <c r="E89" i="8"/>
  <c r="D89" i="8"/>
  <c r="G92" i="8"/>
  <c r="G91" i="8"/>
  <c r="G90" i="8"/>
  <c r="E88" i="8"/>
  <c r="D88" i="8"/>
  <c r="E87" i="8"/>
  <c r="D87" i="8"/>
  <c r="E86" i="8"/>
  <c r="D86" i="8"/>
  <c r="E85" i="8"/>
  <c r="D85" i="8"/>
  <c r="D84" i="8"/>
  <c r="E83" i="8"/>
  <c r="D83" i="8"/>
  <c r="E82" i="8"/>
  <c r="D82" i="8"/>
  <c r="E81" i="8"/>
  <c r="D81" i="8"/>
  <c r="E80" i="8"/>
  <c r="D80" i="8"/>
  <c r="H94" i="8"/>
  <c r="I94" i="8"/>
  <c r="H97" i="8"/>
  <c r="I97" i="8" s="1"/>
  <c r="H98" i="8"/>
  <c r="I98" i="8" s="1"/>
  <c r="H103" i="8"/>
  <c r="I103" i="8" s="1"/>
  <c r="H104" i="8"/>
  <c r="I104" i="8" s="1"/>
  <c r="H105" i="8"/>
  <c r="I105" i="8" s="1"/>
  <c r="E79" i="8"/>
  <c r="D79" i="8"/>
  <c r="F3" i="8"/>
  <c r="V3" i="8"/>
  <c r="R3" i="8"/>
  <c r="N3" i="8"/>
  <c r="J3" i="8"/>
  <c r="J4" i="8"/>
  <c r="J5" i="8"/>
  <c r="J6" i="8"/>
  <c r="J7" i="8"/>
  <c r="J8" i="8"/>
  <c r="J9" i="8"/>
  <c r="J10" i="8"/>
  <c r="J11" i="8"/>
  <c r="J12" i="8"/>
  <c r="J13" i="8"/>
  <c r="J14" i="8"/>
  <c r="J15" i="8"/>
  <c r="J17" i="8"/>
  <c r="J18" i="8"/>
  <c r="J19" i="8"/>
  <c r="J20" i="8"/>
  <c r="J21" i="8"/>
  <c r="N4" i="8"/>
  <c r="N5" i="8"/>
  <c r="N6" i="8"/>
  <c r="N7" i="8"/>
  <c r="N8" i="8"/>
  <c r="N9" i="8"/>
  <c r="N10" i="8"/>
  <c r="N11" i="8"/>
  <c r="N12" i="8"/>
  <c r="N13" i="8"/>
  <c r="N14" i="8"/>
  <c r="N15" i="8"/>
  <c r="N17" i="8"/>
  <c r="N18" i="8"/>
  <c r="N19" i="8"/>
  <c r="N20" i="8"/>
  <c r="N21" i="8"/>
  <c r="R4" i="8"/>
  <c r="R5" i="8"/>
  <c r="R6" i="8"/>
  <c r="R7" i="8"/>
  <c r="R8" i="8"/>
  <c r="R9" i="8"/>
  <c r="R10" i="8"/>
  <c r="R11" i="8"/>
  <c r="R12" i="8"/>
  <c r="R13" i="8"/>
  <c r="R14" i="8"/>
  <c r="R15" i="8"/>
  <c r="R17" i="8"/>
  <c r="R18" i="8"/>
  <c r="R19" i="8"/>
  <c r="R20" i="8"/>
  <c r="R21" i="8"/>
  <c r="V4" i="8"/>
  <c r="V5" i="8"/>
  <c r="V6" i="8"/>
  <c r="V7" i="8"/>
  <c r="V8" i="8"/>
  <c r="V9" i="8"/>
  <c r="V10" i="8"/>
  <c r="V11" i="8"/>
  <c r="V12" i="8"/>
  <c r="V13" i="8"/>
  <c r="V14" i="8"/>
  <c r="V15" i="8"/>
  <c r="V17" i="8"/>
  <c r="V18" i="8"/>
  <c r="V19" i="8"/>
  <c r="V20" i="8"/>
  <c r="V21" i="8"/>
  <c r="AB14" i="8"/>
  <c r="AB15" i="8"/>
  <c r="AB17" i="8"/>
  <c r="AB18" i="8"/>
  <c r="AB19" i="8"/>
  <c r="AB20" i="8"/>
  <c r="AB21" i="8"/>
  <c r="AF14" i="8"/>
  <c r="AF15" i="8"/>
  <c r="AF17" i="8"/>
  <c r="AF18" i="8"/>
  <c r="AF19" i="8"/>
  <c r="AF20" i="8"/>
  <c r="AF21" i="8"/>
  <c r="AJ14" i="8"/>
  <c r="AJ15" i="8"/>
  <c r="AJ17" i="8"/>
  <c r="AJ18" i="8"/>
  <c r="AJ19" i="8"/>
  <c r="AJ20" i="8"/>
  <c r="AJ21" i="8"/>
  <c r="AN14" i="8"/>
  <c r="AN15" i="8"/>
  <c r="AN17" i="8"/>
  <c r="AN18" i="8"/>
  <c r="AN19" i="8"/>
  <c r="AN20" i="8"/>
  <c r="AN21" i="8"/>
  <c r="F4" i="8"/>
  <c r="F5" i="8"/>
  <c r="F6" i="8"/>
  <c r="F7" i="8"/>
  <c r="F8" i="8"/>
  <c r="F9" i="8"/>
  <c r="F10" i="8"/>
  <c r="F11" i="8"/>
  <c r="F12" i="8"/>
  <c r="F13" i="8"/>
  <c r="F14" i="8"/>
  <c r="F15" i="8"/>
  <c r="F17" i="8"/>
  <c r="F18" i="8"/>
  <c r="F19" i="8"/>
  <c r="F20" i="8"/>
  <c r="F21" i="8"/>
  <c r="W20" i="9"/>
  <c r="W21" i="9" s="1"/>
  <c r="BI10" i="21"/>
  <c r="BJ10" i="21"/>
  <c r="BK10" i="21"/>
  <c r="BL10" i="21"/>
  <c r="BO10" i="21" s="1"/>
  <c r="BI11" i="21"/>
  <c r="BJ11" i="21"/>
  <c r="BK11" i="21"/>
  <c r="BL11" i="21"/>
  <c r="BO11" i="21" s="1"/>
  <c r="BI12" i="21"/>
  <c r="BJ12" i="21"/>
  <c r="BK12" i="21"/>
  <c r="BL12" i="21"/>
  <c r="BO12" i="21" s="1"/>
  <c r="BI13" i="21"/>
  <c r="BJ13" i="21"/>
  <c r="BK13" i="21"/>
  <c r="AJ12" i="7" s="1"/>
  <c r="BL13" i="21"/>
  <c r="BO13" i="21" s="1"/>
  <c r="BI14" i="21"/>
  <c r="BJ14" i="21"/>
  <c r="BK14" i="21"/>
  <c r="AJ13" i="7" s="1"/>
  <c r="BL14" i="21"/>
  <c r="BO14" i="21" s="1"/>
  <c r="DO76" i="8"/>
  <c r="DS76" i="8"/>
  <c r="DK76" i="8"/>
  <c r="DG76" i="8"/>
  <c r="DC76" i="8"/>
  <c r="BM76" i="8"/>
  <c r="AR76" i="8"/>
  <c r="CA16" i="21"/>
  <c r="CB16" i="21" s="1"/>
  <c r="CC16" i="21" s="1"/>
  <c r="BY16" i="21"/>
  <c r="CL16" i="20"/>
  <c r="CM16" i="20" s="1"/>
  <c r="CN16" i="20" s="1"/>
  <c r="CJ16" i="20"/>
  <c r="AU46" i="14"/>
  <c r="AS46" i="14"/>
  <c r="AT46" i="14" s="1"/>
  <c r="AQ46" i="14"/>
  <c r="G12" i="21"/>
  <c r="G11" i="21"/>
  <c r="G10" i="21"/>
  <c r="U12" i="21"/>
  <c r="U11" i="21"/>
  <c r="U10" i="21"/>
  <c r="AI12" i="21"/>
  <c r="AI11" i="21"/>
  <c r="AI10" i="21"/>
  <c r="AW12" i="21"/>
  <c r="AW11" i="21"/>
  <c r="AW10" i="21"/>
  <c r="BI10" i="20"/>
  <c r="BJ10" i="20"/>
  <c r="BK10" i="20"/>
  <c r="BL10" i="20"/>
  <c r="BO10" i="20" s="1"/>
  <c r="BI11" i="20"/>
  <c r="BJ11" i="20"/>
  <c r="BK11" i="20"/>
  <c r="BL11" i="20"/>
  <c r="BO11" i="20" s="1"/>
  <c r="BI12" i="20"/>
  <c r="BJ12" i="20"/>
  <c r="BK12" i="20"/>
  <c r="BL12" i="20"/>
  <c r="BO12" i="20" s="1"/>
  <c r="AW12" i="20"/>
  <c r="AW11" i="20"/>
  <c r="AW10" i="20"/>
  <c r="AI12" i="20"/>
  <c r="AI11" i="20"/>
  <c r="AI10" i="20"/>
  <c r="U12" i="20"/>
  <c r="U11" i="20"/>
  <c r="U10" i="20"/>
  <c r="G12" i="20"/>
  <c r="G11" i="20"/>
  <c r="G10" i="20"/>
  <c r="U31" i="14"/>
  <c r="U32" i="14"/>
  <c r="P29" i="7"/>
  <c r="G31" i="14"/>
  <c r="G32" i="14"/>
  <c r="G30" i="14"/>
  <c r="O29" i="7"/>
  <c r="O30" i="7"/>
  <c r="P30" i="7"/>
  <c r="BM75" i="8"/>
  <c r="AR75" i="8"/>
  <c r="BM74" i="8"/>
  <c r="AR74" i="8"/>
  <c r="BM73" i="8"/>
  <c r="AR73" i="8"/>
  <c r="BM72" i="8"/>
  <c r="AR72" i="8"/>
  <c r="BM71" i="8"/>
  <c r="BI71" i="8"/>
  <c r="BE71" i="8"/>
  <c r="BA71" i="8"/>
  <c r="AW71" i="8"/>
  <c r="AR71" i="8"/>
  <c r="BY14" i="21"/>
  <c r="CA14" i="21" s="1"/>
  <c r="CB14" i="21" s="1"/>
  <c r="CL14" i="20"/>
  <c r="CM14" i="20"/>
  <c r="CN14" i="20" s="1"/>
  <c r="CJ15" i="20"/>
  <c r="CL15" i="20" s="1"/>
  <c r="CM15" i="20" s="1"/>
  <c r="CN15" i="20" s="1"/>
  <c r="CJ14" i="20"/>
  <c r="AU45" i="14"/>
  <c r="AU44" i="14"/>
  <c r="AS45" i="14"/>
  <c r="AT45" i="14"/>
  <c r="AQ45" i="14"/>
  <c r="AS44" i="14"/>
  <c r="AT44" i="14"/>
  <c r="AQ44" i="14"/>
  <c r="W32" i="14"/>
  <c r="W31" i="14"/>
  <c r="CJ31" i="6" s="1"/>
  <c r="BL49" i="5"/>
  <c r="EY49" i="5" s="1"/>
  <c r="BL48" i="5"/>
  <c r="EY48" i="5" s="1"/>
  <c r="FG48" i="5" s="1"/>
  <c r="BL47" i="5"/>
  <c r="EY47" i="5" s="1"/>
  <c r="BL46" i="5"/>
  <c r="EY46" i="5" s="1"/>
  <c r="BL45" i="5"/>
  <c r="EY45" i="5" s="1"/>
  <c r="BL44" i="5"/>
  <c r="EY44" i="5" s="1"/>
  <c r="BL43" i="5"/>
  <c r="EY43" i="5" s="1"/>
  <c r="BL42" i="5"/>
  <c r="EY42" i="5" s="1"/>
  <c r="BL41" i="5"/>
  <c r="EY41" i="5" s="1"/>
  <c r="BL40" i="5"/>
  <c r="EY40" i="5" s="1"/>
  <c r="FG40" i="5" s="1"/>
  <c r="BL39" i="5"/>
  <c r="EY39" i="5" s="1"/>
  <c r="BL38" i="5"/>
  <c r="EY38" i="5" s="1"/>
  <c r="BL37" i="5"/>
  <c r="EY37" i="5" s="1"/>
  <c r="BL36" i="5"/>
  <c r="EY36" i="5" s="1"/>
  <c r="BL35" i="5"/>
  <c r="EY35" i="5" s="1"/>
  <c r="AV36" i="5"/>
  <c r="EX36" i="5" s="1"/>
  <c r="AV37" i="5"/>
  <c r="EX37" i="5" s="1"/>
  <c r="AV38" i="5"/>
  <c r="EX38" i="5" s="1"/>
  <c r="FF38" i="5" s="1"/>
  <c r="AV39" i="5"/>
  <c r="EX39" i="5" s="1"/>
  <c r="AV40" i="5"/>
  <c r="EX40" i="5" s="1"/>
  <c r="FF40" i="5" s="1"/>
  <c r="AV41" i="5"/>
  <c r="EX41" i="5" s="1"/>
  <c r="AV42" i="5"/>
  <c r="EX42" i="5" s="1"/>
  <c r="AV43" i="5"/>
  <c r="EX43" i="5" s="1"/>
  <c r="AV44" i="5"/>
  <c r="EX44" i="5" s="1"/>
  <c r="AV45" i="5"/>
  <c r="EX45" i="5" s="1"/>
  <c r="AV46" i="5"/>
  <c r="EX46" i="5" s="1"/>
  <c r="FF46" i="5" s="1"/>
  <c r="AV47" i="5"/>
  <c r="EX47" i="5" s="1"/>
  <c r="AV48" i="5"/>
  <c r="EX48" i="5" s="1"/>
  <c r="FF48" i="5" s="1"/>
  <c r="AV49" i="5"/>
  <c r="EX49" i="5" s="1"/>
  <c r="BO9" i="21"/>
  <c r="BL9" i="21"/>
  <c r="BK9" i="21"/>
  <c r="BJ9" i="21"/>
  <c r="BI9" i="21"/>
  <c r="BK8" i="21"/>
  <c r="BJ8" i="21"/>
  <c r="BL8" i="21" s="1"/>
  <c r="BO8" i="21" s="1"/>
  <c r="BI8" i="21"/>
  <c r="BK7" i="21"/>
  <c r="BJ7" i="21"/>
  <c r="BI7" i="21"/>
  <c r="BL7" i="21" s="1"/>
  <c r="BO7" i="21" s="1"/>
  <c r="BO6" i="21"/>
  <c r="BL6" i="21"/>
  <c r="BK6" i="21"/>
  <c r="BJ6" i="21"/>
  <c r="BI6" i="21"/>
  <c r="BK5" i="21"/>
  <c r="BJ5" i="21"/>
  <c r="BI5" i="21"/>
  <c r="BL5" i="21" s="1"/>
  <c r="BO5" i="21" s="1"/>
  <c r="BK4" i="21"/>
  <c r="BJ4" i="21"/>
  <c r="BI4" i="21"/>
  <c r="BL4" i="21" s="1"/>
  <c r="BO4" i="21" s="1"/>
  <c r="BL3" i="21"/>
  <c r="BO3" i="21" s="1"/>
  <c r="BK3" i="21"/>
  <c r="BJ3" i="21"/>
  <c r="BI3" i="21"/>
  <c r="BO4" i="20"/>
  <c r="BO5" i="20"/>
  <c r="BO6" i="20"/>
  <c r="BO7" i="20"/>
  <c r="BO8" i="20"/>
  <c r="BO9" i="20"/>
  <c r="BO3" i="20"/>
  <c r="BI4" i="20"/>
  <c r="BJ4" i="20"/>
  <c r="BI5" i="20"/>
  <c r="BJ5" i="20"/>
  <c r="BI6" i="20"/>
  <c r="BJ6" i="20"/>
  <c r="BI7" i="20"/>
  <c r="BJ7" i="20"/>
  <c r="BL7" i="20" s="1"/>
  <c r="BI8" i="20"/>
  <c r="BJ8" i="20"/>
  <c r="BI9" i="20"/>
  <c r="BJ9" i="20"/>
  <c r="BL4" i="20"/>
  <c r="BL5" i="20"/>
  <c r="BL6" i="20"/>
  <c r="BL8" i="20"/>
  <c r="BL9" i="20"/>
  <c r="BL3" i="20"/>
  <c r="BJ3" i="20"/>
  <c r="BI3" i="20"/>
  <c r="BK4" i="20"/>
  <c r="BK5" i="20"/>
  <c r="BK6" i="20"/>
  <c r="BK7" i="20"/>
  <c r="BK8" i="20"/>
  <c r="BK9" i="20"/>
  <c r="BK3" i="20"/>
  <c r="BU4" i="2"/>
  <c r="BV4" i="2"/>
  <c r="BW4" i="2"/>
  <c r="BU5" i="2"/>
  <c r="BV5" i="2"/>
  <c r="BW5" i="2"/>
  <c r="BU6" i="2"/>
  <c r="BV6" i="2"/>
  <c r="BW6" i="2"/>
  <c r="BU7" i="2"/>
  <c r="BV7" i="2"/>
  <c r="BW7" i="2"/>
  <c r="BU8" i="2"/>
  <c r="BV8" i="2"/>
  <c r="BW8" i="2"/>
  <c r="BU9" i="2"/>
  <c r="BV9" i="2"/>
  <c r="BW9" i="2"/>
  <c r="BU10" i="2"/>
  <c r="BV10" i="2"/>
  <c r="BW10" i="2"/>
  <c r="BU11" i="2"/>
  <c r="BV11" i="2"/>
  <c r="BW11" i="2"/>
  <c r="BU12" i="2"/>
  <c r="BV12" i="2"/>
  <c r="BW12" i="2"/>
  <c r="BU13" i="2"/>
  <c r="BV13" i="2"/>
  <c r="BW13" i="2"/>
  <c r="BU14" i="2"/>
  <c r="BV14" i="2"/>
  <c r="BW14" i="2"/>
  <c r="BU15" i="2"/>
  <c r="BV15" i="2"/>
  <c r="BW15" i="2"/>
  <c r="BU16" i="2"/>
  <c r="BV16" i="2"/>
  <c r="BW16" i="2"/>
  <c r="BU17" i="2"/>
  <c r="BV17" i="2"/>
  <c r="BW17" i="2"/>
  <c r="BU18" i="2"/>
  <c r="BV18" i="2"/>
  <c r="BW18" i="2"/>
  <c r="BU19" i="2"/>
  <c r="BV19" i="2"/>
  <c r="BW19" i="2"/>
  <c r="BU20" i="2"/>
  <c r="BV20" i="2"/>
  <c r="BW20" i="2"/>
  <c r="BU21" i="2"/>
  <c r="BV21" i="2"/>
  <c r="BW21" i="2"/>
  <c r="BU22" i="2"/>
  <c r="BV22" i="2"/>
  <c r="BW22" i="2"/>
  <c r="BU23" i="2"/>
  <c r="BV23" i="2"/>
  <c r="BW23" i="2"/>
  <c r="BU24" i="2"/>
  <c r="BV24" i="2"/>
  <c r="BW24" i="2"/>
  <c r="BU25" i="2"/>
  <c r="BV25" i="2"/>
  <c r="BW25" i="2"/>
  <c r="BU26" i="2"/>
  <c r="BV26" i="2"/>
  <c r="BW26" i="2"/>
  <c r="BU27" i="2"/>
  <c r="BV27" i="2"/>
  <c r="BW27" i="2"/>
  <c r="BU28" i="2"/>
  <c r="BV28" i="2"/>
  <c r="BW28" i="2"/>
  <c r="BU29" i="2"/>
  <c r="BV29" i="2"/>
  <c r="BW29" i="2"/>
  <c r="BU30" i="2"/>
  <c r="BV30" i="2"/>
  <c r="BW30" i="2"/>
  <c r="BU31" i="2"/>
  <c r="BV31" i="2"/>
  <c r="BW31" i="2"/>
  <c r="BU32" i="2"/>
  <c r="BV32" i="2"/>
  <c r="BW32" i="2"/>
  <c r="BU33" i="2"/>
  <c r="BW33" i="2"/>
  <c r="BU34" i="2"/>
  <c r="BV34" i="2"/>
  <c r="BW34" i="2"/>
  <c r="BU35" i="2"/>
  <c r="BV35" i="2"/>
  <c r="BW35" i="2"/>
  <c r="BU36" i="2"/>
  <c r="BV36" i="2"/>
  <c r="BW36" i="2"/>
  <c r="BU37" i="2"/>
  <c r="BV37" i="2"/>
  <c r="BW37" i="2"/>
  <c r="BU38" i="2"/>
  <c r="BV38" i="2"/>
  <c r="BW38" i="2"/>
  <c r="BU39" i="2"/>
  <c r="BV39" i="2"/>
  <c r="BW39" i="2"/>
  <c r="BU40" i="2"/>
  <c r="BV40" i="2"/>
  <c r="BW40" i="2"/>
  <c r="BU41" i="2"/>
  <c r="BV41" i="2"/>
  <c r="BW41" i="2"/>
  <c r="BU42" i="2"/>
  <c r="BV42" i="2"/>
  <c r="BW42" i="2"/>
  <c r="BU43" i="2"/>
  <c r="BV43" i="2"/>
  <c r="BW43" i="2"/>
  <c r="BW3" i="2"/>
  <c r="BV3" i="2"/>
  <c r="BU3" i="2"/>
  <c r="BT4" i="2"/>
  <c r="BT5" i="2"/>
  <c r="BT6" i="2"/>
  <c r="BT7" i="2"/>
  <c r="BT8" i="2"/>
  <c r="BT9" i="2"/>
  <c r="BT10" i="2"/>
  <c r="BT11" i="2"/>
  <c r="BT12" i="2"/>
  <c r="BT13" i="2"/>
  <c r="BT14" i="2"/>
  <c r="BT15" i="2"/>
  <c r="BT16" i="2"/>
  <c r="BT17" i="2"/>
  <c r="BT18" i="2"/>
  <c r="BT19" i="2"/>
  <c r="BT20" i="2"/>
  <c r="BT21" i="2"/>
  <c r="BT22" i="2"/>
  <c r="BT23" i="2"/>
  <c r="BT24" i="2"/>
  <c r="BT25" i="2"/>
  <c r="BT26" i="2"/>
  <c r="BT27" i="2"/>
  <c r="BT28" i="2"/>
  <c r="BT29" i="2"/>
  <c r="BT30" i="2"/>
  <c r="BT31" i="2"/>
  <c r="BT32" i="2"/>
  <c r="BT33" i="2"/>
  <c r="BT34" i="2"/>
  <c r="BT35" i="2"/>
  <c r="BT36" i="2"/>
  <c r="BT37" i="2"/>
  <c r="BT38" i="2"/>
  <c r="BT39" i="2"/>
  <c r="BT40" i="2"/>
  <c r="BT41" i="2"/>
  <c r="BT42" i="2"/>
  <c r="BT43" i="2"/>
  <c r="BT44" i="2"/>
  <c r="BT45" i="2"/>
  <c r="BT46" i="2"/>
  <c r="BT47" i="2"/>
  <c r="BT3" i="2"/>
  <c r="CJ4" i="6"/>
  <c r="CJ5" i="6"/>
  <c r="CJ6" i="6"/>
  <c r="CJ7" i="6"/>
  <c r="CJ8" i="6"/>
  <c r="CJ9" i="6"/>
  <c r="CJ10" i="6"/>
  <c r="CJ11" i="6"/>
  <c r="CJ12" i="6"/>
  <c r="CJ13" i="6"/>
  <c r="CJ14" i="6"/>
  <c r="CJ15" i="6"/>
  <c r="CJ16" i="6"/>
  <c r="CJ17" i="6"/>
  <c r="CJ18" i="6"/>
  <c r="CJ26" i="6"/>
  <c r="CJ29" i="6"/>
  <c r="CJ30" i="6"/>
  <c r="CJ32" i="6"/>
  <c r="CJ34" i="6"/>
  <c r="CJ36" i="6"/>
  <c r="CJ3" i="6"/>
  <c r="CG29" i="6"/>
  <c r="CH29" i="6"/>
  <c r="CG30" i="6"/>
  <c r="CH30" i="6"/>
  <c r="CG31" i="6"/>
  <c r="CH31" i="6"/>
  <c r="CG32" i="6"/>
  <c r="CH32" i="6"/>
  <c r="CG33" i="6"/>
  <c r="CH33" i="6"/>
  <c r="CG34" i="6"/>
  <c r="CH34" i="6"/>
  <c r="CG35" i="6"/>
  <c r="CH35" i="6"/>
  <c r="CG36" i="6"/>
  <c r="CH36" i="6"/>
  <c r="AL6" i="24" l="1"/>
  <c r="AP5" i="24"/>
  <c r="BF6" i="24"/>
  <c r="AX6" i="24"/>
  <c r="BB5" i="24"/>
  <c r="BB15" i="24" s="1"/>
  <c r="BE6" i="24"/>
  <c r="AW6" i="24"/>
  <c r="BA5" i="24"/>
  <c r="BC3" i="24"/>
  <c r="AP4" i="24"/>
  <c r="BC6" i="24"/>
  <c r="AU6" i="24"/>
  <c r="AU15" i="24" s="1"/>
  <c r="AY5" i="24"/>
  <c r="AY15" i="24" s="1"/>
  <c r="BB6" i="24"/>
  <c r="BF5" i="24"/>
  <c r="BF15" i="24" s="1"/>
  <c r="AX5" i="24"/>
  <c r="AZ15" i="24"/>
  <c r="BA6" i="24"/>
  <c r="BA15" i="24" s="1"/>
  <c r="BE5" i="24"/>
  <c r="AW5" i="24"/>
  <c r="AW15" i="24" s="1"/>
  <c r="AZ6" i="24"/>
  <c r="BD5" i="24"/>
  <c r="BD15" i="24" s="1"/>
  <c r="AV5" i="24"/>
  <c r="AX15" i="24"/>
  <c r="AH5" i="24"/>
  <c r="AH4" i="24"/>
  <c r="CB3" i="9"/>
  <c r="CA7" i="9"/>
  <c r="CB4" i="9" s="1"/>
  <c r="FF47" i="5"/>
  <c r="FF39" i="5"/>
  <c r="FG39" i="5"/>
  <c r="FG47" i="5"/>
  <c r="FF45" i="5"/>
  <c r="FG41" i="5"/>
  <c r="FF37" i="5"/>
  <c r="FF36" i="5"/>
  <c r="FF42" i="5"/>
  <c r="FG44" i="5"/>
  <c r="FF49" i="5"/>
  <c r="FF41" i="5"/>
  <c r="FG45" i="5"/>
  <c r="FG49" i="5"/>
  <c r="FF44" i="5"/>
  <c r="FG42" i="5"/>
  <c r="FF43" i="5"/>
  <c r="FG36" i="5"/>
  <c r="FG37" i="5"/>
  <c r="FG38" i="5"/>
  <c r="FG46" i="5"/>
  <c r="FG43" i="5"/>
  <c r="FG35" i="5"/>
  <c r="FE35" i="5"/>
  <c r="CJ6" i="22"/>
  <c r="EF5" i="23"/>
  <c r="EH6" i="23"/>
  <c r="EF6" i="23"/>
  <c r="EH3" i="23"/>
  <c r="EF4" i="23"/>
  <c r="EH4" i="23"/>
  <c r="EH5" i="23"/>
  <c r="EP5" i="23"/>
  <c r="ER5" i="23" s="1"/>
  <c r="ES5" i="23" s="1"/>
  <c r="CJ7" i="22"/>
  <c r="CJ5" i="22"/>
  <c r="CJ3" i="22"/>
  <c r="CJ4" i="22"/>
  <c r="CT5" i="22"/>
  <c r="CV5" i="22" s="1"/>
  <c r="CW5" i="22" s="1"/>
  <c r="CT6" i="22" s="1"/>
  <c r="CV6" i="22" s="1"/>
  <c r="CW6" i="22" s="1"/>
  <c r="H100" i="8"/>
  <c r="I100" i="8" s="1"/>
  <c r="BZ9" i="9"/>
  <c r="AO4" i="24"/>
  <c r="AN4" i="24"/>
  <c r="BE3" i="24"/>
  <c r="AO3" i="24"/>
  <c r="AJ3" i="24"/>
  <c r="AV4" i="24"/>
  <c r="AV15" i="24" s="1"/>
  <c r="AI3" i="24"/>
  <c r="AU47" i="14"/>
  <c r="CC17" i="21"/>
  <c r="CA18" i="21"/>
  <c r="CB18" i="21" s="1"/>
  <c r="CC18" i="21" s="1"/>
  <c r="CN17" i="20"/>
  <c r="CL18" i="20"/>
  <c r="CM18" i="20" s="1"/>
  <c r="CN18" i="20" s="1"/>
  <c r="BY15" i="21"/>
  <c r="CA15" i="21" s="1"/>
  <c r="CB15" i="21" s="1"/>
  <c r="CC15" i="21" s="1"/>
  <c r="CC14" i="21"/>
  <c r="G340" i="3"/>
  <c r="G341" i="3"/>
  <c r="G342" i="3"/>
  <c r="G343" i="3"/>
  <c r="G344" i="3"/>
  <c r="G345" i="3"/>
  <c r="G346" i="3"/>
  <c r="G339" i="3"/>
  <c r="C45" i="7"/>
  <c r="L45" i="7"/>
  <c r="N26" i="7"/>
  <c r="O26" i="7"/>
  <c r="N27" i="7"/>
  <c r="O27" i="7"/>
  <c r="P27" i="7"/>
  <c r="N28" i="7"/>
  <c r="O28" i="7"/>
  <c r="P28" i="7"/>
  <c r="N29" i="7"/>
  <c r="N30" i="7"/>
  <c r="N31" i="7"/>
  <c r="O31" i="7"/>
  <c r="P31" i="7"/>
  <c r="N32" i="7"/>
  <c r="O32" i="7"/>
  <c r="P32" i="7"/>
  <c r="N33" i="7"/>
  <c r="O33" i="7"/>
  <c r="P33" i="7"/>
  <c r="AW9" i="21"/>
  <c r="AW8" i="21"/>
  <c r="AI9" i="21"/>
  <c r="AI8" i="21"/>
  <c r="U9" i="21"/>
  <c r="U8" i="21"/>
  <c r="G9" i="21"/>
  <c r="G8" i="21"/>
  <c r="G9" i="20"/>
  <c r="G8" i="20"/>
  <c r="U9" i="20"/>
  <c r="U8" i="20"/>
  <c r="AI9" i="20"/>
  <c r="AI8" i="20"/>
  <c r="AW9" i="20"/>
  <c r="AW8" i="20"/>
  <c r="AU43" i="14"/>
  <c r="AU42" i="14"/>
  <c r="AS43" i="14"/>
  <c r="AT43" i="14"/>
  <c r="AQ43" i="14"/>
  <c r="AS42" i="14"/>
  <c r="AT42" i="14"/>
  <c r="AQ42" i="14"/>
  <c r="AU41" i="14"/>
  <c r="AS41" i="14"/>
  <c r="AT41" i="14"/>
  <c r="AQ41" i="14"/>
  <c r="BZ46" i="6"/>
  <c r="BX45" i="6"/>
  <c r="BY45" i="6"/>
  <c r="BZ45" i="6"/>
  <c r="BY46" i="6"/>
  <c r="BX46" i="6"/>
  <c r="G29" i="14"/>
  <c r="G28" i="14"/>
  <c r="AF49" i="5"/>
  <c r="EW49" i="5" s="1"/>
  <c r="AF48" i="5"/>
  <c r="EW48" i="5" s="1"/>
  <c r="AF47" i="5"/>
  <c r="EW47" i="5" s="1"/>
  <c r="AF46" i="5"/>
  <c r="EW46" i="5" s="1"/>
  <c r="AF45" i="5"/>
  <c r="EW45" i="5" s="1"/>
  <c r="AF44" i="5"/>
  <c r="EW44" i="5" s="1"/>
  <c r="AF43" i="5"/>
  <c r="EW43" i="5" s="1"/>
  <c r="AF42" i="5"/>
  <c r="EW42" i="5" s="1"/>
  <c r="AF41" i="5"/>
  <c r="EW41" i="5" s="1"/>
  <c r="AF40" i="5"/>
  <c r="EW40" i="5" s="1"/>
  <c r="AF39" i="5"/>
  <c r="EW39" i="5" s="1"/>
  <c r="AF38" i="5"/>
  <c r="EW38" i="5" s="1"/>
  <c r="AF37" i="5"/>
  <c r="EW37" i="5" s="1"/>
  <c r="P39" i="5"/>
  <c r="EV39" i="5" s="1"/>
  <c r="P40" i="5"/>
  <c r="EV40" i="5" s="1"/>
  <c r="P41" i="5"/>
  <c r="EV41" i="5" s="1"/>
  <c r="P42" i="5"/>
  <c r="EV42" i="5" s="1"/>
  <c r="P43" i="5"/>
  <c r="EV43" i="5" s="1"/>
  <c r="P44" i="5"/>
  <c r="EV44" i="5" s="1"/>
  <c r="P45" i="5"/>
  <c r="EV45" i="5" s="1"/>
  <c r="P46" i="5"/>
  <c r="EV46" i="5" s="1"/>
  <c r="P47" i="5"/>
  <c r="EV47" i="5" s="1"/>
  <c r="P48" i="5"/>
  <c r="EV48" i="5" s="1"/>
  <c r="P49" i="5"/>
  <c r="EV49" i="5" s="1"/>
  <c r="C49" i="5"/>
  <c r="EU49" i="5" s="1"/>
  <c r="C48" i="5"/>
  <c r="EU48" i="5" s="1"/>
  <c r="C47" i="5"/>
  <c r="EU47" i="5" s="1"/>
  <c r="C46" i="5"/>
  <c r="EU46" i="5" s="1"/>
  <c r="C45" i="5"/>
  <c r="EU45" i="5" s="1"/>
  <c r="C44" i="5"/>
  <c r="EU44" i="5" s="1"/>
  <c r="FB43" i="5" s="1"/>
  <c r="C43" i="5"/>
  <c r="EU43" i="5" s="1"/>
  <c r="C42" i="5"/>
  <c r="EU42" i="5" s="1"/>
  <c r="C41" i="5"/>
  <c r="EU41" i="5" s="1"/>
  <c r="C40" i="5"/>
  <c r="EU40" i="5" s="1"/>
  <c r="C39" i="5"/>
  <c r="EU39" i="5" s="1"/>
  <c r="C38" i="5"/>
  <c r="EU38" i="5" s="1"/>
  <c r="C37" i="5"/>
  <c r="EU37" i="5" s="1"/>
  <c r="C36" i="5"/>
  <c r="EU36" i="5" s="1"/>
  <c r="EZ35" i="5" s="1"/>
  <c r="C35" i="5"/>
  <c r="EU35" i="5" s="1"/>
  <c r="C34" i="5"/>
  <c r="EU34" i="5" s="1"/>
  <c r="I46" i="6"/>
  <c r="CJ28" i="6"/>
  <c r="I45" i="6"/>
  <c r="CG19" i="6"/>
  <c r="CH19" i="6"/>
  <c r="CG20" i="6"/>
  <c r="CH20" i="6"/>
  <c r="CG21" i="6"/>
  <c r="CH21" i="6"/>
  <c r="CG22" i="6"/>
  <c r="CH22" i="6"/>
  <c r="CG23" i="6"/>
  <c r="CH23" i="6"/>
  <c r="CG24" i="6"/>
  <c r="CH24" i="6"/>
  <c r="CG25" i="6"/>
  <c r="CH25" i="6"/>
  <c r="CG26" i="6"/>
  <c r="CH26" i="6"/>
  <c r="CG27" i="6"/>
  <c r="CH27" i="6"/>
  <c r="CG28" i="6"/>
  <c r="CH28" i="6"/>
  <c r="U6" i="21"/>
  <c r="G6" i="21"/>
  <c r="G7" i="21"/>
  <c r="G5" i="21"/>
  <c r="G4" i="21"/>
  <c r="G3" i="21"/>
  <c r="U7" i="21"/>
  <c r="U5" i="21"/>
  <c r="U4" i="21"/>
  <c r="U3" i="21"/>
  <c r="AI7" i="21"/>
  <c r="AI6" i="21"/>
  <c r="AI5" i="21"/>
  <c r="AI4" i="21"/>
  <c r="AI3" i="21"/>
  <c r="AW7" i="21"/>
  <c r="AW6" i="21"/>
  <c r="AW5" i="21"/>
  <c r="AW4" i="21"/>
  <c r="AW3" i="21"/>
  <c r="AW7" i="20"/>
  <c r="AW6" i="20"/>
  <c r="AW5" i="20"/>
  <c r="AW4" i="20"/>
  <c r="AW3" i="20"/>
  <c r="AI7" i="20"/>
  <c r="AI6" i="20"/>
  <c r="AI5" i="20"/>
  <c r="AI4" i="20"/>
  <c r="AI3" i="20"/>
  <c r="U7" i="20"/>
  <c r="U6" i="20"/>
  <c r="U5" i="20"/>
  <c r="U4" i="20"/>
  <c r="U3" i="20"/>
  <c r="G7" i="20"/>
  <c r="G6" i="20"/>
  <c r="G5" i="20"/>
  <c r="G4" i="20"/>
  <c r="G3" i="20"/>
  <c r="G44" i="6"/>
  <c r="BX44" i="6"/>
  <c r="BX42" i="6"/>
  <c r="V41" i="6"/>
  <c r="BX41" i="6" s="1"/>
  <c r="V40" i="6"/>
  <c r="BX40" i="6" s="1"/>
  <c r="BY43" i="6"/>
  <c r="BY42" i="6"/>
  <c r="AN41" i="6"/>
  <c r="BY40" i="6"/>
  <c r="BZ44" i="6"/>
  <c r="BZ43" i="6"/>
  <c r="BZ42" i="6"/>
  <c r="BF41" i="6"/>
  <c r="BZ41" i="6" s="1"/>
  <c r="BZ40" i="6"/>
  <c r="P26" i="7"/>
  <c r="U25" i="14"/>
  <c r="U23" i="14"/>
  <c r="U24" i="14"/>
  <c r="U22" i="14"/>
  <c r="G26" i="14"/>
  <c r="G27" i="14"/>
  <c r="G25" i="14"/>
  <c r="G24" i="14"/>
  <c r="G23" i="14"/>
  <c r="CJ27" i="6"/>
  <c r="I44" i="6"/>
  <c r="I43" i="6"/>
  <c r="W25" i="14"/>
  <c r="CJ25" i="6" s="1"/>
  <c r="I42" i="6"/>
  <c r="FS15" i="5"/>
  <c r="EV16" i="5"/>
  <c r="FN16" i="5" s="1"/>
  <c r="EW16" i="5"/>
  <c r="EX16" i="5"/>
  <c r="EY16" i="5"/>
  <c r="FQ16" i="5" s="1"/>
  <c r="EZ16" i="5"/>
  <c r="FR16" i="5" s="1"/>
  <c r="FA16" i="5"/>
  <c r="FS16" i="5" s="1"/>
  <c r="EZ17" i="5"/>
  <c r="FR17" i="5" s="1"/>
  <c r="FA17" i="5"/>
  <c r="FS17" i="5" s="1"/>
  <c r="EZ18" i="5"/>
  <c r="FR18" i="5" s="1"/>
  <c r="FA18" i="5"/>
  <c r="EZ22" i="5"/>
  <c r="FR22" i="5" s="1"/>
  <c r="FD15" i="5"/>
  <c r="FV15" i="5" s="1"/>
  <c r="FC15" i="5"/>
  <c r="FU15" i="5" s="1"/>
  <c r="FB15" i="5"/>
  <c r="FT15" i="5" s="1"/>
  <c r="FA15" i="5"/>
  <c r="EZ15" i="5"/>
  <c r="FR15" i="5" s="1"/>
  <c r="EY15" i="5"/>
  <c r="FQ15" i="5" s="1"/>
  <c r="EX15" i="5"/>
  <c r="FP15" i="5" s="1"/>
  <c r="EW15" i="5"/>
  <c r="FO15" i="5" s="1"/>
  <c r="EV15" i="5"/>
  <c r="FN15" i="5" s="1"/>
  <c r="FQ4" i="5"/>
  <c r="FR4" i="5" s="1"/>
  <c r="FQ5" i="5"/>
  <c r="FR5" i="5" s="1"/>
  <c r="FQ6" i="5"/>
  <c r="FR6" i="5" s="1"/>
  <c r="FQ7" i="5"/>
  <c r="FR7" i="5" s="1"/>
  <c r="FQ8" i="5"/>
  <c r="FR8" i="5" s="1"/>
  <c r="FQ9" i="5"/>
  <c r="FR9" i="5" s="1"/>
  <c r="FQ10" i="5"/>
  <c r="FR10" i="5" s="1"/>
  <c r="FQ11" i="5"/>
  <c r="FR11" i="5" s="1"/>
  <c r="FQ3" i="5"/>
  <c r="FR3" i="5" s="1"/>
  <c r="C16" i="5"/>
  <c r="EU16" i="5" s="1"/>
  <c r="C17" i="5"/>
  <c r="EU17" i="5" s="1"/>
  <c r="C18" i="5"/>
  <c r="EU18" i="5" s="1"/>
  <c r="C19" i="5"/>
  <c r="EU19" i="5" s="1"/>
  <c r="C20" i="5"/>
  <c r="EU20" i="5" s="1"/>
  <c r="C21" i="5"/>
  <c r="EU21" i="5" s="1"/>
  <c r="C22" i="5"/>
  <c r="EU22" i="5" s="1"/>
  <c r="C23" i="5"/>
  <c r="EU23" i="5" s="1"/>
  <c r="C24" i="5"/>
  <c r="EU24" i="5" s="1"/>
  <c r="C25" i="5"/>
  <c r="EU25" i="5" s="1"/>
  <c r="C26" i="5"/>
  <c r="EU26" i="5" s="1"/>
  <c r="C27" i="5"/>
  <c r="EU27" i="5" s="1"/>
  <c r="C28" i="5"/>
  <c r="EU28" i="5" s="1"/>
  <c r="C29" i="5"/>
  <c r="EU29" i="5" s="1"/>
  <c r="C30" i="5"/>
  <c r="EU30" i="5" s="1"/>
  <c r="C15" i="5"/>
  <c r="EU15" i="5" s="1"/>
  <c r="BX43" i="6"/>
  <c r="CH52" i="2"/>
  <c r="CH51" i="2"/>
  <c r="CH50" i="2"/>
  <c r="CH49" i="2"/>
  <c r="CH48" i="2"/>
  <c r="CH47" i="2"/>
  <c r="CH46" i="2"/>
  <c r="CH45" i="2"/>
  <c r="CH44" i="2"/>
  <c r="CH43" i="2"/>
  <c r="CH42" i="2"/>
  <c r="CH41" i="2"/>
  <c r="CH40" i="2"/>
  <c r="CH39" i="2"/>
  <c r="CH38" i="2"/>
  <c r="CH37" i="2"/>
  <c r="CH36" i="2"/>
  <c r="CH35" i="2"/>
  <c r="CH34" i="2"/>
  <c r="CH33" i="2"/>
  <c r="CH32" i="2"/>
  <c r="CH31" i="2"/>
  <c r="AQ40" i="14"/>
  <c r="AQ39" i="14"/>
  <c r="AQ38" i="14"/>
  <c r="AQ37" i="14"/>
  <c r="AQ36" i="14"/>
  <c r="AQ35" i="14"/>
  <c r="AQ34" i="14"/>
  <c r="AQ33" i="14"/>
  <c r="AQ32" i="14"/>
  <c r="AQ31" i="14"/>
  <c r="AQ30" i="14"/>
  <c r="AQ29" i="14"/>
  <c r="AQ28" i="14"/>
  <c r="AQ27" i="14"/>
  <c r="AQ26" i="14"/>
  <c r="AQ25" i="14"/>
  <c r="AQ24" i="14"/>
  <c r="AQ23" i="14"/>
  <c r="AQ22" i="14"/>
  <c r="AQ21" i="14"/>
  <c r="AQ20" i="14"/>
  <c r="AQ19" i="14"/>
  <c r="AQ18" i="14"/>
  <c r="AQ17" i="14"/>
  <c r="AQ16" i="14"/>
  <c r="BZ9" i="21"/>
  <c r="BZ5" i="21"/>
  <c r="CA5" i="21" s="1"/>
  <c r="CB5" i="21" s="1"/>
  <c r="BY5" i="21"/>
  <c r="CK9" i="20"/>
  <c r="CK5" i="20"/>
  <c r="CL5" i="20" s="1"/>
  <c r="CM5" i="20" s="1"/>
  <c r="CN5" i="20" s="1"/>
  <c r="CJ5" i="20"/>
  <c r="AL44" i="9"/>
  <c r="AM44" i="9"/>
  <c r="AN44" i="9"/>
  <c r="AS44" i="9"/>
  <c r="AT44" i="9"/>
  <c r="AU44" i="9"/>
  <c r="AV44" i="9"/>
  <c r="AO45" i="9"/>
  <c r="AP45" i="9"/>
  <c r="AQ45" i="9"/>
  <c r="AR45" i="9"/>
  <c r="AW45" i="9"/>
  <c r="AL46" i="9"/>
  <c r="AM46" i="9"/>
  <c r="AN46" i="9"/>
  <c r="AS46" i="9"/>
  <c r="AT46" i="9"/>
  <c r="AU46" i="9"/>
  <c r="AV46" i="9"/>
  <c r="AO47" i="9"/>
  <c r="AP47" i="9"/>
  <c r="AQ47" i="9"/>
  <c r="AR47" i="9"/>
  <c r="AW47" i="9"/>
  <c r="AV48" i="9"/>
  <c r="AW48" i="9"/>
  <c r="AV49" i="9"/>
  <c r="AW50" i="9"/>
  <c r="AW51" i="9"/>
  <c r="AV52" i="9"/>
  <c r="AW52" i="9"/>
  <c r="AV53" i="9"/>
  <c r="AV54" i="9"/>
  <c r="AW54" i="9"/>
  <c r="AV55" i="9"/>
  <c r="AW55" i="9"/>
  <c r="AV56" i="9"/>
  <c r="AW56" i="9"/>
  <c r="AV57" i="9"/>
  <c r="AW57" i="9"/>
  <c r="AV58" i="9"/>
  <c r="AW58" i="9"/>
  <c r="AI48" i="9"/>
  <c r="AJ48" i="9"/>
  <c r="AI49" i="9"/>
  <c r="AJ49" i="9"/>
  <c r="AW49" i="9" s="1"/>
  <c r="AI50" i="9"/>
  <c r="AV50" i="9" s="1"/>
  <c r="AJ50" i="9"/>
  <c r="AI51" i="9"/>
  <c r="AV51" i="9" s="1"/>
  <c r="AJ51" i="9"/>
  <c r="AI52" i="9"/>
  <c r="AJ52" i="9"/>
  <c r="AI53" i="9"/>
  <c r="AJ53" i="9"/>
  <c r="AW53" i="9" s="1"/>
  <c r="Y43" i="9"/>
  <c r="AL43" i="9" s="1"/>
  <c r="Z43" i="9"/>
  <c r="AM43" i="9" s="1"/>
  <c r="AA43" i="9"/>
  <c r="AN43" i="9" s="1"/>
  <c r="AB43" i="9"/>
  <c r="AO43" i="9" s="1"/>
  <c r="AC43" i="9"/>
  <c r="AP43" i="9" s="1"/>
  <c r="AD43" i="9"/>
  <c r="AQ43" i="9" s="1"/>
  <c r="AE43" i="9"/>
  <c r="AR43" i="9" s="1"/>
  <c r="AF43" i="9"/>
  <c r="AS43" i="9" s="1"/>
  <c r="AG43" i="9"/>
  <c r="AT43" i="9" s="1"/>
  <c r="AH43" i="9"/>
  <c r="AU43" i="9" s="1"/>
  <c r="AI43" i="9"/>
  <c r="AV43" i="9" s="1"/>
  <c r="AJ43" i="9"/>
  <c r="AW43" i="9" s="1"/>
  <c r="Y44" i="9"/>
  <c r="Z44" i="9"/>
  <c r="AA44" i="9"/>
  <c r="AB44" i="9"/>
  <c r="AO44" i="9" s="1"/>
  <c r="AC44" i="9"/>
  <c r="AP44" i="9" s="1"/>
  <c r="AD44" i="9"/>
  <c r="AQ44" i="9" s="1"/>
  <c r="AE44" i="9"/>
  <c r="AR44" i="9" s="1"/>
  <c r="AF44" i="9"/>
  <c r="AG44" i="9"/>
  <c r="AH44" i="9"/>
  <c r="AI44" i="9"/>
  <c r="AJ44" i="9"/>
  <c r="AW44" i="9" s="1"/>
  <c r="Y45" i="9"/>
  <c r="AL45" i="9" s="1"/>
  <c r="Z45" i="9"/>
  <c r="AM45" i="9" s="1"/>
  <c r="AA45" i="9"/>
  <c r="AN45" i="9" s="1"/>
  <c r="AB45" i="9"/>
  <c r="AC45" i="9"/>
  <c r="AD45" i="9"/>
  <c r="AE45" i="9"/>
  <c r="AF45" i="9"/>
  <c r="AS45" i="9" s="1"/>
  <c r="AG45" i="9"/>
  <c r="AT45" i="9" s="1"/>
  <c r="AH45" i="9"/>
  <c r="AU45" i="9" s="1"/>
  <c r="AI45" i="9"/>
  <c r="AV45" i="9" s="1"/>
  <c r="AJ45" i="9"/>
  <c r="Y46" i="9"/>
  <c r="Z46" i="9"/>
  <c r="AA46" i="9"/>
  <c r="AB46" i="9"/>
  <c r="AO46" i="9" s="1"/>
  <c r="AC46" i="9"/>
  <c r="AP46" i="9" s="1"/>
  <c r="AD46" i="9"/>
  <c r="AQ46" i="9" s="1"/>
  <c r="AE46" i="9"/>
  <c r="AR46" i="9" s="1"/>
  <c r="AF46" i="9"/>
  <c r="AG46" i="9"/>
  <c r="AH46" i="9"/>
  <c r="AI46" i="9"/>
  <c r="AJ46" i="9"/>
  <c r="AW46" i="9" s="1"/>
  <c r="Y47" i="9"/>
  <c r="AL47" i="9" s="1"/>
  <c r="Z47" i="9"/>
  <c r="AM47" i="9" s="1"/>
  <c r="AA47" i="9"/>
  <c r="AN47" i="9" s="1"/>
  <c r="AB47" i="9"/>
  <c r="AC47" i="9"/>
  <c r="AD47" i="9"/>
  <c r="AE47" i="9"/>
  <c r="AF47" i="9"/>
  <c r="AS47" i="9" s="1"/>
  <c r="AG47" i="9"/>
  <c r="AT47" i="9" s="1"/>
  <c r="AH47" i="9"/>
  <c r="AU47" i="9" s="1"/>
  <c r="AI47" i="9"/>
  <c r="AV47" i="9" s="1"/>
  <c r="AJ47" i="9"/>
  <c r="BM70" i="8"/>
  <c r="BI70" i="8"/>
  <c r="BE70" i="8"/>
  <c r="BA70" i="8"/>
  <c r="AW70" i="8"/>
  <c r="AR70" i="8"/>
  <c r="BE15" i="24" l="1"/>
  <c r="BC15" i="24"/>
  <c r="DA41" i="6"/>
  <c r="BY44" i="6"/>
  <c r="CB44" i="6" s="1"/>
  <c r="CE44" i="6" s="1"/>
  <c r="DA44" i="6"/>
  <c r="DA49" i="6" s="1"/>
  <c r="BY41" i="6"/>
  <c r="CB41" i="6" s="1"/>
  <c r="CE41" i="6" s="1"/>
  <c r="FB47" i="5"/>
  <c r="FJ35" i="5"/>
  <c r="EZ37" i="5"/>
  <c r="FC45" i="5"/>
  <c r="FE15" i="5"/>
  <c r="FI17" i="5"/>
  <c r="FJ34" i="5"/>
  <c r="FW15" i="5"/>
  <c r="FB48" i="5"/>
  <c r="FI16" i="5"/>
  <c r="FC34" i="5"/>
  <c r="FH15" i="5"/>
  <c r="FC36" i="5"/>
  <c r="FC44" i="5"/>
  <c r="FA35" i="5"/>
  <c r="FH35" i="5"/>
  <c r="FK43" i="5"/>
  <c r="GA16" i="5"/>
  <c r="FJ16" i="5"/>
  <c r="FC43" i="5"/>
  <c r="FZ15" i="5"/>
  <c r="FB38" i="5"/>
  <c r="FB46" i="5"/>
  <c r="FB35" i="5"/>
  <c r="FJ47" i="5"/>
  <c r="FJ17" i="5"/>
  <c r="FB39" i="5"/>
  <c r="FJ39" i="5"/>
  <c r="FC39" i="5"/>
  <c r="FC40" i="5"/>
  <c r="FB40" i="5"/>
  <c r="FI15" i="5"/>
  <c r="GA17" i="5"/>
  <c r="FJ15" i="5"/>
  <c r="GA15" i="5"/>
  <c r="FS18" i="5"/>
  <c r="GB17" i="5" s="1"/>
  <c r="GB15" i="5"/>
  <c r="FG15" i="5"/>
  <c r="FP16" i="5"/>
  <c r="FY15" i="5" s="1"/>
  <c r="FF15" i="5"/>
  <c r="FO16" i="5"/>
  <c r="FX15" i="5" s="1"/>
  <c r="FB41" i="5"/>
  <c r="GB16" i="5"/>
  <c r="FD45" i="5"/>
  <c r="EZ44" i="5"/>
  <c r="FE38" i="5"/>
  <c r="FA37" i="5"/>
  <c r="FE46" i="5"/>
  <c r="FA45" i="5"/>
  <c r="FK42" i="5"/>
  <c r="FK45" i="5"/>
  <c r="FC42" i="5"/>
  <c r="FK48" i="5"/>
  <c r="FJ45" i="5"/>
  <c r="FJ44" i="5"/>
  <c r="FK46" i="5"/>
  <c r="EZ43" i="5"/>
  <c r="FD44" i="5"/>
  <c r="FA38" i="5"/>
  <c r="FE39" i="5"/>
  <c r="FA46" i="5"/>
  <c r="FE47" i="5"/>
  <c r="FC37" i="5"/>
  <c r="FJ42" i="5"/>
  <c r="FC48" i="5"/>
  <c r="FJ48" i="5"/>
  <c r="FB44" i="5"/>
  <c r="FC46" i="5"/>
  <c r="FD43" i="5"/>
  <c r="EZ42" i="5"/>
  <c r="FE40" i="5"/>
  <c r="FI39" i="5" s="1"/>
  <c r="FA39" i="5"/>
  <c r="FE48" i="5"/>
  <c r="FA47" i="5"/>
  <c r="FI34" i="5"/>
  <c r="FC47" i="5"/>
  <c r="FK37" i="5"/>
  <c r="FB42" i="5"/>
  <c r="FH34" i="5"/>
  <c r="FH36" i="5"/>
  <c r="FK38" i="5"/>
  <c r="EZ41" i="5"/>
  <c r="FD42" i="5"/>
  <c r="FA40" i="5"/>
  <c r="FE41" i="5"/>
  <c r="FA48" i="5"/>
  <c r="FE49" i="5"/>
  <c r="EZ36" i="5"/>
  <c r="FK36" i="5"/>
  <c r="FA34" i="5"/>
  <c r="FB36" i="5"/>
  <c r="FC38" i="5"/>
  <c r="FD41" i="5"/>
  <c r="EZ40" i="5"/>
  <c r="FB34" i="5"/>
  <c r="EZ34" i="5"/>
  <c r="FC41" i="5"/>
  <c r="FJ36" i="5"/>
  <c r="FJ38" i="5"/>
  <c r="FD49" i="5"/>
  <c r="EZ48" i="5"/>
  <c r="EZ47" i="5"/>
  <c r="FD48" i="5"/>
  <c r="FH47" i="5" s="1"/>
  <c r="EZ39" i="5"/>
  <c r="FD40" i="5"/>
  <c r="FA42" i="5"/>
  <c r="FE43" i="5"/>
  <c r="FB37" i="5"/>
  <c r="FJ37" i="5"/>
  <c r="FK39" i="5"/>
  <c r="FK41" i="5"/>
  <c r="FK44" i="5"/>
  <c r="FJ41" i="5"/>
  <c r="FK40" i="5"/>
  <c r="FE42" i="5"/>
  <c r="FA41" i="5"/>
  <c r="FD47" i="5"/>
  <c r="EZ46" i="5"/>
  <c r="FD39" i="5"/>
  <c r="FH38" i="5" s="1"/>
  <c r="EZ38" i="5"/>
  <c r="FE44" i="5"/>
  <c r="FA43" i="5"/>
  <c r="FB45" i="5"/>
  <c r="FC35" i="5"/>
  <c r="FK47" i="5"/>
  <c r="FJ46" i="5"/>
  <c r="EZ45" i="5"/>
  <c r="FD46" i="5"/>
  <c r="FA36" i="5"/>
  <c r="FE37" i="5"/>
  <c r="FI36" i="5" s="1"/>
  <c r="FA44" i="5"/>
  <c r="FE45" i="5"/>
  <c r="FK34" i="5"/>
  <c r="FK35" i="5"/>
  <c r="FJ43" i="5"/>
  <c r="FJ40" i="5"/>
  <c r="FI35" i="5"/>
  <c r="FH37" i="5"/>
  <c r="ET5" i="23"/>
  <c r="EP6" i="23"/>
  <c r="ER6" i="23" s="1"/>
  <c r="ES6" i="23" s="1"/>
  <c r="CI43" i="6"/>
  <c r="CI45" i="6"/>
  <c r="CB42" i="6"/>
  <c r="CE42" i="6" s="1"/>
  <c r="CI42" i="6"/>
  <c r="CA40" i="6"/>
  <c r="CB40" i="6"/>
  <c r="CE40" i="6" s="1"/>
  <c r="CA46" i="6"/>
  <c r="K45" i="7" s="1"/>
  <c r="CB46" i="6"/>
  <c r="CE46" i="6" s="1"/>
  <c r="M45" i="7" s="1"/>
  <c r="CI46" i="6"/>
  <c r="CA41" i="6"/>
  <c r="CA43" i="6"/>
  <c r="CB43" i="6"/>
  <c r="CE43" i="6" s="1"/>
  <c r="CI44" i="6"/>
  <c r="CX5" i="22"/>
  <c r="CX6" i="22"/>
  <c r="CT7" i="22"/>
  <c r="CV7" i="22" s="1"/>
  <c r="CW7" i="22" s="1"/>
  <c r="CJ6" i="20"/>
  <c r="CL6" i="20" s="1"/>
  <c r="CM6" i="20" s="1"/>
  <c r="CA45" i="6"/>
  <c r="CB45" i="6"/>
  <c r="CE45" i="6" s="1"/>
  <c r="CA42" i="6"/>
  <c r="BY6" i="21"/>
  <c r="CA6" i="21" s="1"/>
  <c r="CB6" i="21" s="1"/>
  <c r="CC5" i="21"/>
  <c r="CW67" i="8"/>
  <c r="CW68" i="8"/>
  <c r="CW69" i="8"/>
  <c r="CW70" i="8"/>
  <c r="CW71" i="8"/>
  <c r="CW72" i="8"/>
  <c r="CW73" i="8"/>
  <c r="CW74" i="8"/>
  <c r="CW75" i="8"/>
  <c r="CW76" i="8"/>
  <c r="CW77" i="8"/>
  <c r="CW78" i="8"/>
  <c r="CS67" i="8"/>
  <c r="CS68" i="8"/>
  <c r="CS69" i="8"/>
  <c r="CS70" i="8"/>
  <c r="CS71" i="8"/>
  <c r="CS72" i="8"/>
  <c r="CS73" i="8"/>
  <c r="CS74" i="8"/>
  <c r="CS75" i="8"/>
  <c r="CS76" i="8"/>
  <c r="CS77" i="8"/>
  <c r="CS78" i="8"/>
  <c r="CO67" i="8"/>
  <c r="CO68" i="8"/>
  <c r="CO69" i="8"/>
  <c r="CO70" i="8"/>
  <c r="CO71" i="8"/>
  <c r="CO72" i="8"/>
  <c r="CO73" i="8"/>
  <c r="CO74" i="8"/>
  <c r="CO75" i="8"/>
  <c r="CO76" i="8"/>
  <c r="CO77" i="8"/>
  <c r="CO78" i="8"/>
  <c r="CK67" i="8"/>
  <c r="CK68" i="8"/>
  <c r="CK69" i="8"/>
  <c r="CK70" i="8"/>
  <c r="CK71" i="8"/>
  <c r="CK72" i="8"/>
  <c r="CK73" i="8"/>
  <c r="CK74" i="8"/>
  <c r="CK75" i="8"/>
  <c r="CK76" i="8"/>
  <c r="CK77" i="8"/>
  <c r="CF67" i="8"/>
  <c r="CF68" i="8"/>
  <c r="CF69" i="8"/>
  <c r="CF70" i="8"/>
  <c r="CF71" i="8"/>
  <c r="CF72" i="8"/>
  <c r="CF73" i="8"/>
  <c r="CF74" i="8"/>
  <c r="CF75" i="8"/>
  <c r="CF76" i="8"/>
  <c r="CF77" i="8"/>
  <c r="CB67" i="8"/>
  <c r="CB68" i="8"/>
  <c r="CB69" i="8"/>
  <c r="CB70" i="8"/>
  <c r="CB71" i="8"/>
  <c r="CB72" i="8"/>
  <c r="CB73" i="8"/>
  <c r="CB74" i="8"/>
  <c r="CB75" i="8"/>
  <c r="CB76" i="8"/>
  <c r="CB77" i="8"/>
  <c r="BX67" i="8"/>
  <c r="BX68" i="8"/>
  <c r="BX69" i="8"/>
  <c r="BX70" i="8"/>
  <c r="BX71" i="8"/>
  <c r="BX72" i="8"/>
  <c r="BX73" i="8"/>
  <c r="BX74" i="8"/>
  <c r="BX75" i="8"/>
  <c r="BX76" i="8"/>
  <c r="BX77" i="8"/>
  <c r="BT67" i="8"/>
  <c r="BT68" i="8"/>
  <c r="BT69" i="8"/>
  <c r="BT70" i="8"/>
  <c r="BT71" i="8"/>
  <c r="BT72" i="8"/>
  <c r="BT73" i="8"/>
  <c r="BT74" i="8"/>
  <c r="BT75" i="8"/>
  <c r="BT76" i="8"/>
  <c r="BT77" i="8"/>
  <c r="BT78" i="8"/>
  <c r="CW65" i="8"/>
  <c r="CS65" i="8"/>
  <c r="CO65" i="8"/>
  <c r="CK65" i="8"/>
  <c r="CF65" i="8"/>
  <c r="CB65" i="8"/>
  <c r="BX65" i="8"/>
  <c r="BT65" i="8"/>
  <c r="F58" i="8"/>
  <c r="F59" i="8"/>
  <c r="J58" i="8"/>
  <c r="J59" i="8"/>
  <c r="N58" i="8"/>
  <c r="N59" i="8"/>
  <c r="R58" i="8"/>
  <c r="R59" i="8"/>
  <c r="V58" i="8"/>
  <c r="V59" i="8"/>
  <c r="AB58" i="8"/>
  <c r="AB59" i="8"/>
  <c r="AF58" i="8"/>
  <c r="AF59" i="8"/>
  <c r="AJ58" i="8"/>
  <c r="AJ59" i="8"/>
  <c r="AN58" i="8"/>
  <c r="AN59" i="8"/>
  <c r="AR58" i="8"/>
  <c r="AR59" i="8"/>
  <c r="AR60" i="8"/>
  <c r="AR61" i="8"/>
  <c r="AR63" i="8"/>
  <c r="AR64" i="8"/>
  <c r="AR65" i="8"/>
  <c r="AR67" i="8"/>
  <c r="AR68" i="8"/>
  <c r="AR69" i="8"/>
  <c r="AW58" i="8"/>
  <c r="AW59" i="8"/>
  <c r="AW60" i="8"/>
  <c r="AW61" i="8"/>
  <c r="AW63" i="8"/>
  <c r="AW64" i="8"/>
  <c r="AW65" i="8"/>
  <c r="AW67" i="8"/>
  <c r="AW68" i="8"/>
  <c r="AW69" i="8"/>
  <c r="BA58" i="8"/>
  <c r="BA59" i="8"/>
  <c r="BA60" i="8"/>
  <c r="BA61" i="8"/>
  <c r="BA63" i="8"/>
  <c r="BA64" i="8"/>
  <c r="BA65" i="8"/>
  <c r="BA67" i="8"/>
  <c r="BA68" i="8"/>
  <c r="BA69" i="8"/>
  <c r="BE58" i="8"/>
  <c r="BE59" i="8"/>
  <c r="BE60" i="8"/>
  <c r="BE61" i="8"/>
  <c r="BE63" i="8"/>
  <c r="BE64" i="8"/>
  <c r="BE65" i="8"/>
  <c r="BE67" i="8"/>
  <c r="BE68" i="8"/>
  <c r="BE69" i="8"/>
  <c r="BI58" i="8"/>
  <c r="BI59" i="8"/>
  <c r="BI60" i="8"/>
  <c r="BI61" i="8"/>
  <c r="BI63" i="8"/>
  <c r="BI64" i="8"/>
  <c r="BI65" i="8"/>
  <c r="BI67" i="8"/>
  <c r="BI68" i="8"/>
  <c r="BI69" i="8"/>
  <c r="BM58" i="8"/>
  <c r="BM59" i="8"/>
  <c r="BM60" i="8"/>
  <c r="BM61" i="8"/>
  <c r="BM63" i="8"/>
  <c r="BM64" i="8"/>
  <c r="BM65" i="8"/>
  <c r="BM67" i="8"/>
  <c r="BM68" i="8"/>
  <c r="BM69" i="8"/>
  <c r="BM56" i="8"/>
  <c r="BI56" i="8"/>
  <c r="BE56" i="8"/>
  <c r="BA56" i="8"/>
  <c r="AW56" i="8"/>
  <c r="AR56" i="8"/>
  <c r="AN56" i="8"/>
  <c r="AJ56" i="8"/>
  <c r="AF56" i="8"/>
  <c r="AB56" i="8"/>
  <c r="V56" i="8"/>
  <c r="R56" i="8"/>
  <c r="N56" i="8"/>
  <c r="J56" i="8"/>
  <c r="F56" i="8"/>
  <c r="CA44" i="6" l="1"/>
  <c r="FH41" i="5"/>
  <c r="FH39" i="5"/>
  <c r="FI47" i="5"/>
  <c r="FI41" i="5"/>
  <c r="FJ56" i="5"/>
  <c r="FH43" i="5"/>
  <c r="FH45" i="5"/>
  <c r="FI45" i="5"/>
  <c r="FJ50" i="5"/>
  <c r="FJ52" i="5" s="1"/>
  <c r="FI48" i="5"/>
  <c r="FI46" i="5"/>
  <c r="FK50" i="5"/>
  <c r="FK52" i="5" s="1"/>
  <c r="FK56" i="5"/>
  <c r="FH46" i="5"/>
  <c r="FH40" i="5"/>
  <c r="FI40" i="5"/>
  <c r="FH42" i="5"/>
  <c r="FI42" i="5"/>
  <c r="FI43" i="5"/>
  <c r="FI37" i="5"/>
  <c r="FI44" i="5"/>
  <c r="FH48" i="5"/>
  <c r="FI38" i="5"/>
  <c r="FH44" i="5"/>
  <c r="ET6" i="23"/>
  <c r="EP7" i="23"/>
  <c r="ER7" i="23" s="1"/>
  <c r="ES7" i="23" s="1"/>
  <c r="CX7" i="22"/>
  <c r="CT8" i="22"/>
  <c r="CV8" i="22" s="1"/>
  <c r="CW8" i="22" s="1"/>
  <c r="CN6" i="20"/>
  <c r="CJ7" i="20"/>
  <c r="CL7" i="20" s="1"/>
  <c r="CM7" i="20" s="1"/>
  <c r="BY7" i="21"/>
  <c r="CA7" i="21" s="1"/>
  <c r="CB7" i="21" s="1"/>
  <c r="CC6" i="21"/>
  <c r="W24" i="14"/>
  <c r="CJ24" i="6" s="1"/>
  <c r="BH41" i="6"/>
  <c r="AP41" i="6"/>
  <c r="X41" i="6"/>
  <c r="I41" i="6"/>
  <c r="W23" i="14"/>
  <c r="CJ23" i="6" s="1"/>
  <c r="X40" i="6"/>
  <c r="I40" i="6"/>
  <c r="W22" i="14"/>
  <c r="CJ22" i="6" s="1"/>
  <c r="H57" i="18"/>
  <c r="I57" i="18"/>
  <c r="H58" i="18"/>
  <c r="I58" i="18"/>
  <c r="DZ58" i="1"/>
  <c r="DZ57" i="1"/>
  <c r="DZ56" i="1"/>
  <c r="DZ54" i="1"/>
  <c r="DZ55" i="1"/>
  <c r="DZ53" i="1"/>
  <c r="R316" i="3"/>
  <c r="R317" i="3"/>
  <c r="R318" i="3"/>
  <c r="R319" i="3"/>
  <c r="R320" i="3"/>
  <c r="R321" i="3"/>
  <c r="R315" i="3"/>
  <c r="R304" i="3"/>
  <c r="R305" i="3"/>
  <c r="R306" i="3"/>
  <c r="R307" i="3"/>
  <c r="R308" i="3"/>
  <c r="R309" i="3"/>
  <c r="R310" i="3"/>
  <c r="R311" i="3"/>
  <c r="R303" i="3"/>
  <c r="V292" i="3"/>
  <c r="V293" i="3"/>
  <c r="V294" i="3"/>
  <c r="V295" i="3"/>
  <c r="V296" i="3"/>
  <c r="V297" i="3"/>
  <c r="V298" i="3"/>
  <c r="V299" i="3"/>
  <c r="V291" i="3"/>
  <c r="S276" i="3"/>
  <c r="S277" i="3"/>
  <c r="S278" i="3"/>
  <c r="S279" i="3"/>
  <c r="S280" i="3"/>
  <c r="S281" i="3"/>
  <c r="S282" i="3"/>
  <c r="S283" i="3"/>
  <c r="S284" i="3"/>
  <c r="S275" i="3"/>
  <c r="S265" i="3"/>
  <c r="S266" i="3"/>
  <c r="S267" i="3"/>
  <c r="S268" i="3"/>
  <c r="S269" i="3"/>
  <c r="S270" i="3"/>
  <c r="S271" i="3"/>
  <c r="S264" i="3"/>
  <c r="S253" i="3"/>
  <c r="S254" i="3"/>
  <c r="S255" i="3"/>
  <c r="S256" i="3"/>
  <c r="S257" i="3"/>
  <c r="S258" i="3"/>
  <c r="S259" i="3"/>
  <c r="S260" i="3"/>
  <c r="S252" i="3"/>
  <c r="S234" i="3"/>
  <c r="S235" i="3"/>
  <c r="S236" i="3"/>
  <c r="S237" i="3"/>
  <c r="S238" i="3"/>
  <c r="S239" i="3"/>
  <c r="S240" i="3"/>
  <c r="S241" i="3"/>
  <c r="S242" i="3"/>
  <c r="S243" i="3"/>
  <c r="S244" i="3"/>
  <c r="S233" i="3"/>
  <c r="S212" i="3"/>
  <c r="S213" i="3"/>
  <c r="S214" i="3"/>
  <c r="S215" i="3"/>
  <c r="S216" i="3"/>
  <c r="S217" i="3"/>
  <c r="S218" i="3"/>
  <c r="S219" i="3"/>
  <c r="S220" i="3"/>
  <c r="S221" i="3"/>
  <c r="S211" i="3"/>
  <c r="S199" i="3"/>
  <c r="S200" i="3"/>
  <c r="S201" i="3"/>
  <c r="S202" i="3"/>
  <c r="S203" i="3"/>
  <c r="S204" i="3"/>
  <c r="S205" i="3"/>
  <c r="S206" i="3"/>
  <c r="S207" i="3"/>
  <c r="S198" i="3"/>
  <c r="S185" i="3"/>
  <c r="S186" i="3"/>
  <c r="S187" i="3"/>
  <c r="S188" i="3"/>
  <c r="S189" i="3"/>
  <c r="S190" i="3"/>
  <c r="S191" i="3"/>
  <c r="S192" i="3"/>
  <c r="S193" i="3"/>
  <c r="S194" i="3"/>
  <c r="S184" i="3"/>
  <c r="S171" i="3"/>
  <c r="S172" i="3"/>
  <c r="S173" i="3"/>
  <c r="S174" i="3"/>
  <c r="S175" i="3"/>
  <c r="S176" i="3"/>
  <c r="S177" i="3"/>
  <c r="S178" i="3"/>
  <c r="S179" i="3"/>
  <c r="S180" i="3"/>
  <c r="S170" i="3"/>
  <c r="S157" i="3"/>
  <c r="S158" i="3"/>
  <c r="S159" i="3"/>
  <c r="S160" i="3"/>
  <c r="S161" i="3"/>
  <c r="S162" i="3"/>
  <c r="S156" i="3"/>
  <c r="X143" i="3"/>
  <c r="X144" i="3"/>
  <c r="X145" i="3"/>
  <c r="X146" i="3"/>
  <c r="X147" i="3"/>
  <c r="X148" i="3"/>
  <c r="X149" i="3"/>
  <c r="X150" i="3"/>
  <c r="X151" i="3"/>
  <c r="X152" i="3"/>
  <c r="X142" i="3"/>
  <c r="S126" i="3"/>
  <c r="S127" i="3"/>
  <c r="S128" i="3"/>
  <c r="S129" i="3"/>
  <c r="S130" i="3"/>
  <c r="S131" i="3"/>
  <c r="S132" i="3"/>
  <c r="S133" i="3"/>
  <c r="S134" i="3"/>
  <c r="S135" i="3"/>
  <c r="S136" i="3"/>
  <c r="S137" i="3"/>
  <c r="S138" i="3"/>
  <c r="S125" i="3"/>
  <c r="S111" i="3"/>
  <c r="S112" i="3"/>
  <c r="S113" i="3"/>
  <c r="S114" i="3"/>
  <c r="S115" i="3"/>
  <c r="S116" i="3"/>
  <c r="S117" i="3"/>
  <c r="S110" i="3"/>
  <c r="S97" i="3"/>
  <c r="S98" i="3"/>
  <c r="S99" i="3"/>
  <c r="S100" i="3"/>
  <c r="S101" i="3"/>
  <c r="S102" i="3"/>
  <c r="S103" i="3"/>
  <c r="S96" i="3"/>
  <c r="S81" i="3"/>
  <c r="S82" i="3"/>
  <c r="S83" i="3"/>
  <c r="S84" i="3"/>
  <c r="S85" i="3"/>
  <c r="S86" i="3"/>
  <c r="S87" i="3"/>
  <c r="S88" i="3"/>
  <c r="S80" i="3"/>
  <c r="N21" i="3"/>
  <c r="N22" i="3"/>
  <c r="N23" i="3"/>
  <c r="N24" i="3"/>
  <c r="N25" i="3"/>
  <c r="N26" i="3"/>
  <c r="N27" i="3"/>
  <c r="N28" i="3"/>
  <c r="N29" i="3"/>
  <c r="N20" i="3"/>
  <c r="N4" i="3"/>
  <c r="N5" i="3"/>
  <c r="N6" i="3"/>
  <c r="N7" i="3"/>
  <c r="N8" i="3"/>
  <c r="N9" i="3"/>
  <c r="N10" i="3"/>
  <c r="N3" i="3"/>
  <c r="W3" i="14"/>
  <c r="W4" i="14"/>
  <c r="W5" i="14"/>
  <c r="W6" i="14"/>
  <c r="W7" i="14"/>
  <c r="W8" i="14"/>
  <c r="W9" i="14"/>
  <c r="W10" i="14"/>
  <c r="W11" i="14"/>
  <c r="W12" i="14"/>
  <c r="W13" i="14"/>
  <c r="W14" i="14"/>
  <c r="W15" i="14"/>
  <c r="W16" i="14"/>
  <c r="W17" i="14"/>
  <c r="W18" i="14"/>
  <c r="W19" i="14"/>
  <c r="S65" i="3"/>
  <c r="S66" i="3"/>
  <c r="S67" i="3"/>
  <c r="S68" i="3"/>
  <c r="S69" i="3"/>
  <c r="S70" i="3"/>
  <c r="S71" i="3"/>
  <c r="S72" i="3"/>
  <c r="S64" i="3"/>
  <c r="F56" i="7"/>
  <c r="F57" i="7"/>
  <c r="W21" i="14"/>
  <c r="CJ21" i="6" s="1"/>
  <c r="W20" i="14"/>
  <c r="CJ20" i="6" s="1"/>
  <c r="G21" i="14"/>
  <c r="G22" i="14"/>
  <c r="G20" i="14"/>
  <c r="BH38" i="6"/>
  <c r="BH37" i="6"/>
  <c r="BH35" i="6"/>
  <c r="BH34" i="6"/>
  <c r="BH33" i="6"/>
  <c r="BH32" i="6"/>
  <c r="BH31" i="6"/>
  <c r="BH30" i="6"/>
  <c r="BH29" i="6"/>
  <c r="BH28" i="6"/>
  <c r="BH27" i="6"/>
  <c r="BH26" i="6"/>
  <c r="BH25" i="6"/>
  <c r="BH24" i="6"/>
  <c r="BH23" i="6"/>
  <c r="BH22" i="6"/>
  <c r="BH21" i="6"/>
  <c r="BH20" i="6"/>
  <c r="BH19" i="6"/>
  <c r="BH18" i="6"/>
  <c r="BH17" i="6"/>
  <c r="BH16" i="6"/>
  <c r="BH15" i="6"/>
  <c r="BH14" i="6"/>
  <c r="BH13" i="6"/>
  <c r="BH12" i="6"/>
  <c r="BH11" i="6"/>
  <c r="BH10" i="6"/>
  <c r="BH9" i="6"/>
  <c r="BH8" i="6"/>
  <c r="BH7" i="6"/>
  <c r="BH6" i="6"/>
  <c r="BH5" i="6"/>
  <c r="BH4" i="6"/>
  <c r="BH3" i="6"/>
  <c r="AP37" i="6"/>
  <c r="AP36" i="6"/>
  <c r="AP35" i="6"/>
  <c r="AP34" i="6"/>
  <c r="AP33" i="6"/>
  <c r="AP32" i="6"/>
  <c r="AP31" i="6"/>
  <c r="AP30" i="6"/>
  <c r="AP29" i="6"/>
  <c r="AP28" i="6"/>
  <c r="AP27" i="6"/>
  <c r="AP26" i="6"/>
  <c r="AP25" i="6"/>
  <c r="AP24" i="6"/>
  <c r="AP23" i="6"/>
  <c r="AP22" i="6"/>
  <c r="AP21" i="6"/>
  <c r="AP20" i="6"/>
  <c r="AP19" i="6"/>
  <c r="AP18" i="6"/>
  <c r="AP17" i="6"/>
  <c r="AP16" i="6"/>
  <c r="AP15" i="6"/>
  <c r="AP14" i="6"/>
  <c r="AP13" i="6"/>
  <c r="AP12" i="6"/>
  <c r="AP11" i="6"/>
  <c r="AP10" i="6"/>
  <c r="AP9" i="6"/>
  <c r="AP8" i="6"/>
  <c r="AP7" i="6"/>
  <c r="AP6" i="6"/>
  <c r="AP5" i="6"/>
  <c r="AP4" i="6"/>
  <c r="X39" i="6"/>
  <c r="X37" i="6"/>
  <c r="X36" i="6"/>
  <c r="X35" i="6"/>
  <c r="X34" i="6"/>
  <c r="X33" i="6"/>
  <c r="X32" i="6"/>
  <c r="X31" i="6"/>
  <c r="X30" i="6"/>
  <c r="X29" i="6"/>
  <c r="CI29" i="6" s="1"/>
  <c r="X28" i="6"/>
  <c r="X27" i="6"/>
  <c r="CI27" i="6" s="1"/>
  <c r="X26" i="6"/>
  <c r="X25" i="6"/>
  <c r="X24" i="6"/>
  <c r="X23" i="6"/>
  <c r="X22" i="6"/>
  <c r="X21" i="6"/>
  <c r="CI21" i="6" s="1"/>
  <c r="X20" i="6"/>
  <c r="X19" i="6"/>
  <c r="CI19" i="6" s="1"/>
  <c r="X18" i="6"/>
  <c r="X17" i="6"/>
  <c r="X16" i="6"/>
  <c r="X15" i="6"/>
  <c r="X14" i="6"/>
  <c r="X13" i="6"/>
  <c r="CI13" i="6" s="1"/>
  <c r="X12" i="6"/>
  <c r="X11" i="6"/>
  <c r="CI11" i="6" s="1"/>
  <c r="X10" i="6"/>
  <c r="X9" i="6"/>
  <c r="X8" i="6"/>
  <c r="X7" i="6"/>
  <c r="X6" i="6"/>
  <c r="X5" i="6"/>
  <c r="CI5" i="6" s="1"/>
  <c r="X4" i="6"/>
  <c r="X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3" i="6"/>
  <c r="BY39" i="6"/>
  <c r="BX38" i="6"/>
  <c r="U21" i="14"/>
  <c r="P20" i="7" s="1"/>
  <c r="U20" i="14"/>
  <c r="BZ39" i="6"/>
  <c r="BF38" i="6"/>
  <c r="BZ38" i="6" s="1"/>
  <c r="BF37" i="6"/>
  <c r="BZ37" i="6" s="1"/>
  <c r="BY38" i="6"/>
  <c r="AN37" i="6"/>
  <c r="BY37" i="6" s="1"/>
  <c r="V39" i="6"/>
  <c r="BX39" i="6" s="1"/>
  <c r="V37" i="6"/>
  <c r="BX37" i="6" s="1"/>
  <c r="G38" i="6"/>
  <c r="L37" i="7" s="1"/>
  <c r="L36" i="7"/>
  <c r="DU53" i="1"/>
  <c r="DU54" i="1"/>
  <c r="DU55" i="1"/>
  <c r="DU56" i="1"/>
  <c r="DU57" i="1"/>
  <c r="DU58" i="1"/>
  <c r="DU52" i="1"/>
  <c r="DS22" i="1"/>
  <c r="DS23" i="1"/>
  <c r="DS24" i="1"/>
  <c r="DS25" i="1"/>
  <c r="DS26" i="1"/>
  <c r="DS27" i="1"/>
  <c r="DS28" i="1"/>
  <c r="DS29" i="1"/>
  <c r="DS30" i="1"/>
  <c r="DS31" i="1"/>
  <c r="DS32" i="1"/>
  <c r="DS33" i="1"/>
  <c r="DS34" i="1"/>
  <c r="DS35" i="1"/>
  <c r="DS36" i="1"/>
  <c r="DS37" i="1"/>
  <c r="DS38" i="1"/>
  <c r="DS39" i="1"/>
  <c r="DS40" i="1"/>
  <c r="DS41" i="1"/>
  <c r="DS42" i="1"/>
  <c r="DS43" i="1"/>
  <c r="DS44" i="1"/>
  <c r="DS45" i="1"/>
  <c r="DS46" i="1"/>
  <c r="DS47" i="1"/>
  <c r="DS48" i="1"/>
  <c r="DT48" i="1" s="1"/>
  <c r="DS49" i="1"/>
  <c r="DT49" i="1" s="1"/>
  <c r="DS50" i="1"/>
  <c r="DT50" i="1" s="1"/>
  <c r="DS51" i="1"/>
  <c r="DT51" i="1" s="1"/>
  <c r="DS52" i="1"/>
  <c r="DT52" i="1" s="1"/>
  <c r="DS53" i="1"/>
  <c r="DT53" i="1" s="1"/>
  <c r="DS54" i="1"/>
  <c r="DT54" i="1" s="1"/>
  <c r="DS55" i="1"/>
  <c r="DT55" i="1" s="1"/>
  <c r="DS56" i="1"/>
  <c r="DT56" i="1" s="1"/>
  <c r="DS57" i="1"/>
  <c r="DT57" i="1" s="1"/>
  <c r="DS58" i="1"/>
  <c r="DT58" i="1" s="1"/>
  <c r="G304" i="3"/>
  <c r="G305" i="3"/>
  <c r="G306" i="3"/>
  <c r="G307" i="3"/>
  <c r="G308" i="3"/>
  <c r="G309" i="3"/>
  <c r="G310" i="3"/>
  <c r="G311" i="3"/>
  <c r="G303" i="3"/>
  <c r="G292" i="3"/>
  <c r="G293" i="3"/>
  <c r="G294" i="3"/>
  <c r="G295" i="3"/>
  <c r="G296" i="3"/>
  <c r="G297" i="3"/>
  <c r="G298" i="3"/>
  <c r="G299" i="3"/>
  <c r="G291" i="3"/>
  <c r="G276" i="3"/>
  <c r="G277" i="3"/>
  <c r="G278" i="3"/>
  <c r="G279" i="3"/>
  <c r="G280" i="3"/>
  <c r="G281" i="3"/>
  <c r="G282" i="3"/>
  <c r="G283" i="3"/>
  <c r="G284" i="3"/>
  <c r="G275" i="3"/>
  <c r="G265" i="3"/>
  <c r="G266" i="3"/>
  <c r="G267" i="3"/>
  <c r="G268" i="3"/>
  <c r="G269" i="3"/>
  <c r="G270" i="3"/>
  <c r="G271" i="3"/>
  <c r="G264" i="3"/>
  <c r="G253" i="3"/>
  <c r="G254" i="3"/>
  <c r="G255" i="3"/>
  <c r="G256" i="3"/>
  <c r="G257" i="3"/>
  <c r="G258" i="3"/>
  <c r="G259" i="3"/>
  <c r="G260" i="3"/>
  <c r="G252" i="3"/>
  <c r="G234" i="3"/>
  <c r="G235" i="3"/>
  <c r="G236" i="3"/>
  <c r="G237" i="3"/>
  <c r="G238" i="3"/>
  <c r="G239" i="3"/>
  <c r="G240" i="3"/>
  <c r="G241" i="3"/>
  <c r="G242" i="3"/>
  <c r="G243" i="3"/>
  <c r="G233" i="3"/>
  <c r="G212" i="3"/>
  <c r="G213" i="3"/>
  <c r="G214" i="3"/>
  <c r="G215" i="3"/>
  <c r="G216" i="3"/>
  <c r="G217" i="3"/>
  <c r="G218" i="3"/>
  <c r="G219" i="3"/>
  <c r="G220" i="3"/>
  <c r="G221" i="3"/>
  <c r="G211" i="3"/>
  <c r="G199" i="3"/>
  <c r="G200" i="3"/>
  <c r="G201" i="3"/>
  <c r="G202" i="3"/>
  <c r="G203" i="3"/>
  <c r="G204" i="3"/>
  <c r="G205" i="3"/>
  <c r="G206" i="3"/>
  <c r="G207" i="3"/>
  <c r="G198" i="3"/>
  <c r="G185" i="3"/>
  <c r="G186" i="3"/>
  <c r="G187" i="3"/>
  <c r="G188" i="3"/>
  <c r="G189" i="3"/>
  <c r="G190" i="3"/>
  <c r="G191" i="3"/>
  <c r="G192" i="3"/>
  <c r="G193" i="3"/>
  <c r="G194" i="3"/>
  <c r="G184" i="3"/>
  <c r="G171" i="3"/>
  <c r="G172" i="3"/>
  <c r="G173" i="3"/>
  <c r="G174" i="3"/>
  <c r="G175" i="3"/>
  <c r="G176" i="3"/>
  <c r="G177" i="3"/>
  <c r="G178" i="3"/>
  <c r="G179" i="3"/>
  <c r="G180" i="3"/>
  <c r="G170" i="3"/>
  <c r="G157" i="3"/>
  <c r="G158" i="3"/>
  <c r="G159" i="3"/>
  <c r="G160" i="3"/>
  <c r="G161" i="3"/>
  <c r="G162" i="3"/>
  <c r="G163" i="3"/>
  <c r="G164" i="3"/>
  <c r="G165" i="3"/>
  <c r="G166" i="3"/>
  <c r="G156" i="3"/>
  <c r="G143" i="3"/>
  <c r="G144" i="3"/>
  <c r="G145" i="3"/>
  <c r="G146" i="3"/>
  <c r="G147" i="3"/>
  <c r="G148" i="3"/>
  <c r="G149" i="3"/>
  <c r="G150" i="3"/>
  <c r="G151" i="3"/>
  <c r="G152" i="3"/>
  <c r="G142" i="3"/>
  <c r="G125" i="3"/>
  <c r="G126" i="3"/>
  <c r="G127" i="3"/>
  <c r="G128" i="3"/>
  <c r="G129" i="3"/>
  <c r="G130" i="3"/>
  <c r="G131" i="3"/>
  <c r="G132" i="3"/>
  <c r="G133" i="3"/>
  <c r="G134" i="3"/>
  <c r="G135" i="3"/>
  <c r="G124" i="3"/>
  <c r="G111" i="3"/>
  <c r="G112" i="3"/>
  <c r="G113" i="3"/>
  <c r="G114" i="3"/>
  <c r="G115" i="3"/>
  <c r="G116" i="3"/>
  <c r="G117" i="3"/>
  <c r="G118" i="3"/>
  <c r="G119" i="3"/>
  <c r="G120" i="3"/>
  <c r="G110" i="3"/>
  <c r="G97" i="3"/>
  <c r="G98" i="3"/>
  <c r="G99" i="3"/>
  <c r="G100" i="3"/>
  <c r="G101" i="3"/>
  <c r="G102" i="3"/>
  <c r="G103" i="3"/>
  <c r="G104" i="3"/>
  <c r="G105" i="3"/>
  <c r="G106" i="3"/>
  <c r="G96" i="3"/>
  <c r="G81" i="3"/>
  <c r="G82" i="3"/>
  <c r="G83" i="3"/>
  <c r="G84" i="3"/>
  <c r="G85" i="3"/>
  <c r="G86" i="3"/>
  <c r="G87" i="3"/>
  <c r="G88" i="3"/>
  <c r="G89" i="3"/>
  <c r="G90" i="3"/>
  <c r="G91" i="3"/>
  <c r="G92" i="3"/>
  <c r="G80" i="3"/>
  <c r="G65" i="3"/>
  <c r="G66" i="3"/>
  <c r="G67" i="3"/>
  <c r="G68" i="3"/>
  <c r="G69" i="3"/>
  <c r="G70" i="3"/>
  <c r="G71" i="3"/>
  <c r="G72" i="3"/>
  <c r="G73" i="3"/>
  <c r="G74" i="3"/>
  <c r="G75" i="3"/>
  <c r="G76" i="3"/>
  <c r="G64" i="3"/>
  <c r="G34" i="3"/>
  <c r="G21" i="3"/>
  <c r="G22" i="3"/>
  <c r="G23" i="3"/>
  <c r="G24" i="3"/>
  <c r="G25" i="3"/>
  <c r="G26" i="3"/>
  <c r="G27" i="3"/>
  <c r="G28" i="3"/>
  <c r="G29" i="3"/>
  <c r="G30" i="3"/>
  <c r="G31" i="3"/>
  <c r="G32" i="3"/>
  <c r="G33" i="3"/>
  <c r="G20" i="3"/>
  <c r="G4" i="3"/>
  <c r="G5" i="3"/>
  <c r="G6" i="3"/>
  <c r="G7" i="3"/>
  <c r="G8" i="3"/>
  <c r="G9" i="3"/>
  <c r="G10" i="3"/>
  <c r="G11" i="3"/>
  <c r="G12" i="3"/>
  <c r="G13" i="3"/>
  <c r="G14" i="3"/>
  <c r="G15" i="3"/>
  <c r="G3" i="3"/>
  <c r="DN4" i="1"/>
  <c r="DO4" i="1" s="1"/>
  <c r="DN5" i="1"/>
  <c r="DO5" i="1" s="1"/>
  <c r="DN6" i="1"/>
  <c r="DO6" i="1" s="1"/>
  <c r="DN7" i="1"/>
  <c r="DO7" i="1" s="1"/>
  <c r="DN8" i="1"/>
  <c r="DO8" i="1" s="1"/>
  <c r="DN9" i="1"/>
  <c r="DO9" i="1" s="1"/>
  <c r="DN10" i="1"/>
  <c r="DO10" i="1" s="1"/>
  <c r="DN11" i="1"/>
  <c r="DO11" i="1" s="1"/>
  <c r="DN12" i="1"/>
  <c r="DO12" i="1" s="1"/>
  <c r="DN13" i="1"/>
  <c r="DO13" i="1" s="1"/>
  <c r="DN14" i="1"/>
  <c r="DO14" i="1" s="1"/>
  <c r="DN15" i="1"/>
  <c r="DO15" i="1" s="1"/>
  <c r="DN16" i="1"/>
  <c r="DO16" i="1" s="1"/>
  <c r="DN17" i="1"/>
  <c r="DO17" i="1" s="1"/>
  <c r="DN18" i="1"/>
  <c r="DO18" i="1" s="1"/>
  <c r="DN19" i="1"/>
  <c r="DO19" i="1" s="1"/>
  <c r="DN20" i="1"/>
  <c r="DO20" i="1" s="1"/>
  <c r="DN21" i="1"/>
  <c r="DO21" i="1" s="1"/>
  <c r="DN22" i="1"/>
  <c r="DO22" i="1" s="1"/>
  <c r="DN23" i="1"/>
  <c r="DO23" i="1" s="1"/>
  <c r="DN24" i="1"/>
  <c r="DO24" i="1" s="1"/>
  <c r="DN25" i="1"/>
  <c r="DO25" i="1" s="1"/>
  <c r="DN26" i="1"/>
  <c r="DO26" i="1" s="1"/>
  <c r="DN27" i="1"/>
  <c r="DO27" i="1" s="1"/>
  <c r="DN28" i="1"/>
  <c r="DO28" i="1" s="1"/>
  <c r="DN29" i="1"/>
  <c r="DO29" i="1" s="1"/>
  <c r="DN30" i="1"/>
  <c r="DO30" i="1" s="1"/>
  <c r="DN31" i="1"/>
  <c r="DO31" i="1" s="1"/>
  <c r="DN32" i="1"/>
  <c r="DO32" i="1" s="1"/>
  <c r="DN33" i="1"/>
  <c r="DO33" i="1" s="1"/>
  <c r="DN34" i="1"/>
  <c r="DO34" i="1" s="1"/>
  <c r="DN35" i="1"/>
  <c r="DO35" i="1" s="1"/>
  <c r="DN36" i="1"/>
  <c r="DO36" i="1" s="1"/>
  <c r="DN37" i="1"/>
  <c r="DO37" i="1" s="1"/>
  <c r="DN38" i="1"/>
  <c r="DO38" i="1" s="1"/>
  <c r="DN39" i="1"/>
  <c r="DO39" i="1" s="1"/>
  <c r="DN40" i="1"/>
  <c r="DO40" i="1" s="1"/>
  <c r="DN41" i="1"/>
  <c r="DO41" i="1" s="1"/>
  <c r="DN42" i="1"/>
  <c r="DO42" i="1" s="1"/>
  <c r="DN43" i="1"/>
  <c r="DO43" i="1" s="1"/>
  <c r="DN44" i="1"/>
  <c r="DO44" i="1" s="1"/>
  <c r="DN45" i="1"/>
  <c r="DO45" i="1" s="1"/>
  <c r="DN46" i="1"/>
  <c r="DO46" i="1" s="1"/>
  <c r="DN47" i="1"/>
  <c r="DO47" i="1" s="1"/>
  <c r="DN48" i="1"/>
  <c r="DO48" i="1" s="1"/>
  <c r="DN49" i="1"/>
  <c r="DO49" i="1" s="1"/>
  <c r="DN50" i="1"/>
  <c r="DO50" i="1" s="1"/>
  <c r="DN51" i="1"/>
  <c r="DO51" i="1" s="1"/>
  <c r="DN52" i="1"/>
  <c r="DO52" i="1" s="1"/>
  <c r="DN53" i="1"/>
  <c r="DO53" i="1" s="1"/>
  <c r="DN54" i="1"/>
  <c r="DO54" i="1" s="1"/>
  <c r="DN55" i="1"/>
  <c r="DO55" i="1" s="1"/>
  <c r="DN56" i="1"/>
  <c r="DO56" i="1" s="1"/>
  <c r="DN57" i="1"/>
  <c r="DO57" i="1" s="1"/>
  <c r="DN58" i="1"/>
  <c r="DO58" i="1" s="1"/>
  <c r="DN3" i="1"/>
  <c r="DO3" i="1" s="1"/>
  <c r="G19" i="14"/>
  <c r="O18" i="7" s="1"/>
  <c r="O19" i="7"/>
  <c r="P19" i="7"/>
  <c r="O20" i="7"/>
  <c r="O21" i="7"/>
  <c r="P21" i="7"/>
  <c r="O22" i="7"/>
  <c r="P22" i="7"/>
  <c r="O23" i="7"/>
  <c r="P23" i="7"/>
  <c r="O24" i="7"/>
  <c r="P24" i="7"/>
  <c r="O25" i="7"/>
  <c r="P25" i="7"/>
  <c r="N17" i="7"/>
  <c r="N18" i="7"/>
  <c r="N19" i="7"/>
  <c r="N20" i="7"/>
  <c r="N21" i="7"/>
  <c r="N22" i="7"/>
  <c r="N23" i="7"/>
  <c r="N24" i="7"/>
  <c r="N25" i="7"/>
  <c r="L38" i="7"/>
  <c r="L39" i="7"/>
  <c r="K40" i="7"/>
  <c r="L40" i="7"/>
  <c r="M40" i="7"/>
  <c r="K41" i="7"/>
  <c r="L41" i="7"/>
  <c r="M41" i="7"/>
  <c r="K42" i="7"/>
  <c r="L42" i="7"/>
  <c r="M42" i="7"/>
  <c r="K43" i="7"/>
  <c r="L43" i="7"/>
  <c r="M43" i="7"/>
  <c r="K44" i="7"/>
  <c r="L44" i="7"/>
  <c r="M44" i="7"/>
  <c r="C42" i="7"/>
  <c r="C43" i="7"/>
  <c r="C44" i="7"/>
  <c r="C34" i="7"/>
  <c r="C35" i="7"/>
  <c r="C36" i="7"/>
  <c r="C37" i="7"/>
  <c r="C38" i="7"/>
  <c r="C39" i="7"/>
  <c r="C40" i="7"/>
  <c r="C41" i="7"/>
  <c r="CU37" i="6"/>
  <c r="CU36" i="6"/>
  <c r="AR34" i="14"/>
  <c r="AR33" i="14"/>
  <c r="G18" i="14"/>
  <c r="O17" i="7" s="1"/>
  <c r="G17" i="14"/>
  <c r="AW47" i="2"/>
  <c r="BM47" i="2" s="1"/>
  <c r="AI47" i="2"/>
  <c r="BL47" i="2" s="1"/>
  <c r="U47" i="2"/>
  <c r="BK47" i="2" s="1"/>
  <c r="G47" i="2"/>
  <c r="CJ58" i="1"/>
  <c r="G58" i="1"/>
  <c r="D57" i="7" s="1"/>
  <c r="A57" i="7"/>
  <c r="EN30" i="5"/>
  <c r="FD30" i="5" s="1"/>
  <c r="EN29" i="5"/>
  <c r="FD29" i="5" s="1"/>
  <c r="EN28" i="5"/>
  <c r="FD28" i="5" s="1"/>
  <c r="EN27" i="5"/>
  <c r="FD27" i="5" s="1"/>
  <c r="EN26" i="5"/>
  <c r="FD26" i="5" s="1"/>
  <c r="EN25" i="5"/>
  <c r="FD25" i="5" s="1"/>
  <c r="EN24" i="5"/>
  <c r="FD24" i="5" s="1"/>
  <c r="EN23" i="5"/>
  <c r="FD23" i="5" s="1"/>
  <c r="EN22" i="5"/>
  <c r="FD22" i="5" s="1"/>
  <c r="EN21" i="5"/>
  <c r="FD21" i="5" s="1"/>
  <c r="EN20" i="5"/>
  <c r="FD20" i="5" s="1"/>
  <c r="EN19" i="5"/>
  <c r="FD19" i="5" s="1"/>
  <c r="EN18" i="5"/>
  <c r="FD18" i="5" s="1"/>
  <c r="EN17" i="5"/>
  <c r="FD17" i="5" s="1"/>
  <c r="EN16" i="5"/>
  <c r="FD16" i="5" s="1"/>
  <c r="DX30" i="5"/>
  <c r="FC30" i="5" s="1"/>
  <c r="DX29" i="5"/>
  <c r="FC29" i="5" s="1"/>
  <c r="DX28" i="5"/>
  <c r="FC28" i="5" s="1"/>
  <c r="DX27" i="5"/>
  <c r="FC27" i="5" s="1"/>
  <c r="DX26" i="5"/>
  <c r="FC26" i="5" s="1"/>
  <c r="DX25" i="5"/>
  <c r="FC25" i="5" s="1"/>
  <c r="DX24" i="5"/>
  <c r="FC24" i="5" s="1"/>
  <c r="DX23" i="5"/>
  <c r="FC23" i="5" s="1"/>
  <c r="DX22" i="5"/>
  <c r="FC22" i="5" s="1"/>
  <c r="DX21" i="5"/>
  <c r="FC21" i="5" s="1"/>
  <c r="DX20" i="5"/>
  <c r="FC20" i="5" s="1"/>
  <c r="DX19" i="5"/>
  <c r="FC19" i="5" s="1"/>
  <c r="DX18" i="5"/>
  <c r="FC18" i="5" s="1"/>
  <c r="DX17" i="5"/>
  <c r="FC17" i="5" s="1"/>
  <c r="DX16" i="5"/>
  <c r="FC16" i="5" s="1"/>
  <c r="DH16" i="5"/>
  <c r="FB16" i="5" s="1"/>
  <c r="DH17" i="5"/>
  <c r="FB17" i="5" s="1"/>
  <c r="DH18" i="5"/>
  <c r="FB18" i="5" s="1"/>
  <c r="DH19" i="5"/>
  <c r="FB19" i="5" s="1"/>
  <c r="DH20" i="5"/>
  <c r="FB20" i="5" s="1"/>
  <c r="DH21" i="5"/>
  <c r="FB21" i="5" s="1"/>
  <c r="DH22" i="5"/>
  <c r="FB22" i="5" s="1"/>
  <c r="DH23" i="5"/>
  <c r="FB23" i="5" s="1"/>
  <c r="DH24" i="5"/>
  <c r="FB24" i="5" s="1"/>
  <c r="DH25" i="5"/>
  <c r="FB25" i="5" s="1"/>
  <c r="DH26" i="5"/>
  <c r="FB26" i="5" s="1"/>
  <c r="DH27" i="5"/>
  <c r="FB27" i="5" s="1"/>
  <c r="DH28" i="5"/>
  <c r="FB28" i="5" s="1"/>
  <c r="DH29" i="5"/>
  <c r="FB29" i="5" s="1"/>
  <c r="DH30" i="5"/>
  <c r="FB30" i="5" s="1"/>
  <c r="CR30" i="5"/>
  <c r="FA30" i="5" s="1"/>
  <c r="CR29" i="5"/>
  <c r="FA29" i="5" s="1"/>
  <c r="CR28" i="5"/>
  <c r="FA28" i="5" s="1"/>
  <c r="CR27" i="5"/>
  <c r="FA27" i="5" s="1"/>
  <c r="CR26" i="5"/>
  <c r="FA26" i="5" s="1"/>
  <c r="CR25" i="5"/>
  <c r="FA25" i="5" s="1"/>
  <c r="CR24" i="5"/>
  <c r="FA24" i="5" s="1"/>
  <c r="CR23" i="5"/>
  <c r="FA23" i="5" s="1"/>
  <c r="CR22" i="5"/>
  <c r="FA22" i="5" s="1"/>
  <c r="CR21" i="5"/>
  <c r="FA21" i="5" s="1"/>
  <c r="CR20" i="5"/>
  <c r="FA20" i="5" s="1"/>
  <c r="CR19" i="5"/>
  <c r="FA19" i="5" s="1"/>
  <c r="CB30" i="5"/>
  <c r="EZ30" i="5" s="1"/>
  <c r="CB29" i="5"/>
  <c r="EZ29" i="5" s="1"/>
  <c r="CB28" i="5"/>
  <c r="EZ28" i="5" s="1"/>
  <c r="CB27" i="5"/>
  <c r="EZ27" i="5" s="1"/>
  <c r="CB26" i="5"/>
  <c r="EZ26" i="5" s="1"/>
  <c r="CB25" i="5"/>
  <c r="EZ25" i="5" s="1"/>
  <c r="CB24" i="5"/>
  <c r="EZ24" i="5" s="1"/>
  <c r="CB23" i="5"/>
  <c r="EZ23" i="5" s="1"/>
  <c r="CB21" i="5"/>
  <c r="EZ21" i="5" s="1"/>
  <c r="CB20" i="5"/>
  <c r="EZ20" i="5" s="1"/>
  <c r="CB19" i="5"/>
  <c r="EZ19" i="5" s="1"/>
  <c r="BL17" i="5"/>
  <c r="EY17" i="5" s="1"/>
  <c r="BL18" i="5"/>
  <c r="EY18" i="5" s="1"/>
  <c r="BL19" i="5"/>
  <c r="EY19" i="5" s="1"/>
  <c r="BL20" i="5"/>
  <c r="EY20" i="5" s="1"/>
  <c r="BL21" i="5"/>
  <c r="EY21" i="5" s="1"/>
  <c r="BL22" i="5"/>
  <c r="EY22" i="5" s="1"/>
  <c r="BL23" i="5"/>
  <c r="EY23" i="5" s="1"/>
  <c r="BL24" i="5"/>
  <c r="EY24" i="5" s="1"/>
  <c r="BL25" i="5"/>
  <c r="EY25" i="5" s="1"/>
  <c r="BL26" i="5"/>
  <c r="EY26" i="5" s="1"/>
  <c r="BL27" i="5"/>
  <c r="EY27" i="5" s="1"/>
  <c r="BL28" i="5"/>
  <c r="EY28" i="5" s="1"/>
  <c r="BL29" i="5"/>
  <c r="EY29" i="5" s="1"/>
  <c r="BL30" i="5"/>
  <c r="EY30" i="5" s="1"/>
  <c r="AV30" i="5"/>
  <c r="EX30" i="5" s="1"/>
  <c r="AV29" i="5"/>
  <c r="EX29" i="5" s="1"/>
  <c r="AV28" i="5"/>
  <c r="EX28" i="5" s="1"/>
  <c r="AV27" i="5"/>
  <c r="EX27" i="5" s="1"/>
  <c r="AV26" i="5"/>
  <c r="EX26" i="5" s="1"/>
  <c r="AV25" i="5"/>
  <c r="EX25" i="5" s="1"/>
  <c r="AV24" i="5"/>
  <c r="EX24" i="5" s="1"/>
  <c r="AV23" i="5"/>
  <c r="EX23" i="5" s="1"/>
  <c r="AV22" i="5"/>
  <c r="EX22" i="5" s="1"/>
  <c r="AV21" i="5"/>
  <c r="EX21" i="5" s="1"/>
  <c r="AV20" i="5"/>
  <c r="EX20" i="5" s="1"/>
  <c r="AV19" i="5"/>
  <c r="EX19" i="5" s="1"/>
  <c r="AV18" i="5"/>
  <c r="EX18" i="5" s="1"/>
  <c r="AV17" i="5"/>
  <c r="EX17" i="5" s="1"/>
  <c r="AF30" i="5"/>
  <c r="EW30" i="5" s="1"/>
  <c r="AF29" i="5"/>
  <c r="EW29" i="5" s="1"/>
  <c r="AF28" i="5"/>
  <c r="EW28" i="5" s="1"/>
  <c r="AF27" i="5"/>
  <c r="EW27" i="5" s="1"/>
  <c r="AF26" i="5"/>
  <c r="EW26" i="5" s="1"/>
  <c r="AF25" i="5"/>
  <c r="EW25" i="5" s="1"/>
  <c r="AF24" i="5"/>
  <c r="EW24" i="5" s="1"/>
  <c r="AF23" i="5"/>
  <c r="EW23" i="5" s="1"/>
  <c r="AF22" i="5"/>
  <c r="EW22" i="5" s="1"/>
  <c r="AF21" i="5"/>
  <c r="EW21" i="5" s="1"/>
  <c r="AF20" i="5"/>
  <c r="EW20" i="5" s="1"/>
  <c r="AF19" i="5"/>
  <c r="EW19" i="5" s="1"/>
  <c r="AF18" i="5"/>
  <c r="EW18" i="5" s="1"/>
  <c r="AF17" i="5"/>
  <c r="EW17" i="5" s="1"/>
  <c r="P17" i="5"/>
  <c r="EV17" i="5" s="1"/>
  <c r="P18" i="5"/>
  <c r="EV18" i="5" s="1"/>
  <c r="P19" i="5"/>
  <c r="EV19" i="5" s="1"/>
  <c r="P20" i="5"/>
  <c r="EV20" i="5" s="1"/>
  <c r="P21" i="5"/>
  <c r="EV21" i="5" s="1"/>
  <c r="P22" i="5"/>
  <c r="EV22" i="5" s="1"/>
  <c r="P23" i="5"/>
  <c r="EV23" i="5" s="1"/>
  <c r="P24" i="5"/>
  <c r="EV24" i="5" s="1"/>
  <c r="P25" i="5"/>
  <c r="EV25" i="5" s="1"/>
  <c r="P26" i="5"/>
  <c r="EV26" i="5" s="1"/>
  <c r="P27" i="5"/>
  <c r="EV27" i="5" s="1"/>
  <c r="P28" i="5"/>
  <c r="EV28" i="5" s="1"/>
  <c r="P29" i="5"/>
  <c r="EV29" i="5" s="1"/>
  <c r="P30" i="5"/>
  <c r="EV30" i="5" s="1"/>
  <c r="U18" i="14"/>
  <c r="CH18" i="6" s="1"/>
  <c r="U17" i="14"/>
  <c r="P16" i="7" s="1"/>
  <c r="BF35" i="6"/>
  <c r="BZ35" i="6" s="1"/>
  <c r="BF34" i="6"/>
  <c r="BZ34" i="6" s="1"/>
  <c r="AN35" i="6"/>
  <c r="BY35" i="6" s="1"/>
  <c r="AN34" i="6"/>
  <c r="BY34" i="6" s="1"/>
  <c r="V35" i="6"/>
  <c r="BX35" i="6" s="1"/>
  <c r="V34" i="6"/>
  <c r="BX34" i="6" s="1"/>
  <c r="G35" i="6"/>
  <c r="L34" i="7" s="1"/>
  <c r="G34" i="6"/>
  <c r="L33" i="7" s="1"/>
  <c r="U19" i="14"/>
  <c r="P18" i="7" s="1"/>
  <c r="BF36" i="6"/>
  <c r="BZ36" i="6" s="1"/>
  <c r="AN36" i="6"/>
  <c r="BY36" i="6" s="1"/>
  <c r="V36" i="6"/>
  <c r="BX36" i="6" s="1"/>
  <c r="G36" i="6"/>
  <c r="L35" i="7" s="1"/>
  <c r="AV32" i="10"/>
  <c r="AN32" i="10"/>
  <c r="AJ32" i="10"/>
  <c r="AF32" i="10"/>
  <c r="Y32" i="10"/>
  <c r="U32" i="10"/>
  <c r="Q32" i="10"/>
  <c r="M32" i="10"/>
  <c r="I32" i="10"/>
  <c r="AV31" i="10"/>
  <c r="AN31" i="10"/>
  <c r="AJ31" i="10"/>
  <c r="AF31" i="10"/>
  <c r="Y31" i="10"/>
  <c r="U31" i="10"/>
  <c r="Q31" i="10"/>
  <c r="M31" i="10"/>
  <c r="I31" i="10"/>
  <c r="AV30" i="10"/>
  <c r="AN30" i="10"/>
  <c r="AJ30" i="10"/>
  <c r="AF30" i="10"/>
  <c r="Y30" i="10"/>
  <c r="U30" i="10"/>
  <c r="Q30" i="10"/>
  <c r="M30" i="10"/>
  <c r="I30" i="10"/>
  <c r="AV29" i="10"/>
  <c r="AR29" i="10"/>
  <c r="AN29" i="10"/>
  <c r="AJ29" i="10"/>
  <c r="AF29" i="10"/>
  <c r="Y29" i="10"/>
  <c r="U29" i="10"/>
  <c r="Q29" i="10"/>
  <c r="M29" i="10"/>
  <c r="I29" i="10"/>
  <c r="AV28" i="10"/>
  <c r="AR28" i="10"/>
  <c r="AN28" i="10"/>
  <c r="AJ28" i="10"/>
  <c r="AF28" i="10"/>
  <c r="Y28" i="10"/>
  <c r="U28" i="10"/>
  <c r="Q28" i="10"/>
  <c r="M28" i="10"/>
  <c r="I28" i="10"/>
  <c r="AV27" i="10"/>
  <c r="AR27" i="10"/>
  <c r="AN27" i="10"/>
  <c r="AJ27" i="10"/>
  <c r="AF27" i="10"/>
  <c r="Y27" i="10"/>
  <c r="U27" i="10"/>
  <c r="Q27" i="10"/>
  <c r="M27" i="10"/>
  <c r="I27" i="10"/>
  <c r="CG4" i="6"/>
  <c r="CG5" i="6"/>
  <c r="CG6" i="6"/>
  <c r="CG7" i="6"/>
  <c r="CG8" i="6"/>
  <c r="CG9" i="6"/>
  <c r="CG10" i="6"/>
  <c r="CG11" i="6"/>
  <c r="CG12" i="6"/>
  <c r="CG13" i="6"/>
  <c r="CG14" i="6"/>
  <c r="CG15" i="6"/>
  <c r="CG16" i="6"/>
  <c r="CG17" i="6"/>
  <c r="CG18" i="6"/>
  <c r="CG3" i="6"/>
  <c r="CK57" i="1"/>
  <c r="CK56" i="1"/>
  <c r="CJ57" i="1"/>
  <c r="CJ56" i="1"/>
  <c r="CI57" i="1"/>
  <c r="CI56" i="1"/>
  <c r="O16" i="7"/>
  <c r="BF33" i="6"/>
  <c r="BZ33" i="6" s="1"/>
  <c r="BF32" i="6"/>
  <c r="BZ32" i="6" s="1"/>
  <c r="AN33" i="6"/>
  <c r="BY33" i="6" s="1"/>
  <c r="AN32" i="6"/>
  <c r="BY32" i="6" s="1"/>
  <c r="V33" i="6"/>
  <c r="BX33" i="6" s="1"/>
  <c r="V32" i="6"/>
  <c r="BX32" i="6" s="1"/>
  <c r="G33" i="6"/>
  <c r="L32" i="7" s="1"/>
  <c r="G32" i="6"/>
  <c r="L31" i="7" s="1"/>
  <c r="U16" i="14"/>
  <c r="P15" i="7" s="1"/>
  <c r="U15" i="14"/>
  <c r="P14" i="7" s="1"/>
  <c r="G16" i="14"/>
  <c r="O15" i="7" s="1"/>
  <c r="G15" i="14"/>
  <c r="AW46" i="2"/>
  <c r="BM46" i="2" s="1"/>
  <c r="AW45" i="2"/>
  <c r="AI46" i="2"/>
  <c r="BL46" i="2" s="1"/>
  <c r="AI45" i="2"/>
  <c r="BL45" i="2" s="1"/>
  <c r="U46" i="2"/>
  <c r="BK46" i="2" s="1"/>
  <c r="U45" i="2"/>
  <c r="BK45" i="2" s="1"/>
  <c r="G46" i="2"/>
  <c r="I45" i="7" s="1"/>
  <c r="G45" i="2"/>
  <c r="I44" i="7" s="1"/>
  <c r="BT56" i="1"/>
  <c r="F55" i="7" s="1"/>
  <c r="G57" i="1"/>
  <c r="D56" i="7" s="1"/>
  <c r="G56" i="1"/>
  <c r="D55" i="7" s="1"/>
  <c r="I46" i="7"/>
  <c r="BM45" i="2"/>
  <c r="N14" i="7"/>
  <c r="N15" i="7"/>
  <c r="N16" i="7"/>
  <c r="C33" i="7"/>
  <c r="C31" i="7"/>
  <c r="C32" i="7"/>
  <c r="B45" i="7"/>
  <c r="B46" i="7"/>
  <c r="A56" i="7"/>
  <c r="A55" i="7"/>
  <c r="O14" i="7"/>
  <c r="N13" i="7"/>
  <c r="BF31" i="6"/>
  <c r="BZ31" i="6" s="1"/>
  <c r="BF30" i="6"/>
  <c r="BZ30" i="6" s="1"/>
  <c r="BF29" i="6"/>
  <c r="BZ29" i="6" s="1"/>
  <c r="AN31" i="6"/>
  <c r="BY31" i="6" s="1"/>
  <c r="AN30" i="6"/>
  <c r="BY30" i="6" s="1"/>
  <c r="AN29" i="6"/>
  <c r="BY29" i="6" s="1"/>
  <c r="V31" i="6"/>
  <c r="BX31" i="6" s="1"/>
  <c r="V30" i="6"/>
  <c r="BX30" i="6" s="1"/>
  <c r="V29" i="6"/>
  <c r="BX29" i="6" s="1"/>
  <c r="G31" i="6"/>
  <c r="L30" i="7" s="1"/>
  <c r="G30" i="6"/>
  <c r="L29" i="7" s="1"/>
  <c r="G29" i="6"/>
  <c r="L28" i="7" s="1"/>
  <c r="U13" i="14"/>
  <c r="CH13" i="6" s="1"/>
  <c r="U14" i="14"/>
  <c r="CH14" i="6" s="1"/>
  <c r="U12" i="14"/>
  <c r="P11" i="7" s="1"/>
  <c r="G14" i="14"/>
  <c r="O13" i="7" s="1"/>
  <c r="G13" i="14"/>
  <c r="O12" i="7" s="1"/>
  <c r="G12" i="14"/>
  <c r="O11" i="7" s="1"/>
  <c r="AW44" i="2"/>
  <c r="BM44" i="2" s="1"/>
  <c r="AW43" i="2"/>
  <c r="BM43" i="2" s="1"/>
  <c r="AW42" i="2"/>
  <c r="BM42" i="2" s="1"/>
  <c r="AI44" i="2"/>
  <c r="BL44" i="2" s="1"/>
  <c r="AI43" i="2"/>
  <c r="BL43" i="2" s="1"/>
  <c r="AI42" i="2"/>
  <c r="BL42" i="2" s="1"/>
  <c r="U44" i="2"/>
  <c r="BK44" i="2" s="1"/>
  <c r="U43" i="2"/>
  <c r="BK43" i="2" s="1"/>
  <c r="U42" i="2"/>
  <c r="BK42" i="2" s="1"/>
  <c r="G44" i="2"/>
  <c r="I43" i="7" s="1"/>
  <c r="G43" i="2"/>
  <c r="I42" i="7" s="1"/>
  <c r="G42" i="2"/>
  <c r="I41" i="7" s="1"/>
  <c r="F53" i="7"/>
  <c r="BT55" i="1"/>
  <c r="F54" i="7" s="1"/>
  <c r="F52" i="7"/>
  <c r="BC55" i="1"/>
  <c r="CK55" i="1" s="1"/>
  <c r="BC54" i="1"/>
  <c r="CK54" i="1" s="1"/>
  <c r="BC53" i="1"/>
  <c r="CK53" i="1" s="1"/>
  <c r="AL55" i="1"/>
  <c r="CJ55" i="1" s="1"/>
  <c r="AL54" i="1"/>
  <c r="CJ54" i="1" s="1"/>
  <c r="AL53" i="1"/>
  <c r="CJ53" i="1" s="1"/>
  <c r="U55" i="1"/>
  <c r="CI55" i="1" s="1"/>
  <c r="U54" i="1"/>
  <c r="U53" i="1"/>
  <c r="CI53" i="1" s="1"/>
  <c r="G54" i="1"/>
  <c r="D53" i="7" s="1"/>
  <c r="G55" i="1"/>
  <c r="D54" i="7" s="1"/>
  <c r="G53" i="1"/>
  <c r="D52" i="7" s="1"/>
  <c r="B43" i="7"/>
  <c r="A45" i="16" s="1"/>
  <c r="B44" i="7"/>
  <c r="A46" i="16" s="1"/>
  <c r="A54" i="7"/>
  <c r="AV26" i="10"/>
  <c r="AV25" i="10"/>
  <c r="AV24" i="10"/>
  <c r="AV23" i="10"/>
  <c r="AV22" i="10"/>
  <c r="AV21" i="10"/>
  <c r="AV19" i="10"/>
  <c r="AR26" i="10"/>
  <c r="AR25" i="10"/>
  <c r="AR24" i="10"/>
  <c r="AR23" i="10"/>
  <c r="AR22" i="10"/>
  <c r="AR21" i="10"/>
  <c r="AR19" i="10"/>
  <c r="AR18" i="10"/>
  <c r="AR17" i="10"/>
  <c r="AR16" i="10"/>
  <c r="AR15" i="10"/>
  <c r="AR14" i="10"/>
  <c r="AR13" i="10"/>
  <c r="AR12" i="10"/>
  <c r="AR11" i="10"/>
  <c r="AR10" i="10"/>
  <c r="AR9" i="10"/>
  <c r="AR8" i="10"/>
  <c r="AR7" i="10"/>
  <c r="AR6" i="10"/>
  <c r="AR5" i="10"/>
  <c r="AR4" i="10"/>
  <c r="AR3" i="10"/>
  <c r="AN26" i="10"/>
  <c r="AN25" i="10"/>
  <c r="AN24" i="10"/>
  <c r="AN23" i="10"/>
  <c r="AN22" i="10"/>
  <c r="AN21" i="10"/>
  <c r="AN19" i="10"/>
  <c r="AN18" i="10"/>
  <c r="AN17" i="10"/>
  <c r="AN16" i="10"/>
  <c r="AN15" i="10"/>
  <c r="AN14" i="10"/>
  <c r="AN13" i="10"/>
  <c r="AN12" i="10"/>
  <c r="AN11" i="10"/>
  <c r="AN10" i="10"/>
  <c r="AN9" i="10"/>
  <c r="AN8" i="10"/>
  <c r="AN7" i="10"/>
  <c r="AN6" i="10"/>
  <c r="AN5" i="10"/>
  <c r="AN4" i="10"/>
  <c r="AN3" i="10"/>
  <c r="AJ26" i="10"/>
  <c r="AJ25" i="10"/>
  <c r="AJ24" i="10"/>
  <c r="AJ23" i="10"/>
  <c r="AJ22" i="10"/>
  <c r="AJ21" i="10"/>
  <c r="AJ19" i="10"/>
  <c r="AJ18" i="10"/>
  <c r="AJ17" i="10"/>
  <c r="AJ16" i="10"/>
  <c r="AJ15" i="10"/>
  <c r="AJ14" i="10"/>
  <c r="AJ13" i="10"/>
  <c r="AJ12" i="10"/>
  <c r="AJ11" i="10"/>
  <c r="AJ10" i="10"/>
  <c r="AJ9" i="10"/>
  <c r="AJ8" i="10"/>
  <c r="AJ7" i="10"/>
  <c r="AJ6" i="10"/>
  <c r="AJ5" i="10"/>
  <c r="AJ4" i="10"/>
  <c r="AJ3" i="10"/>
  <c r="AF26" i="10"/>
  <c r="AF25" i="10"/>
  <c r="AF24" i="10"/>
  <c r="AF23" i="10"/>
  <c r="AF22" i="10"/>
  <c r="AF21" i="10"/>
  <c r="AF4" i="10"/>
  <c r="AF5" i="10"/>
  <c r="AF6" i="10"/>
  <c r="AF7" i="10"/>
  <c r="AF8" i="10"/>
  <c r="AF9" i="10"/>
  <c r="AF10" i="10"/>
  <c r="AF11" i="10"/>
  <c r="AF12" i="10"/>
  <c r="AF13" i="10"/>
  <c r="AF14" i="10"/>
  <c r="AF15" i="10"/>
  <c r="AF16" i="10"/>
  <c r="AF17" i="10"/>
  <c r="AF18" i="10"/>
  <c r="AF19" i="10"/>
  <c r="AF3" i="10"/>
  <c r="Y26" i="10"/>
  <c r="Y25" i="10"/>
  <c r="Y24" i="10"/>
  <c r="Y23" i="10"/>
  <c r="Y22" i="10"/>
  <c r="Y21" i="10"/>
  <c r="Y19" i="10"/>
  <c r="Y17" i="10"/>
  <c r="Y16" i="10"/>
  <c r="Y15" i="10"/>
  <c r="Y14" i="10"/>
  <c r="Y13" i="10"/>
  <c r="Y12" i="10"/>
  <c r="Y11" i="10"/>
  <c r="Y10" i="10"/>
  <c r="Y9" i="10"/>
  <c r="Y8" i="10"/>
  <c r="Y7" i="10"/>
  <c r="Y6" i="10"/>
  <c r="Y5" i="10"/>
  <c r="Y4" i="10"/>
  <c r="Y3" i="10"/>
  <c r="U26" i="10"/>
  <c r="U25" i="10"/>
  <c r="U24" i="10"/>
  <c r="U23" i="10"/>
  <c r="U22" i="10"/>
  <c r="U21" i="10"/>
  <c r="U19" i="10"/>
  <c r="U17" i="10"/>
  <c r="U16" i="10"/>
  <c r="U15" i="10"/>
  <c r="U14" i="10"/>
  <c r="U13" i="10"/>
  <c r="U12" i="10"/>
  <c r="U11" i="10"/>
  <c r="U10" i="10"/>
  <c r="U9" i="10"/>
  <c r="U8" i="10"/>
  <c r="U7" i="10"/>
  <c r="U6" i="10"/>
  <c r="U5" i="10"/>
  <c r="U4" i="10"/>
  <c r="U3" i="10"/>
  <c r="Q26" i="10"/>
  <c r="Q25" i="10"/>
  <c r="Q24" i="10"/>
  <c r="Q23" i="10"/>
  <c r="Q22" i="10"/>
  <c r="Q21" i="10"/>
  <c r="Q19" i="10"/>
  <c r="Q17" i="10"/>
  <c r="Q16" i="10"/>
  <c r="Q15" i="10"/>
  <c r="Q14" i="10"/>
  <c r="Q13" i="10"/>
  <c r="Q12" i="10"/>
  <c r="Q11" i="10"/>
  <c r="Q10" i="10"/>
  <c r="Q9" i="10"/>
  <c r="Q8" i="10"/>
  <c r="Q7" i="10"/>
  <c r="Q6" i="10"/>
  <c r="Q5" i="10"/>
  <c r="Q4" i="10"/>
  <c r="Q3" i="10"/>
  <c r="M26" i="10"/>
  <c r="M25" i="10"/>
  <c r="M24" i="10"/>
  <c r="M23" i="10"/>
  <c r="M22" i="10"/>
  <c r="M21" i="10"/>
  <c r="M19" i="10"/>
  <c r="M4" i="10"/>
  <c r="M5" i="10"/>
  <c r="M6" i="10"/>
  <c r="M7" i="10"/>
  <c r="M8" i="10"/>
  <c r="M9" i="10"/>
  <c r="M10" i="10"/>
  <c r="M11" i="10"/>
  <c r="M12" i="10"/>
  <c r="M13" i="10"/>
  <c r="M14" i="10"/>
  <c r="M15" i="10"/>
  <c r="M16" i="10"/>
  <c r="M17" i="10"/>
  <c r="M3" i="10"/>
  <c r="I26" i="10"/>
  <c r="I25" i="10"/>
  <c r="I24" i="10"/>
  <c r="I23" i="10"/>
  <c r="I22" i="10"/>
  <c r="I21" i="10"/>
  <c r="I19" i="10"/>
  <c r="I4" i="10"/>
  <c r="I5" i="10"/>
  <c r="I6" i="10"/>
  <c r="I7" i="10"/>
  <c r="I8" i="10"/>
  <c r="I9" i="10"/>
  <c r="I10" i="10"/>
  <c r="I11" i="10"/>
  <c r="I12" i="10"/>
  <c r="I13" i="10"/>
  <c r="I14" i="10"/>
  <c r="I15" i="10"/>
  <c r="I16" i="10"/>
  <c r="I17" i="10"/>
  <c r="I3" i="10"/>
  <c r="Q5" i="17"/>
  <c r="R5" i="17"/>
  <c r="S5" i="17"/>
  <c r="T5" i="17"/>
  <c r="Q6" i="17"/>
  <c r="R6" i="17"/>
  <c r="S6" i="17"/>
  <c r="T6" i="17"/>
  <c r="Q7" i="17"/>
  <c r="R7" i="17"/>
  <c r="S7" i="17"/>
  <c r="T7" i="17"/>
  <c r="Q8" i="17"/>
  <c r="R8" i="17"/>
  <c r="S8" i="17"/>
  <c r="T8" i="17"/>
  <c r="Q9" i="17"/>
  <c r="R9" i="17"/>
  <c r="S9" i="17"/>
  <c r="T9" i="17"/>
  <c r="Q10" i="17"/>
  <c r="R10" i="17"/>
  <c r="S10" i="17"/>
  <c r="T10" i="17"/>
  <c r="Q11" i="17"/>
  <c r="R11" i="17"/>
  <c r="S11" i="17"/>
  <c r="T11" i="17"/>
  <c r="Q12" i="17"/>
  <c r="R12" i="17"/>
  <c r="S12" i="17"/>
  <c r="T12" i="17"/>
  <c r="Q13" i="17"/>
  <c r="R13" i="17"/>
  <c r="S13" i="17"/>
  <c r="T13" i="17"/>
  <c r="Q14" i="17"/>
  <c r="R14" i="17"/>
  <c r="S14" i="17"/>
  <c r="T14" i="17"/>
  <c r="Q15" i="17"/>
  <c r="R15" i="17"/>
  <c r="S15" i="17"/>
  <c r="T15" i="17"/>
  <c r="Q16" i="17"/>
  <c r="R16" i="17"/>
  <c r="S16" i="17"/>
  <c r="T16" i="17"/>
  <c r="Q17" i="17"/>
  <c r="R17" i="17"/>
  <c r="S17" i="17"/>
  <c r="T17" i="17"/>
  <c r="Q18" i="17"/>
  <c r="R18" i="17"/>
  <c r="S18" i="17"/>
  <c r="T18" i="17"/>
  <c r="Q19" i="17"/>
  <c r="R19" i="17"/>
  <c r="S19" i="17"/>
  <c r="T19" i="17"/>
  <c r="Q20" i="17"/>
  <c r="R20" i="17"/>
  <c r="S20" i="17"/>
  <c r="T20" i="17"/>
  <c r="Q21" i="17"/>
  <c r="R21" i="17"/>
  <c r="S21" i="17"/>
  <c r="T21" i="17"/>
  <c r="Q22" i="17"/>
  <c r="R22" i="17"/>
  <c r="S22" i="17"/>
  <c r="T22" i="17"/>
  <c r="Q23" i="17"/>
  <c r="R23" i="17"/>
  <c r="S23" i="17"/>
  <c r="T23" i="17"/>
  <c r="Q24" i="17"/>
  <c r="R24" i="17"/>
  <c r="S24" i="17"/>
  <c r="T24" i="17"/>
  <c r="Q25" i="17"/>
  <c r="R25" i="17"/>
  <c r="S25" i="17"/>
  <c r="T25" i="17"/>
  <c r="Q26" i="17"/>
  <c r="R26" i="17"/>
  <c r="S26" i="17"/>
  <c r="T26" i="17"/>
  <c r="Q27" i="17"/>
  <c r="R27" i="17"/>
  <c r="S27" i="17"/>
  <c r="T27" i="17"/>
  <c r="Q28" i="17"/>
  <c r="R28" i="17"/>
  <c r="S28" i="17"/>
  <c r="T28" i="17"/>
  <c r="Q29" i="17"/>
  <c r="R29" i="17"/>
  <c r="S29" i="17"/>
  <c r="T29" i="17"/>
  <c r="Q30" i="17"/>
  <c r="R30" i="17"/>
  <c r="S30" i="17"/>
  <c r="T30" i="17"/>
  <c r="Q32" i="17"/>
  <c r="R32" i="17"/>
  <c r="S32" i="17"/>
  <c r="T32" i="17"/>
  <c r="Q33" i="17"/>
  <c r="R33" i="17"/>
  <c r="S33" i="17"/>
  <c r="T33" i="17"/>
  <c r="Q34" i="17"/>
  <c r="R34" i="17"/>
  <c r="S34" i="17"/>
  <c r="T34" i="17"/>
  <c r="Q35" i="17"/>
  <c r="R35" i="17"/>
  <c r="S35" i="17"/>
  <c r="T35" i="17"/>
  <c r="Q36" i="17"/>
  <c r="R36" i="17"/>
  <c r="S36" i="17"/>
  <c r="T36" i="17"/>
  <c r="Q37" i="17"/>
  <c r="R37" i="17"/>
  <c r="S37" i="17"/>
  <c r="T37" i="17"/>
  <c r="Q38" i="17"/>
  <c r="R38" i="17"/>
  <c r="S38" i="17"/>
  <c r="T38" i="17"/>
  <c r="Q39" i="17"/>
  <c r="R39" i="17"/>
  <c r="S39" i="17"/>
  <c r="T39" i="17"/>
  <c r="T4" i="17"/>
  <c r="S4" i="17"/>
  <c r="R4" i="17"/>
  <c r="Q4" i="17"/>
  <c r="S12" i="16"/>
  <c r="T5" i="16"/>
  <c r="U12" i="16"/>
  <c r="V12" i="16"/>
  <c r="S13" i="16"/>
  <c r="T6" i="16"/>
  <c r="U13" i="16"/>
  <c r="V13" i="16"/>
  <c r="S14" i="16"/>
  <c r="T7" i="16"/>
  <c r="U14" i="16"/>
  <c r="V14" i="16"/>
  <c r="S15" i="16"/>
  <c r="T8" i="16"/>
  <c r="U15" i="16"/>
  <c r="V15" i="16"/>
  <c r="S16" i="16"/>
  <c r="T9" i="16"/>
  <c r="U16" i="16"/>
  <c r="V16" i="16"/>
  <c r="S17" i="16"/>
  <c r="T10" i="16"/>
  <c r="U17" i="16"/>
  <c r="V17" i="16"/>
  <c r="S18" i="16"/>
  <c r="T11" i="16"/>
  <c r="U18" i="16"/>
  <c r="V18" i="16"/>
  <c r="S19" i="16"/>
  <c r="T12" i="16"/>
  <c r="U19" i="16"/>
  <c r="V19" i="16"/>
  <c r="S20" i="16"/>
  <c r="T13" i="16"/>
  <c r="U20" i="16"/>
  <c r="V20" i="16"/>
  <c r="S21" i="16"/>
  <c r="T14" i="16"/>
  <c r="U21" i="16"/>
  <c r="V21" i="16"/>
  <c r="S22" i="16"/>
  <c r="T15" i="16"/>
  <c r="U22" i="16"/>
  <c r="V22" i="16"/>
  <c r="S23" i="16"/>
  <c r="T16" i="16"/>
  <c r="U23" i="16"/>
  <c r="V23" i="16"/>
  <c r="S24" i="16"/>
  <c r="T17" i="16"/>
  <c r="U24" i="16"/>
  <c r="V24" i="16"/>
  <c r="S25" i="16"/>
  <c r="T18" i="16"/>
  <c r="U25" i="16"/>
  <c r="V25" i="16"/>
  <c r="S26" i="16"/>
  <c r="T19" i="16"/>
  <c r="U26" i="16"/>
  <c r="V26" i="16"/>
  <c r="S27" i="16"/>
  <c r="T20" i="16"/>
  <c r="U27" i="16"/>
  <c r="V27" i="16"/>
  <c r="S28" i="16"/>
  <c r="T21" i="16"/>
  <c r="U28" i="16"/>
  <c r="V28" i="16"/>
  <c r="S29" i="16"/>
  <c r="T22" i="16"/>
  <c r="U29" i="16"/>
  <c r="V29" i="16"/>
  <c r="S30" i="16"/>
  <c r="T23" i="16"/>
  <c r="U30" i="16"/>
  <c r="V30" i="16"/>
  <c r="S31" i="16"/>
  <c r="T24" i="16"/>
  <c r="U31" i="16"/>
  <c r="V31" i="16"/>
  <c r="S32" i="16"/>
  <c r="T25" i="16"/>
  <c r="U32" i="16"/>
  <c r="V32" i="16"/>
  <c r="S33" i="16"/>
  <c r="T26" i="16"/>
  <c r="U33" i="16"/>
  <c r="V33" i="16"/>
  <c r="S34" i="16"/>
  <c r="T27" i="16"/>
  <c r="U34" i="16"/>
  <c r="V34" i="16"/>
  <c r="S35" i="16"/>
  <c r="T28" i="16"/>
  <c r="U35" i="16"/>
  <c r="V35" i="16"/>
  <c r="S36" i="16"/>
  <c r="T29" i="16"/>
  <c r="U36" i="16"/>
  <c r="V36" i="16"/>
  <c r="S37" i="16"/>
  <c r="T30" i="16"/>
  <c r="U37" i="16"/>
  <c r="V37" i="16"/>
  <c r="S38" i="16"/>
  <c r="T31" i="16"/>
  <c r="U38" i="16"/>
  <c r="V38" i="16"/>
  <c r="S39" i="16"/>
  <c r="T32" i="16"/>
  <c r="U39" i="16"/>
  <c r="V39" i="16"/>
  <c r="S40" i="16"/>
  <c r="T33" i="16"/>
  <c r="U40" i="16"/>
  <c r="V40" i="16"/>
  <c r="S41" i="16"/>
  <c r="T34" i="16"/>
  <c r="U41" i="16"/>
  <c r="V41" i="16"/>
  <c r="S42" i="16"/>
  <c r="T35" i="16"/>
  <c r="U42" i="16"/>
  <c r="V42" i="16"/>
  <c r="S43" i="16"/>
  <c r="T36" i="16"/>
  <c r="U43" i="16"/>
  <c r="V43" i="16"/>
  <c r="T37" i="16"/>
  <c r="T38" i="16"/>
  <c r="T39" i="16"/>
  <c r="T40" i="16"/>
  <c r="T41" i="16"/>
  <c r="T42" i="16"/>
  <c r="V11" i="16"/>
  <c r="U11" i="16"/>
  <c r="S11" i="16"/>
  <c r="T4" i="16"/>
  <c r="A47" i="16"/>
  <c r="A48" i="16"/>
  <c r="A49" i="16"/>
  <c r="A50" i="16"/>
  <c r="A51" i="16"/>
  <c r="A52" i="16"/>
  <c r="A53" i="16"/>
  <c r="A54" i="16"/>
  <c r="A55" i="16"/>
  <c r="A56" i="16"/>
  <c r="M39" i="16"/>
  <c r="N39" i="16"/>
  <c r="M40" i="16"/>
  <c r="N40" i="16"/>
  <c r="M41" i="16"/>
  <c r="N41" i="16"/>
  <c r="M42" i="16"/>
  <c r="N42" i="16"/>
  <c r="K44" i="16"/>
  <c r="L44" i="16"/>
  <c r="M44" i="16"/>
  <c r="N44" i="16"/>
  <c r="O44" i="16"/>
  <c r="P44" i="16"/>
  <c r="Q44" i="16"/>
  <c r="R44" i="16"/>
  <c r="M4" i="18"/>
  <c r="M5" i="18"/>
  <c r="M6" i="18"/>
  <c r="M7" i="18"/>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3" i="18"/>
  <c r="L4" i="18"/>
  <c r="L5" i="18"/>
  <c r="L6" i="18"/>
  <c r="L7" i="18"/>
  <c r="L8" i="18"/>
  <c r="L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3" i="18"/>
  <c r="K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3" i="18"/>
  <c r="J4" i="18"/>
  <c r="J5" i="18"/>
  <c r="J6" i="18"/>
  <c r="J7" i="18"/>
  <c r="J8" i="18"/>
  <c r="J9" i="18"/>
  <c r="J10" i="18"/>
  <c r="J11"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3" i="18"/>
  <c r="A53" i="7"/>
  <c r="E26" i="15"/>
  <c r="F26" i="15"/>
  <c r="G26" i="15"/>
  <c r="H26" i="15"/>
  <c r="I26" i="15"/>
  <c r="J26" i="15"/>
  <c r="K26" i="15"/>
  <c r="L26" i="15"/>
  <c r="M26" i="15"/>
  <c r="N26" i="15"/>
  <c r="E27" i="15"/>
  <c r="F27" i="15"/>
  <c r="G27" i="15"/>
  <c r="H27" i="15"/>
  <c r="I27" i="15"/>
  <c r="J27" i="15"/>
  <c r="K27" i="15"/>
  <c r="L27" i="15"/>
  <c r="M27" i="15"/>
  <c r="N27" i="15"/>
  <c r="E28" i="15"/>
  <c r="F28" i="15"/>
  <c r="G28" i="15"/>
  <c r="H28" i="15"/>
  <c r="I28" i="15"/>
  <c r="J28" i="15"/>
  <c r="K28" i="15"/>
  <c r="L28" i="15"/>
  <c r="M28" i="15"/>
  <c r="N28" i="15"/>
  <c r="AI42" i="9"/>
  <c r="AV42" i="9" s="1"/>
  <c r="AJ42" i="9"/>
  <c r="AW42" i="9" s="1"/>
  <c r="AG42" i="9"/>
  <c r="AT42" i="9" s="1"/>
  <c r="AH42" i="9"/>
  <c r="AU42" i="9" s="1"/>
  <c r="AE42" i="9"/>
  <c r="AR42" i="9" s="1"/>
  <c r="AF42" i="9"/>
  <c r="AS42" i="9" s="1"/>
  <c r="AC42" i="9"/>
  <c r="AD42" i="9"/>
  <c r="AA42" i="9"/>
  <c r="O42" i="16" s="1"/>
  <c r="AB42" i="9"/>
  <c r="AO42" i="9" s="1"/>
  <c r="Y42" i="9"/>
  <c r="AL42" i="9" s="1"/>
  <c r="Z42" i="9"/>
  <c r="L42" i="16" s="1"/>
  <c r="BM55" i="8"/>
  <c r="BI55" i="8"/>
  <c r="BE55" i="8"/>
  <c r="BA55" i="8"/>
  <c r="AW55" i="8"/>
  <c r="AR55" i="8"/>
  <c r="AN55" i="8"/>
  <c r="AJ55" i="8"/>
  <c r="AF55" i="8"/>
  <c r="AB55" i="8"/>
  <c r="V55" i="8"/>
  <c r="R55" i="8"/>
  <c r="N55" i="8"/>
  <c r="J55" i="8"/>
  <c r="F55" i="8"/>
  <c r="BM54" i="8"/>
  <c r="BI54" i="8"/>
  <c r="BE54" i="8"/>
  <c r="BA54" i="8"/>
  <c r="AW54" i="8"/>
  <c r="AR54" i="8"/>
  <c r="AN54" i="8"/>
  <c r="AJ54" i="8"/>
  <c r="AF54" i="8"/>
  <c r="AB54" i="8"/>
  <c r="V54" i="8"/>
  <c r="R54" i="8"/>
  <c r="N54" i="8"/>
  <c r="J54" i="8"/>
  <c r="F54" i="8"/>
  <c r="AR25" i="14"/>
  <c r="CU28" i="6"/>
  <c r="CI48" i="2"/>
  <c r="DE49" i="1"/>
  <c r="N9" i="7"/>
  <c r="N10" i="7"/>
  <c r="N11" i="7"/>
  <c r="N12" i="7"/>
  <c r="L25" i="7"/>
  <c r="L26" i="7"/>
  <c r="L27" i="7"/>
  <c r="C28" i="7"/>
  <c r="C29" i="7"/>
  <c r="C30" i="7"/>
  <c r="B40" i="7"/>
  <c r="B41" i="7"/>
  <c r="B42" i="7"/>
  <c r="A50" i="7"/>
  <c r="A51" i="7"/>
  <c r="A52" i="7"/>
  <c r="BF28" i="6"/>
  <c r="BZ28" i="6" s="1"/>
  <c r="BF27" i="6"/>
  <c r="BZ27" i="6" s="1"/>
  <c r="BF26" i="6"/>
  <c r="BZ26" i="6" s="1"/>
  <c r="AN28" i="6"/>
  <c r="BY28" i="6" s="1"/>
  <c r="AN27" i="6"/>
  <c r="BY27" i="6" s="1"/>
  <c r="AN26" i="6"/>
  <c r="BY26" i="6" s="1"/>
  <c r="V28" i="6"/>
  <c r="BX28" i="6" s="1"/>
  <c r="V27" i="6"/>
  <c r="BX27" i="6" s="1"/>
  <c r="V26" i="6"/>
  <c r="BX26" i="6" s="1"/>
  <c r="U10" i="14"/>
  <c r="P9" i="7" s="1"/>
  <c r="U11" i="14"/>
  <c r="P10" i="7" s="1"/>
  <c r="U9" i="14"/>
  <c r="CH9" i="6" s="1"/>
  <c r="G11" i="14"/>
  <c r="O10" i="7" s="1"/>
  <c r="G10" i="14"/>
  <c r="O9" i="7" s="1"/>
  <c r="G9" i="14"/>
  <c r="O8" i="7" s="1"/>
  <c r="BM41" i="2"/>
  <c r="AW40" i="2"/>
  <c r="BM40" i="2" s="1"/>
  <c r="AW39" i="2"/>
  <c r="BM39" i="2" s="1"/>
  <c r="BL41" i="2"/>
  <c r="AI40" i="2"/>
  <c r="BL40" i="2" s="1"/>
  <c r="AI39" i="2"/>
  <c r="BL39" i="2" s="1"/>
  <c r="BK41" i="2"/>
  <c r="U40" i="2"/>
  <c r="BK40" i="2" s="1"/>
  <c r="BN40" i="2" s="1"/>
  <c r="H39" i="7" s="1"/>
  <c r="U39" i="2"/>
  <c r="BK39" i="2" s="1"/>
  <c r="G41" i="2"/>
  <c r="I40" i="7" s="1"/>
  <c r="G40" i="2"/>
  <c r="I39" i="7" s="1"/>
  <c r="G39" i="2"/>
  <c r="I38" i="7" s="1"/>
  <c r="BT52" i="1"/>
  <c r="F51" i="7" s="1"/>
  <c r="BT51" i="1"/>
  <c r="F50" i="7" s="1"/>
  <c r="BT50" i="1"/>
  <c r="F49" i="7" s="1"/>
  <c r="BC52" i="1"/>
  <c r="CK52" i="1" s="1"/>
  <c r="BC51" i="1"/>
  <c r="CK51" i="1" s="1"/>
  <c r="BC50" i="1"/>
  <c r="CK50" i="1" s="1"/>
  <c r="AL52" i="1"/>
  <c r="CJ52" i="1" s="1"/>
  <c r="AL51" i="1"/>
  <c r="CJ51" i="1" s="1"/>
  <c r="AL50" i="1"/>
  <c r="CJ50" i="1" s="1"/>
  <c r="U52" i="1"/>
  <c r="CI52" i="1" s="1"/>
  <c r="U51" i="1"/>
  <c r="U50" i="1"/>
  <c r="CI50" i="1" s="1"/>
  <c r="G51" i="1"/>
  <c r="D50" i="7" s="1"/>
  <c r="G52" i="1"/>
  <c r="D51" i="7" s="1"/>
  <c r="G50" i="1"/>
  <c r="D49" i="7" s="1"/>
  <c r="I20" i="10"/>
  <c r="AK222" i="3"/>
  <c r="AK221" i="3"/>
  <c r="AJ221" i="3"/>
  <c r="AJ222" i="3"/>
  <c r="AI217" i="3"/>
  <c r="AH218" i="3"/>
  <c r="AH219" i="3"/>
  <c r="AH220" i="3"/>
  <c r="AH217" i="3"/>
  <c r="AG218" i="3"/>
  <c r="AG219" i="3"/>
  <c r="AG217" i="3"/>
  <c r="AE219" i="3"/>
  <c r="AJ219" i="3" s="1"/>
  <c r="AE218" i="3"/>
  <c r="AJ218" i="3" s="1"/>
  <c r="AE217" i="3"/>
  <c r="AJ217" i="3" s="1"/>
  <c r="W49" i="16" l="1"/>
  <c r="X49" i="16"/>
  <c r="R42" i="16"/>
  <c r="FI56" i="5"/>
  <c r="FI50" i="5"/>
  <c r="FI52" i="5" s="1"/>
  <c r="FI55" i="5" s="1"/>
  <c r="FH56" i="5"/>
  <c r="FN27" i="5"/>
  <c r="FE26" i="5"/>
  <c r="FN19" i="5"/>
  <c r="FE18" i="5"/>
  <c r="FF21" i="5"/>
  <c r="FO22" i="5"/>
  <c r="FO30" i="5"/>
  <c r="FF29" i="5"/>
  <c r="FG23" i="5"/>
  <c r="FP24" i="5"/>
  <c r="FQ29" i="5"/>
  <c r="FH28" i="5"/>
  <c r="FQ21" i="5"/>
  <c r="FH20" i="5"/>
  <c r="FR23" i="5"/>
  <c r="FI21" i="5"/>
  <c r="FJ18" i="5"/>
  <c r="FS19" i="5"/>
  <c r="GB18" i="5" s="1"/>
  <c r="FJ26" i="5"/>
  <c r="FS27" i="5"/>
  <c r="FK25" i="5"/>
  <c r="FT26" i="5"/>
  <c r="FT18" i="5"/>
  <c r="FK17" i="5"/>
  <c r="FL20" i="5"/>
  <c r="FU21" i="5"/>
  <c r="FL28" i="5"/>
  <c r="FU29" i="5"/>
  <c r="FM21" i="5"/>
  <c r="FV22" i="5"/>
  <c r="FM29" i="5"/>
  <c r="FV30" i="5"/>
  <c r="FN26" i="5"/>
  <c r="FE25" i="5"/>
  <c r="FN18" i="5"/>
  <c r="FE17" i="5"/>
  <c r="FF22" i="5"/>
  <c r="FO23" i="5"/>
  <c r="FX22" i="5" s="1"/>
  <c r="FP17" i="5"/>
  <c r="FY16" i="5" s="1"/>
  <c r="FG16" i="5"/>
  <c r="FG24" i="5"/>
  <c r="FP25" i="5"/>
  <c r="FQ28" i="5"/>
  <c r="FH27" i="5"/>
  <c r="FQ20" i="5"/>
  <c r="FH19" i="5"/>
  <c r="FR24" i="5"/>
  <c r="GA22" i="5" s="1"/>
  <c r="FI22" i="5"/>
  <c r="FJ19" i="5"/>
  <c r="FS20" i="5"/>
  <c r="FJ27" i="5"/>
  <c r="FS28" i="5"/>
  <c r="GB27" i="5" s="1"/>
  <c r="FT25" i="5"/>
  <c r="FK24" i="5"/>
  <c r="FT17" i="5"/>
  <c r="FK16" i="5"/>
  <c r="FU22" i="5"/>
  <c r="FL21" i="5"/>
  <c r="FL29" i="5"/>
  <c r="FU30" i="5"/>
  <c r="GD29" i="5" s="1"/>
  <c r="FM22" i="5"/>
  <c r="FV23" i="5"/>
  <c r="GE22" i="5" s="1"/>
  <c r="FN25" i="5"/>
  <c r="FE24" i="5"/>
  <c r="FN17" i="5"/>
  <c r="FW16" i="5" s="1"/>
  <c r="FE16" i="5"/>
  <c r="FF23" i="5"/>
  <c r="FO24" i="5"/>
  <c r="FG17" i="5"/>
  <c r="FP18" i="5"/>
  <c r="FG25" i="5"/>
  <c r="FP26" i="5"/>
  <c r="FQ27" i="5"/>
  <c r="FH26" i="5"/>
  <c r="FQ19" i="5"/>
  <c r="FH18" i="5"/>
  <c r="FR25" i="5"/>
  <c r="GA23" i="5" s="1"/>
  <c r="FI23" i="5"/>
  <c r="FS21" i="5"/>
  <c r="FJ20" i="5"/>
  <c r="FS29" i="5"/>
  <c r="FJ28" i="5"/>
  <c r="FT24" i="5"/>
  <c r="FK23" i="5"/>
  <c r="FK15" i="5"/>
  <c r="FT16" i="5"/>
  <c r="GC15" i="5" s="1"/>
  <c r="FL22" i="5"/>
  <c r="FU23" i="5"/>
  <c r="FM15" i="5"/>
  <c r="FV16" i="5"/>
  <c r="GE15" i="5" s="1"/>
  <c r="FM23" i="5"/>
  <c r="FV24" i="5"/>
  <c r="FE23" i="5"/>
  <c r="FN24" i="5"/>
  <c r="FF16" i="5"/>
  <c r="FO17" i="5"/>
  <c r="FX16" i="5" s="1"/>
  <c r="FF24" i="5"/>
  <c r="FO25" i="5"/>
  <c r="FP19" i="5"/>
  <c r="FG18" i="5"/>
  <c r="FP27" i="5"/>
  <c r="FY26" i="5" s="1"/>
  <c r="FG26" i="5"/>
  <c r="FQ26" i="5"/>
  <c r="FH25" i="5"/>
  <c r="FQ18" i="5"/>
  <c r="FH17" i="5"/>
  <c r="FI24" i="5"/>
  <c r="FR26" i="5"/>
  <c r="FS22" i="5"/>
  <c r="GB21" i="5" s="1"/>
  <c r="FJ21" i="5"/>
  <c r="FS30" i="5"/>
  <c r="FJ29" i="5"/>
  <c r="FK22" i="5"/>
  <c r="FT23" i="5"/>
  <c r="FL15" i="5"/>
  <c r="FU16" i="5"/>
  <c r="GD15" i="5" s="1"/>
  <c r="FL23" i="5"/>
  <c r="FU24" i="5"/>
  <c r="FM16" i="5"/>
  <c r="FV17" i="5"/>
  <c r="FV25" i="5"/>
  <c r="FM24" i="5"/>
  <c r="FE22" i="5"/>
  <c r="FN23" i="5"/>
  <c r="FF17" i="5"/>
  <c r="FO18" i="5"/>
  <c r="FO26" i="5"/>
  <c r="FF25" i="5"/>
  <c r="FP20" i="5"/>
  <c r="FG19" i="5"/>
  <c r="FP28" i="5"/>
  <c r="FG27" i="5"/>
  <c r="FQ25" i="5"/>
  <c r="FH24" i="5"/>
  <c r="FQ17" i="5"/>
  <c r="FZ16" i="5" s="1"/>
  <c r="FH16" i="5"/>
  <c r="FR27" i="5"/>
  <c r="FI25" i="5"/>
  <c r="FJ22" i="5"/>
  <c r="FS23" i="5"/>
  <c r="FT30" i="5"/>
  <c r="GC29" i="5" s="1"/>
  <c r="FK29" i="5"/>
  <c r="FK21" i="5"/>
  <c r="FT22" i="5"/>
  <c r="FL16" i="5"/>
  <c r="FU17" i="5"/>
  <c r="FU25" i="5"/>
  <c r="FL24" i="5"/>
  <c r="FM17" i="5"/>
  <c r="FV18" i="5"/>
  <c r="FV26" i="5"/>
  <c r="FM25" i="5"/>
  <c r="FH50" i="5"/>
  <c r="FH52" i="5" s="1"/>
  <c r="FE29" i="5"/>
  <c r="FN30" i="5"/>
  <c r="FE21" i="5"/>
  <c r="FN22" i="5"/>
  <c r="FO19" i="5"/>
  <c r="FX18" i="5" s="1"/>
  <c r="FF18" i="5"/>
  <c r="FO27" i="5"/>
  <c r="FX26" i="5" s="1"/>
  <c r="FF26" i="5"/>
  <c r="FP21" i="5"/>
  <c r="FG20" i="5"/>
  <c r="FP29" i="5"/>
  <c r="FY28" i="5" s="1"/>
  <c r="FG28" i="5"/>
  <c r="FQ24" i="5"/>
  <c r="FH23" i="5"/>
  <c r="FR19" i="5"/>
  <c r="GA18" i="5" s="1"/>
  <c r="FI18" i="5"/>
  <c r="FR28" i="5"/>
  <c r="FI26" i="5"/>
  <c r="FS24" i="5"/>
  <c r="GB23" i="5" s="1"/>
  <c r="FJ23" i="5"/>
  <c r="FK28" i="5"/>
  <c r="FT29" i="5"/>
  <c r="FT21" i="5"/>
  <c r="FK20" i="5"/>
  <c r="FL17" i="5"/>
  <c r="FU18" i="5"/>
  <c r="GD17" i="5" s="1"/>
  <c r="FU26" i="5"/>
  <c r="GD25" i="5" s="1"/>
  <c r="FL25" i="5"/>
  <c r="FM18" i="5"/>
  <c r="FV19" i="5"/>
  <c r="FM26" i="5"/>
  <c r="FV27" i="5"/>
  <c r="FE28" i="5"/>
  <c r="FN29" i="5"/>
  <c r="FN21" i="5"/>
  <c r="FE20" i="5"/>
  <c r="FO20" i="5"/>
  <c r="FX19" i="5" s="1"/>
  <c r="FF19" i="5"/>
  <c r="FO28" i="5"/>
  <c r="FX27" i="5" s="1"/>
  <c r="FF27" i="5"/>
  <c r="FG21" i="5"/>
  <c r="FP22" i="5"/>
  <c r="FY21" i="5" s="1"/>
  <c r="FP30" i="5"/>
  <c r="FY29" i="5" s="1"/>
  <c r="FG29" i="5"/>
  <c r="FQ23" i="5"/>
  <c r="FH22" i="5"/>
  <c r="FR20" i="5"/>
  <c r="GA19" i="5" s="1"/>
  <c r="FI19" i="5"/>
  <c r="FR29" i="5"/>
  <c r="GA27" i="5" s="1"/>
  <c r="FI27" i="5"/>
  <c r="FS25" i="5"/>
  <c r="GB24" i="5" s="1"/>
  <c r="FJ24" i="5"/>
  <c r="FK27" i="5"/>
  <c r="FT28" i="5"/>
  <c r="FK19" i="5"/>
  <c r="FT20" i="5"/>
  <c r="FL18" i="5"/>
  <c r="FU19" i="5"/>
  <c r="GD18" i="5" s="1"/>
  <c r="FU27" i="5"/>
  <c r="GD26" i="5" s="1"/>
  <c r="FL26" i="5"/>
  <c r="FM19" i="5"/>
  <c r="FV20" i="5"/>
  <c r="GE19" i="5" s="1"/>
  <c r="FM27" i="5"/>
  <c r="FV28" i="5"/>
  <c r="GE27" i="5" s="1"/>
  <c r="FJ55" i="5"/>
  <c r="FJ54" i="5"/>
  <c r="FE27" i="5"/>
  <c r="FN28" i="5"/>
  <c r="FN20" i="5"/>
  <c r="FE19" i="5"/>
  <c r="FF20" i="5"/>
  <c r="FO21" i="5"/>
  <c r="FF28" i="5"/>
  <c r="FO29" i="5"/>
  <c r="FX28" i="5" s="1"/>
  <c r="FP23" i="5"/>
  <c r="FY22" i="5" s="1"/>
  <c r="FG22" i="5"/>
  <c r="FQ30" i="5"/>
  <c r="FH29" i="5"/>
  <c r="FQ22" i="5"/>
  <c r="FH21" i="5"/>
  <c r="FR21" i="5"/>
  <c r="GA20" i="5" s="1"/>
  <c r="FI20" i="5"/>
  <c r="FR30" i="5"/>
  <c r="GA28" i="5" s="1"/>
  <c r="FI28" i="5"/>
  <c r="FJ25" i="5"/>
  <c r="FS26" i="5"/>
  <c r="FK26" i="5"/>
  <c r="FT27" i="5"/>
  <c r="FT19" i="5"/>
  <c r="GC18" i="5" s="1"/>
  <c r="FK18" i="5"/>
  <c r="FL19" i="5"/>
  <c r="FU20" i="5"/>
  <c r="FU28" i="5"/>
  <c r="FL27" i="5"/>
  <c r="FM20" i="5"/>
  <c r="FV21" i="5"/>
  <c r="GE20" i="5" s="1"/>
  <c r="FM28" i="5"/>
  <c r="FV29" i="5"/>
  <c r="FK55" i="5"/>
  <c r="FK54" i="5"/>
  <c r="ET7" i="23"/>
  <c r="EP8" i="23"/>
  <c r="ER8" i="23" s="1"/>
  <c r="ES8" i="23" s="1"/>
  <c r="CI35" i="6"/>
  <c r="CI4" i="6"/>
  <c r="CI12" i="6"/>
  <c r="CI20" i="6"/>
  <c r="CI28" i="6"/>
  <c r="CI36" i="6"/>
  <c r="CI37" i="6"/>
  <c r="CI6" i="6"/>
  <c r="CI14" i="6"/>
  <c r="CI22" i="6"/>
  <c r="CI30" i="6"/>
  <c r="CI8" i="6"/>
  <c r="CI16" i="6"/>
  <c r="CI24" i="6"/>
  <c r="CI9" i="6"/>
  <c r="CI17" i="6"/>
  <c r="CI25" i="6"/>
  <c r="CI33" i="6"/>
  <c r="CI10" i="6"/>
  <c r="CI18" i="6"/>
  <c r="CI26" i="6"/>
  <c r="CI34" i="6"/>
  <c r="CI40" i="6"/>
  <c r="CI3" i="6"/>
  <c r="CI38" i="6"/>
  <c r="CI39" i="6"/>
  <c r="CI7" i="6"/>
  <c r="CI15" i="6"/>
  <c r="CI23" i="6"/>
  <c r="CI31" i="6"/>
  <c r="CI41" i="6"/>
  <c r="CI32" i="6"/>
  <c r="CX8" i="22"/>
  <c r="CT9" i="22"/>
  <c r="CV9" i="22" s="1"/>
  <c r="CW9" i="22" s="1"/>
  <c r="I42" i="16"/>
  <c r="I35" i="16"/>
  <c r="I39" i="16"/>
  <c r="I38" i="16"/>
  <c r="I36" i="16"/>
  <c r="H54" i="18"/>
  <c r="H56" i="18"/>
  <c r="H53" i="18"/>
  <c r="H51" i="18"/>
  <c r="H52" i="18"/>
  <c r="H55" i="18"/>
  <c r="I40" i="16"/>
  <c r="I44" i="16"/>
  <c r="I37" i="16"/>
  <c r="H49" i="18"/>
  <c r="I41" i="16"/>
  <c r="Y49" i="16"/>
  <c r="CN7" i="20"/>
  <c r="CJ8" i="20"/>
  <c r="CL8" i="20" s="1"/>
  <c r="CM8" i="20" s="1"/>
  <c r="R56" i="18"/>
  <c r="T56" i="18"/>
  <c r="S56" i="18"/>
  <c r="CC7" i="21"/>
  <c r="BY8" i="21"/>
  <c r="CA8" i="21" s="1"/>
  <c r="CB8" i="21" s="1"/>
  <c r="Q42" i="16"/>
  <c r="AM42" i="9"/>
  <c r="AN42" i="9"/>
  <c r="BF42" i="9"/>
  <c r="BD42" i="9"/>
  <c r="BG42" i="9"/>
  <c r="AP42" i="9"/>
  <c r="BE42" i="9" s="1"/>
  <c r="BH42" i="9" s="1"/>
  <c r="AQ42" i="9"/>
  <c r="K42" i="16"/>
  <c r="P42" i="16"/>
  <c r="I43" i="16"/>
  <c r="CL58" i="1"/>
  <c r="E57" i="7" s="1"/>
  <c r="C58" i="18" s="1"/>
  <c r="DT60" i="1"/>
  <c r="BN47" i="2"/>
  <c r="H46" i="7" s="1"/>
  <c r="C48" i="16" s="1"/>
  <c r="BO42" i="2"/>
  <c r="BR42" i="2" s="1"/>
  <c r="J41" i="7" s="1"/>
  <c r="BN39" i="2"/>
  <c r="H38" i="7" s="1"/>
  <c r="BO39" i="2"/>
  <c r="BR39" i="2" s="1"/>
  <c r="J38" i="7" s="1"/>
  <c r="E40" i="16" s="1"/>
  <c r="BO41" i="2"/>
  <c r="BR41" i="2" s="1"/>
  <c r="J40" i="7" s="1"/>
  <c r="E42" i="16" s="1"/>
  <c r="BN41" i="2"/>
  <c r="H40" i="7" s="1"/>
  <c r="C42" i="16" s="1"/>
  <c r="BN43" i="2"/>
  <c r="H42" i="7" s="1"/>
  <c r="C44" i="16" s="1"/>
  <c r="BO44" i="2"/>
  <c r="BR44" i="2" s="1"/>
  <c r="J43" i="7" s="1"/>
  <c r="E45" i="16" s="1"/>
  <c r="BN44" i="2"/>
  <c r="H43" i="7" s="1"/>
  <c r="C45" i="16" s="1"/>
  <c r="BN42" i="2"/>
  <c r="H41" i="7" s="1"/>
  <c r="C43" i="16" s="1"/>
  <c r="K39" i="7"/>
  <c r="C41" i="17" s="1"/>
  <c r="CB28" i="6"/>
  <c r="CE28" i="6" s="1"/>
  <c r="M27" i="7" s="1"/>
  <c r="E29" i="17" s="1"/>
  <c r="CB38" i="6"/>
  <c r="CE38" i="6" s="1"/>
  <c r="M37" i="7" s="1"/>
  <c r="E39" i="17" s="1"/>
  <c r="P8" i="7"/>
  <c r="F10" i="17" s="1"/>
  <c r="P13" i="7"/>
  <c r="CA37" i="6"/>
  <c r="K36" i="7" s="1"/>
  <c r="C38" i="17" s="1"/>
  <c r="CB32" i="6"/>
  <c r="CE32" i="6" s="1"/>
  <c r="M31" i="7" s="1"/>
  <c r="E33" i="17" s="1"/>
  <c r="CA30" i="6"/>
  <c r="K29" i="7" s="1"/>
  <c r="C31" i="17" s="1"/>
  <c r="CB36" i="6"/>
  <c r="CE36" i="6" s="1"/>
  <c r="M35" i="7" s="1"/>
  <c r="E37" i="17" s="1"/>
  <c r="CA39" i="6"/>
  <c r="K38" i="7" s="1"/>
  <c r="C40" i="17" s="1"/>
  <c r="M39" i="7"/>
  <c r="E41" i="17" s="1"/>
  <c r="CA32" i="6"/>
  <c r="K31" i="7" s="1"/>
  <c r="C33" i="17" s="1"/>
  <c r="CB37" i="6"/>
  <c r="CE37" i="6" s="1"/>
  <c r="M36" i="7" s="1"/>
  <c r="E38" i="17" s="1"/>
  <c r="CB31" i="6"/>
  <c r="CE31" i="6" s="1"/>
  <c r="M30" i="7" s="1"/>
  <c r="E32" i="17" s="1"/>
  <c r="CA31" i="6"/>
  <c r="K30" i="7" s="1"/>
  <c r="C32" i="17" s="1"/>
  <c r="CA36" i="6"/>
  <c r="K35" i="7" s="1"/>
  <c r="C37" i="17" s="1"/>
  <c r="CA26" i="6"/>
  <c r="K25" i="7" s="1"/>
  <c r="C27" i="17" s="1"/>
  <c r="CB26" i="6"/>
  <c r="CE26" i="6" s="1"/>
  <c r="M25" i="7" s="1"/>
  <c r="E27" i="17" s="1"/>
  <c r="CB29" i="6"/>
  <c r="CE29" i="6" s="1"/>
  <c r="M28" i="7" s="1"/>
  <c r="E30" i="17" s="1"/>
  <c r="CA29" i="6"/>
  <c r="K28" i="7" s="1"/>
  <c r="C30" i="17" s="1"/>
  <c r="P28" i="15"/>
  <c r="P29" i="17" s="1"/>
  <c r="CB35" i="6"/>
  <c r="CE35" i="6" s="1"/>
  <c r="M34" i="7" s="1"/>
  <c r="E36" i="17" s="1"/>
  <c r="CA38" i="6"/>
  <c r="K37" i="7" s="1"/>
  <c r="C39" i="17" s="1"/>
  <c r="CA27" i="6"/>
  <c r="K26" i="7" s="1"/>
  <c r="C28" i="17" s="1"/>
  <c r="CA28" i="6"/>
  <c r="K27" i="7" s="1"/>
  <c r="C29" i="17" s="1"/>
  <c r="CB27" i="6"/>
  <c r="CE27" i="6" s="1"/>
  <c r="M26" i="7" s="1"/>
  <c r="E28" i="17" s="1"/>
  <c r="P27" i="15"/>
  <c r="P28" i="17" s="1"/>
  <c r="P26" i="15"/>
  <c r="P27" i="17" s="1"/>
  <c r="O27" i="15"/>
  <c r="O28" i="17" s="1"/>
  <c r="O26" i="15"/>
  <c r="O27" i="17" s="1"/>
  <c r="CH12" i="6"/>
  <c r="CL54" i="1"/>
  <c r="E53" i="7" s="1"/>
  <c r="C54" i="18" s="1"/>
  <c r="CM55" i="1"/>
  <c r="CP55" i="1" s="1"/>
  <c r="G54" i="7" s="1"/>
  <c r="CL51" i="1"/>
  <c r="E50" i="7" s="1"/>
  <c r="C51" i="18" s="1"/>
  <c r="CM50" i="1"/>
  <c r="CP50" i="1" s="1"/>
  <c r="G49" i="7" s="1"/>
  <c r="CM52" i="1"/>
  <c r="CP52" i="1" s="1"/>
  <c r="G51" i="7" s="1"/>
  <c r="CM53" i="1"/>
  <c r="CP53" i="1" s="1"/>
  <c r="G52" i="7" s="1"/>
  <c r="CI51" i="1"/>
  <c r="CM51" i="1" s="1"/>
  <c r="CP51" i="1" s="1"/>
  <c r="G50" i="7" s="1"/>
  <c r="CL55" i="1"/>
  <c r="E54" i="7" s="1"/>
  <c r="CI54" i="1"/>
  <c r="CM54" i="1" s="1"/>
  <c r="CP54" i="1" s="1"/>
  <c r="G53" i="7" s="1"/>
  <c r="CL52" i="1"/>
  <c r="E51" i="7" s="1"/>
  <c r="C52" i="18" s="1"/>
  <c r="CL50" i="1"/>
  <c r="E49" i="7" s="1"/>
  <c r="C50" i="18" s="1"/>
  <c r="CK58" i="1"/>
  <c r="CL53" i="1"/>
  <c r="E52" i="7" s="1"/>
  <c r="C53" i="18" s="1"/>
  <c r="CH16" i="6"/>
  <c r="CH15" i="6"/>
  <c r="CH11" i="6"/>
  <c r="P12" i="7"/>
  <c r="F14" i="17" s="1"/>
  <c r="CH10" i="6"/>
  <c r="P17" i="7"/>
  <c r="F19" i="17" s="1"/>
  <c r="BO47" i="2"/>
  <c r="BR47" i="2" s="1"/>
  <c r="J46" i="7" s="1"/>
  <c r="E48" i="16" s="1"/>
  <c r="CB39" i="6"/>
  <c r="CE39" i="6" s="1"/>
  <c r="M38" i="7" s="1"/>
  <c r="E40" i="17" s="1"/>
  <c r="CI58" i="1"/>
  <c r="CH17" i="6"/>
  <c r="CA34" i="6"/>
  <c r="K33" i="7" s="1"/>
  <c r="C35" i="17" s="1"/>
  <c r="CA35" i="6"/>
  <c r="K34" i="7" s="1"/>
  <c r="C36" i="17" s="1"/>
  <c r="CM57" i="1"/>
  <c r="CP57" i="1" s="1"/>
  <c r="G56" i="7" s="1"/>
  <c r="CM56" i="1"/>
  <c r="CP56" i="1" s="1"/>
  <c r="G55" i="7" s="1"/>
  <c r="CB33" i="6"/>
  <c r="CE33" i="6" s="1"/>
  <c r="M32" i="7" s="1"/>
  <c r="E34" i="17" s="1"/>
  <c r="CA33" i="6"/>
  <c r="K32" i="7" s="1"/>
  <c r="C34" i="17" s="1"/>
  <c r="BO45" i="2"/>
  <c r="BR45" i="2" s="1"/>
  <c r="J44" i="7" s="1"/>
  <c r="E46" i="16" s="1"/>
  <c r="BN45" i="2"/>
  <c r="H44" i="7" s="1"/>
  <c r="C46" i="16" s="1"/>
  <c r="BN46" i="2"/>
  <c r="H45" i="7" s="1"/>
  <c r="BO46" i="2"/>
  <c r="BR46" i="2" s="1"/>
  <c r="J45" i="7" s="1"/>
  <c r="E47" i="16" s="1"/>
  <c r="CL56" i="1"/>
  <c r="E55" i="7" s="1"/>
  <c r="C56" i="18" s="1"/>
  <c r="CL57" i="1"/>
  <c r="E56" i="7" s="1"/>
  <c r="C57" i="18" s="1"/>
  <c r="CB34" i="6"/>
  <c r="CE34" i="6" s="1"/>
  <c r="M33" i="7" s="1"/>
  <c r="E35" i="17" s="1"/>
  <c r="CB30" i="6"/>
  <c r="CE30" i="6" s="1"/>
  <c r="M29" i="7" s="1"/>
  <c r="E31" i="17" s="1"/>
  <c r="BO43" i="2"/>
  <c r="BR43" i="2" s="1"/>
  <c r="J42" i="7" s="1"/>
  <c r="E44" i="16" s="1"/>
  <c r="H47" i="18"/>
  <c r="H46" i="18"/>
  <c r="H45" i="18"/>
  <c r="H48" i="18"/>
  <c r="H50" i="18"/>
  <c r="O28" i="15"/>
  <c r="O29" i="17" s="1"/>
  <c r="BO40" i="2"/>
  <c r="BR40" i="2" s="1"/>
  <c r="J39" i="7" s="1"/>
  <c r="E41" i="16" s="1"/>
  <c r="N25" i="15"/>
  <c r="N24" i="15"/>
  <c r="N8" i="17" s="1"/>
  <c r="L25" i="15"/>
  <c r="L24" i="15"/>
  <c r="J25" i="15"/>
  <c r="J24" i="15"/>
  <c r="H25" i="15"/>
  <c r="H24" i="15"/>
  <c r="F25" i="15"/>
  <c r="L26" i="17" s="1"/>
  <c r="F24" i="15"/>
  <c r="L25" i="17" s="1"/>
  <c r="M25" i="15"/>
  <c r="M24" i="15"/>
  <c r="M8" i="17" s="1"/>
  <c r="K25" i="15"/>
  <c r="K24" i="15"/>
  <c r="I25" i="15"/>
  <c r="I24" i="15"/>
  <c r="G25" i="15"/>
  <c r="G24" i="15"/>
  <c r="E25" i="15"/>
  <c r="K26" i="17" s="1"/>
  <c r="E24" i="15"/>
  <c r="K25" i="17" s="1"/>
  <c r="BF25" i="6"/>
  <c r="BZ25" i="6" s="1"/>
  <c r="BF24" i="6"/>
  <c r="BZ24" i="6" s="1"/>
  <c r="AN25" i="6"/>
  <c r="BY25" i="6" s="1"/>
  <c r="AN24" i="6"/>
  <c r="BY24" i="6" s="1"/>
  <c r="V25" i="6"/>
  <c r="BX25" i="6" s="1"/>
  <c r="V24" i="6"/>
  <c r="BX24" i="6" s="1"/>
  <c r="G25" i="6"/>
  <c r="L24" i="7" s="1"/>
  <c r="D26" i="17" s="1"/>
  <c r="G24" i="6"/>
  <c r="L23" i="7" s="1"/>
  <c r="D25" i="17" s="1"/>
  <c r="U8" i="14"/>
  <c r="CH8" i="6" s="1"/>
  <c r="U7" i="14"/>
  <c r="CH7" i="6" s="1"/>
  <c r="G8" i="14"/>
  <c r="O7" i="7" s="1"/>
  <c r="F9" i="16" s="1"/>
  <c r="G7" i="14"/>
  <c r="AW38" i="2"/>
  <c r="BM38" i="2" s="1"/>
  <c r="AW37" i="2"/>
  <c r="AI38" i="2"/>
  <c r="BL38" i="2" s="1"/>
  <c r="AI37" i="2"/>
  <c r="U38" i="2"/>
  <c r="BK38" i="2" s="1"/>
  <c r="U37" i="2"/>
  <c r="BK37" i="2" s="1"/>
  <c r="G38" i="2"/>
  <c r="G37" i="2"/>
  <c r="I36" i="7" s="1"/>
  <c r="D38" i="16" s="1"/>
  <c r="BT49" i="1"/>
  <c r="F48" i="7" s="1"/>
  <c r="D49" i="18" s="1"/>
  <c r="BT48" i="1"/>
  <c r="F47" i="7" s="1"/>
  <c r="D48" i="18" s="1"/>
  <c r="BC49" i="1"/>
  <c r="CK49" i="1" s="1"/>
  <c r="BC48" i="1"/>
  <c r="CK48" i="1" s="1"/>
  <c r="AL49" i="1"/>
  <c r="CJ49" i="1" s="1"/>
  <c r="AL48" i="1"/>
  <c r="CJ48" i="1" s="1"/>
  <c r="U49" i="1"/>
  <c r="U48" i="1"/>
  <c r="CI48" i="1" s="1"/>
  <c r="G49" i="1"/>
  <c r="D48" i="7" s="1"/>
  <c r="B49" i="18" s="1"/>
  <c r="G48" i="1"/>
  <c r="D47" i="7" s="1"/>
  <c r="B48" i="18" s="1"/>
  <c r="AI41" i="9"/>
  <c r="AV41" i="9" s="1"/>
  <c r="AJ41" i="9"/>
  <c r="AW41" i="9" s="1"/>
  <c r="AG41" i="9"/>
  <c r="AT41" i="9" s="1"/>
  <c r="AH41" i="9"/>
  <c r="AU41" i="9" s="1"/>
  <c r="AE41" i="9"/>
  <c r="AR41" i="9" s="1"/>
  <c r="AF41" i="9"/>
  <c r="AS41" i="9" s="1"/>
  <c r="AC41" i="9"/>
  <c r="AD41" i="9"/>
  <c r="AA41" i="9"/>
  <c r="AB41" i="9"/>
  <c r="Y41" i="9"/>
  <c r="K41" i="16" s="1"/>
  <c r="Z41" i="9"/>
  <c r="L41" i="16" s="1"/>
  <c r="AM41" i="9"/>
  <c r="AI40" i="9"/>
  <c r="M11" i="16" s="1"/>
  <c r="AJ40" i="9"/>
  <c r="AW40" i="9" s="1"/>
  <c r="AG40" i="9"/>
  <c r="AT40" i="9" s="1"/>
  <c r="AH40" i="9"/>
  <c r="AU40" i="9" s="1"/>
  <c r="AE40" i="9"/>
  <c r="AR40" i="9"/>
  <c r="AF40" i="9"/>
  <c r="AS40" i="9" s="1"/>
  <c r="AC40" i="9"/>
  <c r="AP40" i="9" s="1"/>
  <c r="AD40" i="9"/>
  <c r="AA40" i="9"/>
  <c r="AB40" i="9"/>
  <c r="Y40" i="9"/>
  <c r="Z40" i="9"/>
  <c r="L40" i="16" s="1"/>
  <c r="CU26" i="6"/>
  <c r="BM53" i="8"/>
  <c r="BI53" i="8"/>
  <c r="BE53" i="8"/>
  <c r="BA53" i="8"/>
  <c r="AW53" i="8"/>
  <c r="AR53" i="8"/>
  <c r="AN53" i="8"/>
  <c r="AJ53" i="8"/>
  <c r="AF53" i="8"/>
  <c r="AB53" i="8"/>
  <c r="V53" i="8"/>
  <c r="R53" i="8"/>
  <c r="N53" i="8"/>
  <c r="J53" i="8"/>
  <c r="F53" i="8"/>
  <c r="BM52" i="8"/>
  <c r="BI52" i="8"/>
  <c r="BE52" i="8"/>
  <c r="BA52" i="8"/>
  <c r="AW52" i="8"/>
  <c r="AR52" i="8"/>
  <c r="AN52" i="8"/>
  <c r="AJ52" i="8"/>
  <c r="AF52" i="8"/>
  <c r="AB52" i="8"/>
  <c r="V52" i="8"/>
  <c r="R52" i="8"/>
  <c r="N52" i="8"/>
  <c r="J52" i="8"/>
  <c r="F52" i="8"/>
  <c r="BM51" i="8"/>
  <c r="BI51" i="8"/>
  <c r="BE51" i="8"/>
  <c r="BA51" i="8"/>
  <c r="AW51" i="8"/>
  <c r="AR51" i="8"/>
  <c r="AN51" i="8"/>
  <c r="AJ51" i="8"/>
  <c r="AF51" i="8"/>
  <c r="AB51" i="8"/>
  <c r="V51" i="8"/>
  <c r="R51" i="8"/>
  <c r="N51" i="8"/>
  <c r="J51" i="8"/>
  <c r="F51" i="8"/>
  <c r="A4" i="18"/>
  <c r="B4" i="18"/>
  <c r="C4" i="18"/>
  <c r="D4" i="18"/>
  <c r="E4" i="18"/>
  <c r="A5" i="18"/>
  <c r="B5" i="18"/>
  <c r="C5" i="18"/>
  <c r="D5" i="18"/>
  <c r="E5" i="18"/>
  <c r="A6" i="18"/>
  <c r="B6" i="18"/>
  <c r="C6" i="18"/>
  <c r="D6" i="18"/>
  <c r="E6" i="18"/>
  <c r="A7" i="18"/>
  <c r="B7" i="18"/>
  <c r="C7" i="18"/>
  <c r="D7" i="18"/>
  <c r="E7" i="18"/>
  <c r="A8" i="18"/>
  <c r="B8" i="18"/>
  <c r="C8" i="18"/>
  <c r="D8" i="18"/>
  <c r="E8" i="18"/>
  <c r="A9" i="18"/>
  <c r="B9" i="18"/>
  <c r="C9" i="18"/>
  <c r="D9" i="18"/>
  <c r="E9" i="18"/>
  <c r="A10" i="18"/>
  <c r="B10" i="18"/>
  <c r="C10" i="18"/>
  <c r="D10" i="18"/>
  <c r="E10" i="18"/>
  <c r="A11" i="18"/>
  <c r="B11" i="18"/>
  <c r="C11" i="18"/>
  <c r="D11" i="18"/>
  <c r="E11" i="18"/>
  <c r="A12" i="18"/>
  <c r="B12" i="18"/>
  <c r="C12" i="18"/>
  <c r="D12" i="18"/>
  <c r="E12" i="18"/>
  <c r="A13" i="18"/>
  <c r="B13" i="18"/>
  <c r="C13" i="18"/>
  <c r="D13" i="18"/>
  <c r="E13" i="18"/>
  <c r="A14" i="18"/>
  <c r="B14" i="18"/>
  <c r="C14" i="18"/>
  <c r="D14" i="18"/>
  <c r="E14" i="18"/>
  <c r="A15" i="18"/>
  <c r="B15" i="18"/>
  <c r="C15" i="18"/>
  <c r="D15" i="18"/>
  <c r="E15" i="18"/>
  <c r="A16" i="18"/>
  <c r="B16" i="18"/>
  <c r="C16" i="18"/>
  <c r="D16" i="18"/>
  <c r="E16" i="18"/>
  <c r="A17" i="18"/>
  <c r="B17" i="18"/>
  <c r="C17" i="18"/>
  <c r="D17" i="18"/>
  <c r="E17" i="18"/>
  <c r="A18" i="18"/>
  <c r="B18" i="18"/>
  <c r="C18" i="18"/>
  <c r="D18" i="18"/>
  <c r="E18" i="18"/>
  <c r="A19" i="18"/>
  <c r="B19" i="18"/>
  <c r="C19" i="18"/>
  <c r="D19" i="18"/>
  <c r="E19" i="18"/>
  <c r="A20" i="18"/>
  <c r="B20" i="18"/>
  <c r="C20" i="18"/>
  <c r="D20" i="18"/>
  <c r="E20" i="18"/>
  <c r="A21" i="18"/>
  <c r="B21" i="18"/>
  <c r="C21" i="18"/>
  <c r="D21" i="18"/>
  <c r="E21" i="18"/>
  <c r="A22" i="18"/>
  <c r="B22" i="18"/>
  <c r="C22" i="18"/>
  <c r="D22" i="18"/>
  <c r="E22" i="18"/>
  <c r="A23" i="18"/>
  <c r="B23" i="18"/>
  <c r="C23" i="18"/>
  <c r="D23" i="18"/>
  <c r="E23" i="18"/>
  <c r="A24" i="18"/>
  <c r="B24" i="18"/>
  <c r="C24" i="18"/>
  <c r="D24" i="18"/>
  <c r="E24" i="18"/>
  <c r="A25" i="18"/>
  <c r="B25" i="18"/>
  <c r="C25" i="18"/>
  <c r="D25" i="18"/>
  <c r="E25" i="18"/>
  <c r="A26" i="18"/>
  <c r="B26" i="18"/>
  <c r="C26" i="18"/>
  <c r="D26" i="18"/>
  <c r="E26" i="18"/>
  <c r="A27" i="18"/>
  <c r="B27" i="18"/>
  <c r="C27" i="18"/>
  <c r="D27" i="18"/>
  <c r="E27" i="18"/>
  <c r="A28" i="18"/>
  <c r="B28" i="18"/>
  <c r="C28" i="18"/>
  <c r="D28" i="18"/>
  <c r="E28" i="18"/>
  <c r="A29" i="18"/>
  <c r="B29" i="18"/>
  <c r="C29" i="18"/>
  <c r="D29" i="18"/>
  <c r="E29" i="18"/>
  <c r="A30" i="18"/>
  <c r="B30" i="18"/>
  <c r="C30" i="18"/>
  <c r="D30" i="18"/>
  <c r="E30" i="18"/>
  <c r="A31" i="18"/>
  <c r="B31" i="18"/>
  <c r="C31" i="18"/>
  <c r="D31" i="18"/>
  <c r="E31" i="18"/>
  <c r="A32" i="18"/>
  <c r="B32" i="18"/>
  <c r="C32" i="18"/>
  <c r="E32" i="18"/>
  <c r="A33" i="18"/>
  <c r="B33" i="18"/>
  <c r="C33" i="18"/>
  <c r="E33" i="18"/>
  <c r="A34" i="18"/>
  <c r="B34" i="18"/>
  <c r="C34" i="18"/>
  <c r="E34" i="18"/>
  <c r="A35" i="18"/>
  <c r="A36" i="18"/>
  <c r="A37" i="18"/>
  <c r="B50" i="18"/>
  <c r="D50" i="18"/>
  <c r="E50" i="18"/>
  <c r="A51" i="18"/>
  <c r="B51" i="18"/>
  <c r="D51" i="18"/>
  <c r="A52" i="18"/>
  <c r="B52" i="18"/>
  <c r="D52" i="18"/>
  <c r="A53" i="18"/>
  <c r="B53" i="18"/>
  <c r="D53" i="18"/>
  <c r="A54" i="18"/>
  <c r="B54" i="18"/>
  <c r="D54" i="18"/>
  <c r="A55" i="18"/>
  <c r="B55" i="18"/>
  <c r="C55" i="18"/>
  <c r="D55" i="18"/>
  <c r="A56" i="18"/>
  <c r="B56" i="18"/>
  <c r="D56" i="18"/>
  <c r="A57" i="18"/>
  <c r="B57" i="18"/>
  <c r="D57" i="18"/>
  <c r="A58" i="18"/>
  <c r="B58" i="18"/>
  <c r="D58" i="18"/>
  <c r="A59" i="18"/>
  <c r="B59" i="18"/>
  <c r="C59" i="18"/>
  <c r="D59" i="18"/>
  <c r="E59" i="18"/>
  <c r="A60" i="18"/>
  <c r="B60" i="18"/>
  <c r="C60" i="18"/>
  <c r="D60" i="18"/>
  <c r="E60" i="18"/>
  <c r="A61" i="18"/>
  <c r="B61" i="18"/>
  <c r="C61" i="18"/>
  <c r="D61" i="18"/>
  <c r="E61" i="18"/>
  <c r="A62" i="18"/>
  <c r="B62" i="18"/>
  <c r="C62" i="18"/>
  <c r="D62" i="18"/>
  <c r="E62" i="18"/>
  <c r="A63" i="18"/>
  <c r="B63" i="18"/>
  <c r="C63" i="18"/>
  <c r="D63" i="18"/>
  <c r="E63" i="18"/>
  <c r="A64" i="18"/>
  <c r="B64" i="18"/>
  <c r="C64" i="18"/>
  <c r="D64" i="18"/>
  <c r="E64" i="18"/>
  <c r="A65" i="18"/>
  <c r="B65" i="18"/>
  <c r="C65" i="18"/>
  <c r="D65" i="18"/>
  <c r="E65" i="18"/>
  <c r="A66" i="18"/>
  <c r="B66" i="18"/>
  <c r="C66" i="18"/>
  <c r="D66" i="18"/>
  <c r="E66" i="18"/>
  <c r="A67" i="18"/>
  <c r="B67" i="18"/>
  <c r="C67" i="18"/>
  <c r="D67" i="18"/>
  <c r="E67" i="18"/>
  <c r="A68" i="18"/>
  <c r="B68" i="18"/>
  <c r="C68" i="18"/>
  <c r="D68" i="18"/>
  <c r="E68" i="18"/>
  <c r="A69" i="18"/>
  <c r="B69" i="18"/>
  <c r="C69" i="18"/>
  <c r="D69" i="18"/>
  <c r="E69" i="18"/>
  <c r="A70" i="18"/>
  <c r="B70" i="18"/>
  <c r="C70" i="18"/>
  <c r="D70" i="18"/>
  <c r="E70" i="18"/>
  <c r="A71" i="18"/>
  <c r="B71" i="18"/>
  <c r="C71" i="18"/>
  <c r="D71" i="18"/>
  <c r="E71" i="18"/>
  <c r="A72" i="18"/>
  <c r="B72" i="18"/>
  <c r="C72" i="18"/>
  <c r="D72" i="18"/>
  <c r="E72" i="18"/>
  <c r="A73" i="18"/>
  <c r="B73" i="18"/>
  <c r="C73" i="18"/>
  <c r="D73" i="18"/>
  <c r="E73" i="18"/>
  <c r="A74" i="18"/>
  <c r="B74" i="18"/>
  <c r="C74" i="18"/>
  <c r="D74" i="18"/>
  <c r="E74" i="18"/>
  <c r="A75" i="18"/>
  <c r="B75" i="18"/>
  <c r="C75" i="18"/>
  <c r="D75" i="18"/>
  <c r="E75" i="18"/>
  <c r="A76" i="18"/>
  <c r="B76" i="18"/>
  <c r="C76" i="18"/>
  <c r="D76" i="18"/>
  <c r="E76" i="18"/>
  <c r="A77" i="18"/>
  <c r="B77" i="18"/>
  <c r="C77" i="18"/>
  <c r="D77" i="18"/>
  <c r="E77" i="18"/>
  <c r="A78" i="18"/>
  <c r="B78" i="18"/>
  <c r="C78" i="18"/>
  <c r="D78" i="18"/>
  <c r="E78" i="18"/>
  <c r="A79" i="18"/>
  <c r="B79" i="18"/>
  <c r="C79" i="18"/>
  <c r="D79" i="18"/>
  <c r="E79" i="18"/>
  <c r="A80" i="18"/>
  <c r="B80" i="18"/>
  <c r="C80" i="18"/>
  <c r="D80" i="18"/>
  <c r="E80" i="18"/>
  <c r="A81" i="18"/>
  <c r="B81" i="18"/>
  <c r="C81" i="18"/>
  <c r="D81" i="18"/>
  <c r="E81" i="18"/>
  <c r="A82" i="18"/>
  <c r="B82" i="18"/>
  <c r="C82" i="18"/>
  <c r="D82" i="18"/>
  <c r="E82" i="18"/>
  <c r="A83" i="18"/>
  <c r="B83" i="18"/>
  <c r="C83" i="18"/>
  <c r="D83" i="18"/>
  <c r="E83" i="18"/>
  <c r="A84" i="18"/>
  <c r="B84" i="18"/>
  <c r="C84" i="18"/>
  <c r="D84" i="18"/>
  <c r="E84" i="18"/>
  <c r="A85" i="18"/>
  <c r="B85" i="18"/>
  <c r="C85" i="18"/>
  <c r="D85" i="18"/>
  <c r="E85" i="18"/>
  <c r="A86" i="18"/>
  <c r="B86" i="18"/>
  <c r="C86" i="18"/>
  <c r="D86" i="18"/>
  <c r="E86" i="18"/>
  <c r="A87" i="18"/>
  <c r="B87" i="18"/>
  <c r="C87" i="18"/>
  <c r="D87" i="18"/>
  <c r="E87" i="18"/>
  <c r="A88" i="18"/>
  <c r="B88" i="18"/>
  <c r="C88" i="18"/>
  <c r="D88" i="18"/>
  <c r="E88" i="18"/>
  <c r="A89" i="18"/>
  <c r="B89" i="18"/>
  <c r="C89" i="18"/>
  <c r="D89" i="18"/>
  <c r="E89" i="18"/>
  <c r="A90" i="18"/>
  <c r="B90" i="18"/>
  <c r="C90" i="18"/>
  <c r="D90" i="18"/>
  <c r="E90" i="18"/>
  <c r="A91" i="18"/>
  <c r="B91" i="18"/>
  <c r="C91" i="18"/>
  <c r="D91" i="18"/>
  <c r="E91" i="18"/>
  <c r="A92" i="18"/>
  <c r="B92" i="18"/>
  <c r="C92" i="18"/>
  <c r="D92" i="18"/>
  <c r="E92" i="18"/>
  <c r="A93" i="18"/>
  <c r="B93" i="18"/>
  <c r="C93" i="18"/>
  <c r="D93" i="18"/>
  <c r="E93" i="18"/>
  <c r="A94" i="18"/>
  <c r="B94" i="18"/>
  <c r="C94" i="18"/>
  <c r="D94" i="18"/>
  <c r="E94" i="18"/>
  <c r="A95" i="18"/>
  <c r="B95" i="18"/>
  <c r="C95" i="18"/>
  <c r="D95" i="18"/>
  <c r="E95" i="18"/>
  <c r="A96" i="18"/>
  <c r="B96" i="18"/>
  <c r="C96" i="18"/>
  <c r="D96" i="18"/>
  <c r="E96" i="18"/>
  <c r="A97" i="18"/>
  <c r="B97" i="18"/>
  <c r="C97" i="18"/>
  <c r="D97" i="18"/>
  <c r="E97" i="18"/>
  <c r="A98" i="18"/>
  <c r="B98" i="18"/>
  <c r="C98" i="18"/>
  <c r="D98" i="18"/>
  <c r="E98" i="18"/>
  <c r="A99" i="18"/>
  <c r="B99" i="18"/>
  <c r="C99" i="18"/>
  <c r="D99" i="18"/>
  <c r="E99" i="18"/>
  <c r="A100" i="18"/>
  <c r="B100" i="18"/>
  <c r="C100" i="18"/>
  <c r="D100" i="18"/>
  <c r="E100" i="18"/>
  <c r="A101" i="18"/>
  <c r="B101" i="18"/>
  <c r="C101" i="18"/>
  <c r="D101" i="18"/>
  <c r="E101" i="18"/>
  <c r="A102" i="18"/>
  <c r="B102" i="18"/>
  <c r="C102" i="18"/>
  <c r="D102" i="18"/>
  <c r="E102" i="18"/>
  <c r="A103" i="18"/>
  <c r="B103" i="18"/>
  <c r="C103" i="18"/>
  <c r="D103" i="18"/>
  <c r="E103" i="18"/>
  <c r="A104" i="18"/>
  <c r="B104" i="18"/>
  <c r="C104" i="18"/>
  <c r="D104" i="18"/>
  <c r="E104" i="18"/>
  <c r="A105" i="18"/>
  <c r="B105" i="18"/>
  <c r="C105" i="18"/>
  <c r="D105" i="18"/>
  <c r="E105" i="18"/>
  <c r="A106" i="18"/>
  <c r="B106" i="18"/>
  <c r="C106" i="18"/>
  <c r="D106" i="18"/>
  <c r="E106" i="18"/>
  <c r="A107" i="18"/>
  <c r="B107" i="18"/>
  <c r="C107" i="18"/>
  <c r="D107" i="18"/>
  <c r="E107" i="18"/>
  <c r="A108" i="18"/>
  <c r="B108" i="18"/>
  <c r="C108" i="18"/>
  <c r="D108" i="18"/>
  <c r="E108" i="18"/>
  <c r="A109" i="18"/>
  <c r="B109" i="18"/>
  <c r="C109" i="18"/>
  <c r="D109" i="18"/>
  <c r="E109" i="18"/>
  <c r="A110" i="18"/>
  <c r="B110" i="18"/>
  <c r="C110" i="18"/>
  <c r="D110" i="18"/>
  <c r="E110" i="18"/>
  <c r="A111" i="18"/>
  <c r="B111" i="18"/>
  <c r="C111" i="18"/>
  <c r="D111" i="18"/>
  <c r="E111" i="18"/>
  <c r="A112" i="18"/>
  <c r="B112" i="18"/>
  <c r="C112" i="18"/>
  <c r="D112" i="18"/>
  <c r="E112" i="18"/>
  <c r="A113" i="18"/>
  <c r="B113" i="18"/>
  <c r="C113" i="18"/>
  <c r="D113" i="18"/>
  <c r="E113" i="18"/>
  <c r="A114" i="18"/>
  <c r="B114" i="18"/>
  <c r="C114" i="18"/>
  <c r="D114" i="18"/>
  <c r="E114" i="18"/>
  <c r="A115" i="18"/>
  <c r="B115" i="18"/>
  <c r="C115" i="18"/>
  <c r="D115" i="18"/>
  <c r="E115" i="18"/>
  <c r="A116" i="18"/>
  <c r="B116" i="18"/>
  <c r="C116" i="18"/>
  <c r="D116" i="18"/>
  <c r="E116" i="18"/>
  <c r="A117" i="18"/>
  <c r="B117" i="18"/>
  <c r="C117" i="18"/>
  <c r="D117" i="18"/>
  <c r="E117" i="18"/>
  <c r="A118" i="18"/>
  <c r="B118" i="18"/>
  <c r="C118" i="18"/>
  <c r="D118" i="18"/>
  <c r="E118" i="18"/>
  <c r="A119" i="18"/>
  <c r="B119" i="18"/>
  <c r="C119" i="18"/>
  <c r="D119" i="18"/>
  <c r="E119" i="18"/>
  <c r="A120" i="18"/>
  <c r="B120" i="18"/>
  <c r="C120" i="18"/>
  <c r="D120" i="18"/>
  <c r="E120" i="18"/>
  <c r="A121" i="18"/>
  <c r="B121" i="18"/>
  <c r="C121" i="18"/>
  <c r="D121" i="18"/>
  <c r="E121" i="18"/>
  <c r="A122" i="18"/>
  <c r="B122" i="18"/>
  <c r="C122" i="18"/>
  <c r="D122" i="18"/>
  <c r="E122" i="18"/>
  <c r="A123" i="18"/>
  <c r="B123" i="18"/>
  <c r="C123" i="18"/>
  <c r="D123" i="18"/>
  <c r="E123" i="18"/>
  <c r="A124" i="18"/>
  <c r="B124" i="18"/>
  <c r="C124" i="18"/>
  <c r="D124" i="18"/>
  <c r="E124" i="18"/>
  <c r="A125" i="18"/>
  <c r="B125" i="18"/>
  <c r="C125" i="18"/>
  <c r="D125" i="18"/>
  <c r="E125" i="18"/>
  <c r="A126" i="18"/>
  <c r="B126" i="18"/>
  <c r="C126" i="18"/>
  <c r="D126" i="18"/>
  <c r="E126" i="18"/>
  <c r="A127" i="18"/>
  <c r="B127" i="18"/>
  <c r="C127" i="18"/>
  <c r="D127" i="18"/>
  <c r="E127" i="18"/>
  <c r="A128" i="18"/>
  <c r="B128" i="18"/>
  <c r="C128" i="18"/>
  <c r="D128" i="18"/>
  <c r="E128" i="18"/>
  <c r="A129" i="18"/>
  <c r="B129" i="18"/>
  <c r="C129" i="18"/>
  <c r="D129" i="18"/>
  <c r="E129" i="18"/>
  <c r="A130" i="18"/>
  <c r="B130" i="18"/>
  <c r="C130" i="18"/>
  <c r="D130" i="18"/>
  <c r="E130" i="18"/>
  <c r="A131" i="18"/>
  <c r="B131" i="18"/>
  <c r="C131" i="18"/>
  <c r="D131" i="18"/>
  <c r="E131" i="18"/>
  <c r="A132" i="18"/>
  <c r="B132" i="18"/>
  <c r="C132" i="18"/>
  <c r="D132" i="18"/>
  <c r="E132" i="18"/>
  <c r="A133" i="18"/>
  <c r="B133" i="18"/>
  <c r="C133" i="18"/>
  <c r="D133" i="18"/>
  <c r="E133" i="18"/>
  <c r="A134" i="18"/>
  <c r="B134" i="18"/>
  <c r="C134" i="18"/>
  <c r="D134" i="18"/>
  <c r="E134" i="18"/>
  <c r="A135" i="18"/>
  <c r="B135" i="18"/>
  <c r="C135" i="18"/>
  <c r="D135" i="18"/>
  <c r="E135" i="18"/>
  <c r="A136" i="18"/>
  <c r="B136" i="18"/>
  <c r="C136" i="18"/>
  <c r="D136" i="18"/>
  <c r="E136" i="18"/>
  <c r="A137" i="18"/>
  <c r="B137" i="18"/>
  <c r="C137" i="18"/>
  <c r="D137" i="18"/>
  <c r="E137" i="18"/>
  <c r="A138" i="18"/>
  <c r="B138" i="18"/>
  <c r="C138" i="18"/>
  <c r="D138" i="18"/>
  <c r="E138" i="18"/>
  <c r="A139" i="18"/>
  <c r="B139" i="18"/>
  <c r="C139" i="18"/>
  <c r="D139" i="18"/>
  <c r="E139" i="18"/>
  <c r="A140" i="18"/>
  <c r="B140" i="18"/>
  <c r="C140" i="18"/>
  <c r="D140" i="18"/>
  <c r="E140" i="18"/>
  <c r="A141" i="18"/>
  <c r="B141" i="18"/>
  <c r="C141" i="18"/>
  <c r="D141" i="18"/>
  <c r="E141" i="18"/>
  <c r="A142" i="18"/>
  <c r="B142" i="18"/>
  <c r="C142" i="18"/>
  <c r="D142" i="18"/>
  <c r="E142" i="18"/>
  <c r="A143" i="18"/>
  <c r="B143" i="18"/>
  <c r="C143" i="18"/>
  <c r="D143" i="18"/>
  <c r="E143" i="18"/>
  <c r="A144" i="18"/>
  <c r="B144" i="18"/>
  <c r="C144" i="18"/>
  <c r="D144" i="18"/>
  <c r="E144" i="18"/>
  <c r="A145" i="18"/>
  <c r="B145" i="18"/>
  <c r="C145" i="18"/>
  <c r="D145" i="18"/>
  <c r="E145" i="18"/>
  <c r="A146" i="18"/>
  <c r="B146" i="18"/>
  <c r="C146" i="18"/>
  <c r="D146" i="18"/>
  <c r="E146" i="18"/>
  <c r="A147" i="18"/>
  <c r="B147" i="18"/>
  <c r="C147" i="18"/>
  <c r="D147" i="18"/>
  <c r="E147" i="18"/>
  <c r="A148" i="18"/>
  <c r="B148" i="18"/>
  <c r="C148" i="18"/>
  <c r="D148" i="18"/>
  <c r="E148" i="18"/>
  <c r="A149" i="18"/>
  <c r="B149" i="18"/>
  <c r="C149" i="18"/>
  <c r="D149" i="18"/>
  <c r="E149" i="18"/>
  <c r="A150" i="18"/>
  <c r="B150" i="18"/>
  <c r="C150" i="18"/>
  <c r="D150" i="18"/>
  <c r="E150" i="18"/>
  <c r="A151" i="18"/>
  <c r="B151" i="18"/>
  <c r="C151" i="18"/>
  <c r="D151" i="18"/>
  <c r="E151" i="18"/>
  <c r="A152" i="18"/>
  <c r="B152" i="18"/>
  <c r="C152" i="18"/>
  <c r="D152" i="18"/>
  <c r="E152" i="18"/>
  <c r="A153" i="18"/>
  <c r="B153" i="18"/>
  <c r="C153" i="18"/>
  <c r="D153" i="18"/>
  <c r="E153" i="18"/>
  <c r="A154" i="18"/>
  <c r="B154" i="18"/>
  <c r="C154" i="18"/>
  <c r="D154" i="18"/>
  <c r="E154" i="18"/>
  <c r="A155" i="18"/>
  <c r="B155" i="18"/>
  <c r="C155" i="18"/>
  <c r="D155" i="18"/>
  <c r="E155" i="18"/>
  <c r="A156" i="18"/>
  <c r="B156" i="18"/>
  <c r="C156" i="18"/>
  <c r="D156" i="18"/>
  <c r="E156" i="18"/>
  <c r="A157" i="18"/>
  <c r="B157" i="18"/>
  <c r="C157" i="18"/>
  <c r="D157" i="18"/>
  <c r="E157" i="18"/>
  <c r="A158" i="18"/>
  <c r="B158" i="18"/>
  <c r="C158" i="18"/>
  <c r="D158" i="18"/>
  <c r="E158" i="18"/>
  <c r="A159" i="18"/>
  <c r="B159" i="18"/>
  <c r="C159" i="18"/>
  <c r="D159" i="18"/>
  <c r="E159" i="18"/>
  <c r="A160" i="18"/>
  <c r="B160" i="18"/>
  <c r="C160" i="18"/>
  <c r="D160" i="18"/>
  <c r="E160" i="18"/>
  <c r="A161" i="18"/>
  <c r="B161" i="18"/>
  <c r="C161" i="18"/>
  <c r="D161" i="18"/>
  <c r="E161" i="18"/>
  <c r="A162" i="18"/>
  <c r="B162" i="18"/>
  <c r="C162" i="18"/>
  <c r="D162" i="18"/>
  <c r="E162" i="18"/>
  <c r="A163" i="18"/>
  <c r="B163" i="18"/>
  <c r="C163" i="18"/>
  <c r="D163" i="18"/>
  <c r="E163" i="18"/>
  <c r="A164" i="18"/>
  <c r="B164" i="18"/>
  <c r="C164" i="18"/>
  <c r="D164" i="18"/>
  <c r="E164" i="18"/>
  <c r="A165" i="18"/>
  <c r="B165" i="18"/>
  <c r="C165" i="18"/>
  <c r="D165" i="18"/>
  <c r="E165" i="18"/>
  <c r="A166" i="18"/>
  <c r="B166" i="18"/>
  <c r="C166" i="18"/>
  <c r="D166" i="18"/>
  <c r="E166" i="18"/>
  <c r="A167" i="18"/>
  <c r="B167" i="18"/>
  <c r="C167" i="18"/>
  <c r="D167" i="18"/>
  <c r="E167" i="18"/>
  <c r="A168" i="18"/>
  <c r="B168" i="18"/>
  <c r="C168" i="18"/>
  <c r="D168" i="18"/>
  <c r="E168" i="18"/>
  <c r="A169" i="18"/>
  <c r="B169" i="18"/>
  <c r="C169" i="18"/>
  <c r="D169" i="18"/>
  <c r="E169" i="18"/>
  <c r="A170" i="18"/>
  <c r="B170" i="18"/>
  <c r="C170" i="18"/>
  <c r="D170" i="18"/>
  <c r="E170" i="18"/>
  <c r="A171" i="18"/>
  <c r="B171" i="18"/>
  <c r="C171" i="18"/>
  <c r="D171" i="18"/>
  <c r="E171" i="18"/>
  <c r="A172" i="18"/>
  <c r="B172" i="18"/>
  <c r="C172" i="18"/>
  <c r="D172" i="18"/>
  <c r="E172" i="18"/>
  <c r="A173" i="18"/>
  <c r="B173" i="18"/>
  <c r="C173" i="18"/>
  <c r="D173" i="18"/>
  <c r="E173" i="18"/>
  <c r="A174" i="18"/>
  <c r="B174" i="18"/>
  <c r="C174" i="18"/>
  <c r="D174" i="18"/>
  <c r="E174" i="18"/>
  <c r="A175" i="18"/>
  <c r="B175" i="18"/>
  <c r="C175" i="18"/>
  <c r="D175" i="18"/>
  <c r="E175" i="18"/>
  <c r="A176" i="18"/>
  <c r="B176" i="18"/>
  <c r="C176" i="18"/>
  <c r="D176" i="18"/>
  <c r="E176" i="18"/>
  <c r="A177" i="18"/>
  <c r="B177" i="18"/>
  <c r="C177" i="18"/>
  <c r="D177" i="18"/>
  <c r="E177" i="18"/>
  <c r="A178" i="18"/>
  <c r="B178" i="18"/>
  <c r="C178" i="18"/>
  <c r="D178" i="18"/>
  <c r="E178" i="18"/>
  <c r="A179" i="18"/>
  <c r="B179" i="18"/>
  <c r="C179" i="18"/>
  <c r="D179" i="18"/>
  <c r="E179" i="18"/>
  <c r="A180" i="18"/>
  <c r="B180" i="18"/>
  <c r="C180" i="18"/>
  <c r="D180" i="18"/>
  <c r="E180" i="18"/>
  <c r="A181" i="18"/>
  <c r="B181" i="18"/>
  <c r="C181" i="18"/>
  <c r="D181" i="18"/>
  <c r="E181" i="18"/>
  <c r="A182" i="18"/>
  <c r="B182" i="18"/>
  <c r="C182" i="18"/>
  <c r="D182" i="18"/>
  <c r="E182" i="18"/>
  <c r="A183" i="18"/>
  <c r="B183" i="18"/>
  <c r="C183" i="18"/>
  <c r="D183" i="18"/>
  <c r="E183" i="18"/>
  <c r="A184" i="18"/>
  <c r="B184" i="18"/>
  <c r="C184" i="18"/>
  <c r="D184" i="18"/>
  <c r="E184" i="18"/>
  <c r="A185" i="18"/>
  <c r="B185" i="18"/>
  <c r="C185" i="18"/>
  <c r="D185" i="18"/>
  <c r="E185" i="18"/>
  <c r="A186" i="18"/>
  <c r="B186" i="18"/>
  <c r="C186" i="18"/>
  <c r="D186" i="18"/>
  <c r="E186" i="18"/>
  <c r="A187" i="18"/>
  <c r="B187" i="18"/>
  <c r="C187" i="18"/>
  <c r="D187" i="18"/>
  <c r="E187" i="18"/>
  <c r="A188" i="18"/>
  <c r="B188" i="18"/>
  <c r="C188" i="18"/>
  <c r="D188" i="18"/>
  <c r="E188" i="18"/>
  <c r="A189" i="18"/>
  <c r="B189" i="18"/>
  <c r="C189" i="18"/>
  <c r="D189" i="18"/>
  <c r="E189" i="18"/>
  <c r="A190" i="18"/>
  <c r="B190" i="18"/>
  <c r="C190" i="18"/>
  <c r="D190" i="18"/>
  <c r="E190" i="18"/>
  <c r="A191" i="18"/>
  <c r="B191" i="18"/>
  <c r="C191" i="18"/>
  <c r="D191" i="18"/>
  <c r="E191" i="18"/>
  <c r="A192" i="18"/>
  <c r="B192" i="18"/>
  <c r="C192" i="18"/>
  <c r="D192" i="18"/>
  <c r="E192" i="18"/>
  <c r="A193" i="18"/>
  <c r="B193" i="18"/>
  <c r="C193" i="18"/>
  <c r="D193" i="18"/>
  <c r="E193" i="18"/>
  <c r="A194" i="18"/>
  <c r="B194" i="18"/>
  <c r="C194" i="18"/>
  <c r="D194" i="18"/>
  <c r="E194" i="18"/>
  <c r="A195" i="18"/>
  <c r="B195" i="18"/>
  <c r="C195" i="18"/>
  <c r="D195" i="18"/>
  <c r="E195" i="18"/>
  <c r="A196" i="18"/>
  <c r="B196" i="18"/>
  <c r="C196" i="18"/>
  <c r="D196" i="18"/>
  <c r="E196" i="18"/>
  <c r="A197" i="18"/>
  <c r="B197" i="18"/>
  <c r="C197" i="18"/>
  <c r="D197" i="18"/>
  <c r="E197" i="18"/>
  <c r="A198" i="18"/>
  <c r="B198" i="18"/>
  <c r="C198" i="18"/>
  <c r="D198" i="18"/>
  <c r="E198" i="18"/>
  <c r="A199" i="18"/>
  <c r="B199" i="18"/>
  <c r="C199" i="18"/>
  <c r="D199" i="18"/>
  <c r="E199" i="18"/>
  <c r="A200" i="18"/>
  <c r="B200" i="18"/>
  <c r="C200" i="18"/>
  <c r="D200" i="18"/>
  <c r="E200" i="18"/>
  <c r="A201" i="18"/>
  <c r="B201" i="18"/>
  <c r="C201" i="18"/>
  <c r="D201" i="18"/>
  <c r="E201" i="18"/>
  <c r="A202" i="18"/>
  <c r="B202" i="18"/>
  <c r="C202" i="18"/>
  <c r="D202" i="18"/>
  <c r="E202" i="18"/>
  <c r="A203" i="18"/>
  <c r="B203" i="18"/>
  <c r="C203" i="18"/>
  <c r="D203" i="18"/>
  <c r="E203" i="18"/>
  <c r="A204" i="18"/>
  <c r="B204" i="18"/>
  <c r="C204" i="18"/>
  <c r="D204" i="18"/>
  <c r="E204" i="18"/>
  <c r="A205" i="18"/>
  <c r="B205" i="18"/>
  <c r="C205" i="18"/>
  <c r="D205" i="18"/>
  <c r="E205" i="18"/>
  <c r="A206" i="18"/>
  <c r="B206" i="18"/>
  <c r="C206" i="18"/>
  <c r="D206" i="18"/>
  <c r="E206" i="18"/>
  <c r="A207" i="18"/>
  <c r="B207" i="18"/>
  <c r="C207" i="18"/>
  <c r="D207" i="18"/>
  <c r="E207" i="18"/>
  <c r="A208" i="18"/>
  <c r="B208" i="18"/>
  <c r="C208" i="18"/>
  <c r="D208" i="18"/>
  <c r="E208" i="18"/>
  <c r="A209" i="18"/>
  <c r="B209" i="18"/>
  <c r="C209" i="18"/>
  <c r="D209" i="18"/>
  <c r="E209" i="18"/>
  <c r="A210" i="18"/>
  <c r="B210" i="18"/>
  <c r="C210" i="18"/>
  <c r="D210" i="18"/>
  <c r="E210" i="18"/>
  <c r="A211" i="18"/>
  <c r="B211" i="18"/>
  <c r="C211" i="18"/>
  <c r="D211" i="18"/>
  <c r="E211" i="18"/>
  <c r="A212" i="18"/>
  <c r="B212" i="18"/>
  <c r="C212" i="18"/>
  <c r="D212" i="18"/>
  <c r="E212" i="18"/>
  <c r="A213" i="18"/>
  <c r="B213" i="18"/>
  <c r="C213" i="18"/>
  <c r="D213" i="18"/>
  <c r="E213" i="18"/>
  <c r="A214" i="18"/>
  <c r="B214" i="18"/>
  <c r="C214" i="18"/>
  <c r="D214" i="18"/>
  <c r="E214" i="18"/>
  <c r="A215" i="18"/>
  <c r="B215" i="18"/>
  <c r="C215" i="18"/>
  <c r="D215" i="18"/>
  <c r="E215" i="18"/>
  <c r="A216" i="18"/>
  <c r="B216" i="18"/>
  <c r="C216" i="18"/>
  <c r="D216" i="18"/>
  <c r="E216" i="18"/>
  <c r="A217" i="18"/>
  <c r="B217" i="18"/>
  <c r="C217" i="18"/>
  <c r="D217" i="18"/>
  <c r="E217" i="18"/>
  <c r="A218" i="18"/>
  <c r="B218" i="18"/>
  <c r="C218" i="18"/>
  <c r="D218" i="18"/>
  <c r="E218" i="18"/>
  <c r="A219" i="18"/>
  <c r="B219" i="18"/>
  <c r="C219" i="18"/>
  <c r="D219" i="18"/>
  <c r="E219" i="18"/>
  <c r="A220" i="18"/>
  <c r="B220" i="18"/>
  <c r="C220" i="18"/>
  <c r="D220" i="18"/>
  <c r="E220" i="18"/>
  <c r="E3" i="18"/>
  <c r="D3" i="18"/>
  <c r="C3" i="18"/>
  <c r="B3" i="18"/>
  <c r="A3" i="18"/>
  <c r="A5" i="17"/>
  <c r="A6" i="17"/>
  <c r="A7" i="17"/>
  <c r="A8" i="17"/>
  <c r="A9" i="17"/>
  <c r="A10" i="17"/>
  <c r="M10" i="17"/>
  <c r="N10" i="17"/>
  <c r="A11" i="17"/>
  <c r="B11" i="17"/>
  <c r="F11" i="17"/>
  <c r="M11" i="17"/>
  <c r="N11" i="17"/>
  <c r="A12" i="17"/>
  <c r="B12" i="17"/>
  <c r="F12" i="17"/>
  <c r="M12" i="17"/>
  <c r="N12" i="17"/>
  <c r="A13" i="17"/>
  <c r="B13" i="17"/>
  <c r="F13" i="17"/>
  <c r="M13" i="17"/>
  <c r="N13" i="17"/>
  <c r="B14" i="17"/>
  <c r="M14" i="17"/>
  <c r="N14" i="17"/>
  <c r="B15" i="17"/>
  <c r="F15" i="17"/>
  <c r="M15" i="17"/>
  <c r="N15" i="17"/>
  <c r="B16" i="17"/>
  <c r="F16" i="17"/>
  <c r="M16" i="17"/>
  <c r="N16" i="17"/>
  <c r="B17" i="17"/>
  <c r="F17" i="17"/>
  <c r="M17" i="17"/>
  <c r="N17" i="17"/>
  <c r="B18" i="17"/>
  <c r="F18" i="17"/>
  <c r="M18" i="17"/>
  <c r="N18" i="17"/>
  <c r="B19" i="17"/>
  <c r="M19" i="17"/>
  <c r="N19" i="17"/>
  <c r="B20" i="17"/>
  <c r="F20" i="17"/>
  <c r="M20" i="17"/>
  <c r="N20" i="17"/>
  <c r="B21" i="17"/>
  <c r="F21" i="17"/>
  <c r="M21" i="17"/>
  <c r="N21" i="17"/>
  <c r="B22" i="17"/>
  <c r="F22" i="17"/>
  <c r="M22" i="17"/>
  <c r="N22" i="17"/>
  <c r="B23" i="17"/>
  <c r="F23" i="17"/>
  <c r="M23" i="17"/>
  <c r="N23" i="17"/>
  <c r="B24" i="17"/>
  <c r="F24" i="17"/>
  <c r="M24" i="17"/>
  <c r="N24" i="17"/>
  <c r="B25" i="17"/>
  <c r="F25" i="17"/>
  <c r="M25" i="17"/>
  <c r="N25" i="17"/>
  <c r="B26" i="17"/>
  <c r="F26" i="17"/>
  <c r="M26" i="17"/>
  <c r="N26" i="17"/>
  <c r="B27" i="17"/>
  <c r="D27" i="17"/>
  <c r="F27" i="17"/>
  <c r="K27" i="17"/>
  <c r="L27" i="17"/>
  <c r="M27" i="17"/>
  <c r="N27" i="17"/>
  <c r="B28" i="17"/>
  <c r="D28" i="17"/>
  <c r="F28" i="17"/>
  <c r="K28" i="17"/>
  <c r="L28" i="17"/>
  <c r="M28" i="17"/>
  <c r="N28" i="17"/>
  <c r="B29" i="17"/>
  <c r="D29" i="17"/>
  <c r="F29" i="17"/>
  <c r="K29" i="17"/>
  <c r="L29" i="17"/>
  <c r="M29" i="17"/>
  <c r="N29" i="17"/>
  <c r="A30" i="17"/>
  <c r="B30" i="17"/>
  <c r="D30" i="17"/>
  <c r="F30" i="17"/>
  <c r="K30" i="17"/>
  <c r="L30" i="17"/>
  <c r="M30" i="17"/>
  <c r="N30" i="17"/>
  <c r="O30" i="17"/>
  <c r="P30" i="17"/>
  <c r="A31" i="17"/>
  <c r="B31" i="17"/>
  <c r="D31" i="17"/>
  <c r="F31" i="17"/>
  <c r="K31" i="17"/>
  <c r="L31" i="17"/>
  <c r="M31" i="17"/>
  <c r="N31" i="17"/>
  <c r="O31" i="17"/>
  <c r="P31" i="17"/>
  <c r="A32" i="17"/>
  <c r="B32" i="17"/>
  <c r="D32" i="17"/>
  <c r="F32" i="17"/>
  <c r="K32" i="17"/>
  <c r="L32" i="17"/>
  <c r="M32" i="17"/>
  <c r="N32" i="17"/>
  <c r="O32" i="17"/>
  <c r="P32" i="17"/>
  <c r="A33" i="17"/>
  <c r="B33" i="17"/>
  <c r="D33" i="17"/>
  <c r="F33" i="17"/>
  <c r="K33" i="17"/>
  <c r="L33" i="17"/>
  <c r="M33" i="17"/>
  <c r="N33" i="17"/>
  <c r="O33" i="17"/>
  <c r="P33" i="17"/>
  <c r="A34" i="17"/>
  <c r="B34" i="17"/>
  <c r="D34" i="17"/>
  <c r="F34" i="17"/>
  <c r="K34" i="17"/>
  <c r="L34" i="17"/>
  <c r="M34" i="17"/>
  <c r="N34" i="17"/>
  <c r="O34" i="17"/>
  <c r="P34" i="17"/>
  <c r="A35" i="17"/>
  <c r="B35" i="17"/>
  <c r="D35" i="17"/>
  <c r="F35" i="17"/>
  <c r="K35" i="17"/>
  <c r="L35" i="17"/>
  <c r="M35" i="17"/>
  <c r="N35" i="17"/>
  <c r="O35" i="17"/>
  <c r="P35" i="17"/>
  <c r="A36" i="17"/>
  <c r="B36" i="17"/>
  <c r="D36" i="17"/>
  <c r="F36" i="17"/>
  <c r="K36" i="17"/>
  <c r="L36" i="17"/>
  <c r="M36" i="17"/>
  <c r="N36" i="17"/>
  <c r="O36" i="17"/>
  <c r="P36" i="17"/>
  <c r="A37" i="17"/>
  <c r="B37" i="17"/>
  <c r="D37" i="17"/>
  <c r="F37" i="17"/>
  <c r="K37" i="17"/>
  <c r="L37" i="17"/>
  <c r="M37" i="17"/>
  <c r="N37" i="17"/>
  <c r="O37" i="17"/>
  <c r="P37" i="17"/>
  <c r="A38" i="17"/>
  <c r="B38" i="17"/>
  <c r="D38" i="17"/>
  <c r="F38" i="17"/>
  <c r="K38" i="17"/>
  <c r="L38" i="17"/>
  <c r="M38" i="17"/>
  <c r="N38" i="17"/>
  <c r="O38" i="17"/>
  <c r="P38" i="17"/>
  <c r="A39" i="17"/>
  <c r="B39" i="17"/>
  <c r="D39" i="17"/>
  <c r="F39" i="17"/>
  <c r="K39" i="17"/>
  <c r="L39" i="17"/>
  <c r="M39" i="17"/>
  <c r="N39" i="17"/>
  <c r="O39" i="17"/>
  <c r="P39" i="17"/>
  <c r="A40" i="17"/>
  <c r="B40" i="17"/>
  <c r="D40" i="17"/>
  <c r="F40" i="17"/>
  <c r="K40" i="17"/>
  <c r="L40" i="17"/>
  <c r="M40" i="17"/>
  <c r="N40" i="17"/>
  <c r="O40" i="17"/>
  <c r="P40" i="17"/>
  <c r="A41" i="17"/>
  <c r="B41" i="17"/>
  <c r="D41" i="17"/>
  <c r="F41" i="17"/>
  <c r="K41" i="17"/>
  <c r="L41" i="17"/>
  <c r="M41" i="17"/>
  <c r="N41" i="17"/>
  <c r="O41" i="17"/>
  <c r="P41" i="17"/>
  <c r="A4" i="17"/>
  <c r="M13" i="16"/>
  <c r="N13" i="16"/>
  <c r="M14" i="16"/>
  <c r="N14" i="16"/>
  <c r="M15" i="16"/>
  <c r="N15" i="16"/>
  <c r="M16" i="16"/>
  <c r="N16" i="16"/>
  <c r="M17" i="16"/>
  <c r="N17" i="16"/>
  <c r="M18" i="16"/>
  <c r="N18" i="16"/>
  <c r="M19" i="16"/>
  <c r="N19" i="16"/>
  <c r="M20" i="16"/>
  <c r="N20" i="16"/>
  <c r="M21" i="16"/>
  <c r="N21" i="16"/>
  <c r="M22" i="16"/>
  <c r="N22" i="16"/>
  <c r="M23" i="16"/>
  <c r="N23" i="16"/>
  <c r="M24" i="16"/>
  <c r="N24" i="16"/>
  <c r="M25" i="16"/>
  <c r="N25" i="16"/>
  <c r="M26" i="16"/>
  <c r="N26" i="16"/>
  <c r="M27" i="16"/>
  <c r="N27" i="16"/>
  <c r="M28" i="16"/>
  <c r="N28" i="16"/>
  <c r="M29" i="16"/>
  <c r="N29" i="16"/>
  <c r="M30" i="16"/>
  <c r="N30" i="16"/>
  <c r="M31" i="16"/>
  <c r="N31" i="16"/>
  <c r="M32" i="16"/>
  <c r="N32" i="16"/>
  <c r="M33" i="16"/>
  <c r="N33" i="16"/>
  <c r="M34" i="16"/>
  <c r="N34" i="16"/>
  <c r="M35" i="16"/>
  <c r="N35" i="16"/>
  <c r="M36" i="16"/>
  <c r="N36" i="16"/>
  <c r="M37" i="16"/>
  <c r="N37" i="16"/>
  <c r="M38" i="16"/>
  <c r="N38" i="16"/>
  <c r="N4" i="16"/>
  <c r="M4" i="16"/>
  <c r="A5" i="16"/>
  <c r="C5" i="16"/>
  <c r="D5" i="16"/>
  <c r="E5" i="16"/>
  <c r="A6" i="16"/>
  <c r="C6" i="16"/>
  <c r="D6" i="16"/>
  <c r="E6" i="16"/>
  <c r="A7" i="16"/>
  <c r="C7" i="16"/>
  <c r="D7" i="16"/>
  <c r="E7" i="16"/>
  <c r="A8" i="16"/>
  <c r="C8" i="16"/>
  <c r="D8" i="16"/>
  <c r="E8" i="16"/>
  <c r="A9" i="16"/>
  <c r="C9" i="16"/>
  <c r="D9" i="16"/>
  <c r="E9" i="16"/>
  <c r="A10" i="16"/>
  <c r="C10" i="16"/>
  <c r="D10" i="16"/>
  <c r="E10" i="16"/>
  <c r="F10" i="16"/>
  <c r="A11" i="16"/>
  <c r="B11" i="16"/>
  <c r="C11" i="16"/>
  <c r="D11" i="16"/>
  <c r="E11" i="16"/>
  <c r="F11" i="16"/>
  <c r="A12" i="16"/>
  <c r="B12" i="16"/>
  <c r="C12" i="16"/>
  <c r="D12" i="16"/>
  <c r="E12" i="16"/>
  <c r="F12" i="16"/>
  <c r="A13" i="16"/>
  <c r="B13" i="16"/>
  <c r="C13" i="16"/>
  <c r="D13" i="16"/>
  <c r="E13" i="16"/>
  <c r="F13" i="16"/>
  <c r="A14" i="16"/>
  <c r="B14" i="16"/>
  <c r="C14" i="16"/>
  <c r="D14" i="16"/>
  <c r="E14" i="16"/>
  <c r="F14" i="16"/>
  <c r="A15" i="16"/>
  <c r="B15" i="16"/>
  <c r="C15" i="16"/>
  <c r="D15" i="16"/>
  <c r="E15" i="16"/>
  <c r="F15" i="16"/>
  <c r="A16" i="16"/>
  <c r="B16" i="16"/>
  <c r="C16" i="16"/>
  <c r="D16" i="16"/>
  <c r="E16" i="16"/>
  <c r="F16" i="16"/>
  <c r="A17" i="16"/>
  <c r="B17" i="16"/>
  <c r="C17" i="16"/>
  <c r="D17" i="16"/>
  <c r="E17" i="16"/>
  <c r="F17" i="16"/>
  <c r="A18" i="16"/>
  <c r="B18" i="16"/>
  <c r="C18" i="16"/>
  <c r="D18" i="16"/>
  <c r="E18" i="16"/>
  <c r="F18" i="16"/>
  <c r="A19" i="16"/>
  <c r="B19" i="16"/>
  <c r="C19" i="16"/>
  <c r="D19" i="16"/>
  <c r="E19" i="16"/>
  <c r="F19" i="16"/>
  <c r="A20" i="16"/>
  <c r="B20" i="16"/>
  <c r="C20" i="16"/>
  <c r="D20" i="16"/>
  <c r="E20" i="16"/>
  <c r="F20" i="16"/>
  <c r="A21" i="16"/>
  <c r="B21" i="16"/>
  <c r="F21" i="16"/>
  <c r="A22" i="16"/>
  <c r="B22" i="16"/>
  <c r="F22" i="16"/>
  <c r="A23" i="16"/>
  <c r="B23" i="16"/>
  <c r="F23" i="16"/>
  <c r="A24" i="16"/>
  <c r="B24" i="16"/>
  <c r="F24" i="16"/>
  <c r="A25" i="16"/>
  <c r="B25" i="16"/>
  <c r="F25" i="16"/>
  <c r="A26" i="16"/>
  <c r="B26" i="16"/>
  <c r="F26" i="16"/>
  <c r="B27" i="16"/>
  <c r="F27" i="16"/>
  <c r="B28" i="16"/>
  <c r="F28" i="16"/>
  <c r="B29" i="16"/>
  <c r="F29" i="16"/>
  <c r="B30" i="16"/>
  <c r="F30" i="16"/>
  <c r="B31" i="16"/>
  <c r="F31" i="16"/>
  <c r="B32" i="16"/>
  <c r="F32" i="16"/>
  <c r="B33" i="16"/>
  <c r="F33" i="16"/>
  <c r="B34" i="16"/>
  <c r="F34" i="16"/>
  <c r="B35" i="16"/>
  <c r="F35" i="16"/>
  <c r="B36" i="16"/>
  <c r="F36" i="16"/>
  <c r="B37" i="16"/>
  <c r="F37" i="16"/>
  <c r="B38" i="16"/>
  <c r="F38" i="16"/>
  <c r="B39" i="16"/>
  <c r="F39" i="16"/>
  <c r="B40" i="16"/>
  <c r="C40" i="16"/>
  <c r="D40" i="16"/>
  <c r="F40" i="16"/>
  <c r="B41" i="16"/>
  <c r="C41" i="16"/>
  <c r="D41" i="16"/>
  <c r="F41" i="16"/>
  <c r="A42" i="16"/>
  <c r="B42" i="16"/>
  <c r="D42" i="16"/>
  <c r="F42" i="16"/>
  <c r="A43" i="16"/>
  <c r="B43" i="16"/>
  <c r="D43" i="16"/>
  <c r="E43" i="16"/>
  <c r="F43" i="16"/>
  <c r="A44" i="16"/>
  <c r="B44" i="16"/>
  <c r="D44" i="16"/>
  <c r="F44" i="16"/>
  <c r="B45" i="16"/>
  <c r="D45" i="16"/>
  <c r="F45" i="16"/>
  <c r="B46" i="16"/>
  <c r="D46" i="16"/>
  <c r="F46" i="16"/>
  <c r="B47" i="16"/>
  <c r="C47" i="16"/>
  <c r="D47" i="16"/>
  <c r="F47" i="16"/>
  <c r="B48" i="16"/>
  <c r="D48" i="16"/>
  <c r="F48" i="16"/>
  <c r="B49" i="16"/>
  <c r="C49" i="16"/>
  <c r="D49" i="16"/>
  <c r="E49" i="16"/>
  <c r="F49" i="16"/>
  <c r="B50" i="16"/>
  <c r="C50" i="16"/>
  <c r="D50" i="16"/>
  <c r="E50" i="16"/>
  <c r="F50" i="16"/>
  <c r="B51" i="16"/>
  <c r="C51" i="16"/>
  <c r="D51" i="16"/>
  <c r="E51" i="16"/>
  <c r="F51" i="16"/>
  <c r="B52" i="16"/>
  <c r="C52" i="16"/>
  <c r="D52" i="16"/>
  <c r="E52" i="16"/>
  <c r="F52" i="16"/>
  <c r="B53" i="16"/>
  <c r="C53" i="16"/>
  <c r="D53" i="16"/>
  <c r="E53" i="16"/>
  <c r="F53" i="16"/>
  <c r="B54" i="16"/>
  <c r="C54" i="16"/>
  <c r="D54" i="16"/>
  <c r="E54" i="16"/>
  <c r="F54" i="16"/>
  <c r="B55" i="16"/>
  <c r="C55" i="16"/>
  <c r="D55" i="16"/>
  <c r="E55" i="16"/>
  <c r="F55" i="16"/>
  <c r="B56" i="16"/>
  <c r="C56" i="16"/>
  <c r="D56" i="16"/>
  <c r="E56" i="16"/>
  <c r="F56" i="16"/>
  <c r="A57" i="16"/>
  <c r="B57" i="16"/>
  <c r="C57" i="16"/>
  <c r="D57" i="16"/>
  <c r="E57" i="16"/>
  <c r="F57" i="16"/>
  <c r="A58" i="16"/>
  <c r="B58" i="16"/>
  <c r="C58" i="16"/>
  <c r="D58" i="16"/>
  <c r="E58" i="16"/>
  <c r="F58" i="16"/>
  <c r="A59" i="16"/>
  <c r="B59" i="16"/>
  <c r="C59" i="16"/>
  <c r="D59" i="16"/>
  <c r="E59" i="16"/>
  <c r="F59" i="16"/>
  <c r="A60" i="16"/>
  <c r="B60" i="16"/>
  <c r="C60" i="16"/>
  <c r="D60" i="16"/>
  <c r="E60" i="16"/>
  <c r="F60" i="16"/>
  <c r="A61" i="16"/>
  <c r="B61" i="16"/>
  <c r="C61" i="16"/>
  <c r="D61" i="16"/>
  <c r="E61" i="16"/>
  <c r="F61" i="16"/>
  <c r="A62" i="16"/>
  <c r="B62" i="16"/>
  <c r="C62" i="16"/>
  <c r="D62" i="16"/>
  <c r="E62" i="16"/>
  <c r="F62" i="16"/>
  <c r="A63" i="16"/>
  <c r="B63" i="16"/>
  <c r="C63" i="16"/>
  <c r="D63" i="16"/>
  <c r="E63" i="16"/>
  <c r="F63" i="16"/>
  <c r="A64" i="16"/>
  <c r="B64" i="16"/>
  <c r="C64" i="16"/>
  <c r="D64" i="16"/>
  <c r="E64" i="16"/>
  <c r="F64" i="16"/>
  <c r="A65" i="16"/>
  <c r="B65" i="16"/>
  <c r="C65" i="16"/>
  <c r="D65" i="16"/>
  <c r="E65" i="16"/>
  <c r="F65" i="16"/>
  <c r="A66" i="16"/>
  <c r="B66" i="16"/>
  <c r="C66" i="16"/>
  <c r="D66" i="16"/>
  <c r="E66" i="16"/>
  <c r="F66" i="16"/>
  <c r="A67" i="16"/>
  <c r="B67" i="16"/>
  <c r="C67" i="16"/>
  <c r="D67" i="16"/>
  <c r="E67" i="16"/>
  <c r="F67" i="16"/>
  <c r="A68" i="16"/>
  <c r="B68" i="16"/>
  <c r="C68" i="16"/>
  <c r="D68" i="16"/>
  <c r="E68" i="16"/>
  <c r="F68" i="16"/>
  <c r="A69" i="16"/>
  <c r="B69" i="16"/>
  <c r="C69" i="16"/>
  <c r="D69" i="16"/>
  <c r="E69" i="16"/>
  <c r="F69" i="16"/>
  <c r="A70" i="16"/>
  <c r="B70" i="16"/>
  <c r="C70" i="16"/>
  <c r="D70" i="16"/>
  <c r="E70" i="16"/>
  <c r="F70" i="16"/>
  <c r="A71" i="16"/>
  <c r="B71" i="16"/>
  <c r="C71" i="16"/>
  <c r="D71" i="16"/>
  <c r="E71" i="16"/>
  <c r="F71" i="16"/>
  <c r="A72" i="16"/>
  <c r="B72" i="16"/>
  <c r="C72" i="16"/>
  <c r="D72" i="16"/>
  <c r="E72" i="16"/>
  <c r="F72" i="16"/>
  <c r="A73" i="16"/>
  <c r="B73" i="16"/>
  <c r="C73" i="16"/>
  <c r="D73" i="16"/>
  <c r="E73" i="16"/>
  <c r="F73" i="16"/>
  <c r="A74" i="16"/>
  <c r="B74" i="16"/>
  <c r="C74" i="16"/>
  <c r="D74" i="16"/>
  <c r="E74" i="16"/>
  <c r="F74" i="16"/>
  <c r="E4" i="16"/>
  <c r="D4" i="16"/>
  <c r="C4" i="16"/>
  <c r="A4" i="16"/>
  <c r="AZ24" i="10"/>
  <c r="BA25" i="10"/>
  <c r="AZ25" i="10"/>
  <c r="BA22" i="10"/>
  <c r="BB23" i="10" s="1"/>
  <c r="BA23" i="10"/>
  <c r="BL37" i="2"/>
  <c r="BM37" i="2"/>
  <c r="CI49" i="1"/>
  <c r="O6" i="7"/>
  <c r="F8" i="16" s="1"/>
  <c r="P6" i="7"/>
  <c r="F8" i="17" s="1"/>
  <c r="I37" i="7"/>
  <c r="D39" i="16" s="1"/>
  <c r="N5" i="7"/>
  <c r="B7" i="17" s="1"/>
  <c r="N6" i="7"/>
  <c r="B8" i="16" s="1"/>
  <c r="N7" i="7"/>
  <c r="B9" i="17" s="1"/>
  <c r="N8" i="7"/>
  <c r="B10" i="16" s="1"/>
  <c r="C22" i="7"/>
  <c r="A24" i="17" s="1"/>
  <c r="C23" i="7"/>
  <c r="A25" i="17" s="1"/>
  <c r="C24" i="7"/>
  <c r="A26" i="17" s="1"/>
  <c r="C25" i="7"/>
  <c r="A27" i="17" s="1"/>
  <c r="C26" i="7"/>
  <c r="A28" i="17" s="1"/>
  <c r="C27" i="7"/>
  <c r="A29" i="17" s="1"/>
  <c r="B35" i="7"/>
  <c r="A37" i="16" s="1"/>
  <c r="B36" i="7"/>
  <c r="A38" i="16" s="1"/>
  <c r="B37" i="7"/>
  <c r="A39" i="16" s="1"/>
  <c r="B38" i="7"/>
  <c r="A40" i="16" s="1"/>
  <c r="B39" i="7"/>
  <c r="A41" i="16" s="1"/>
  <c r="A46" i="7"/>
  <c r="A47" i="18" s="1"/>
  <c r="A47" i="7"/>
  <c r="A48" i="18" s="1"/>
  <c r="A48" i="7"/>
  <c r="A49" i="18" s="1"/>
  <c r="A49" i="7"/>
  <c r="A50" i="18" s="1"/>
  <c r="U6" i="14"/>
  <c r="CH6" i="6" s="1"/>
  <c r="U5" i="14"/>
  <c r="CH5" i="6" s="1"/>
  <c r="BF23" i="6"/>
  <c r="BZ23" i="6" s="1"/>
  <c r="BF22" i="6"/>
  <c r="BZ22" i="6" s="1"/>
  <c r="AN23" i="6"/>
  <c r="BY23" i="6" s="1"/>
  <c r="AN22" i="6"/>
  <c r="BY22" i="6" s="1"/>
  <c r="V23" i="6"/>
  <c r="BX23" i="6" s="1"/>
  <c r="V22" i="6"/>
  <c r="BX22" i="6" s="1"/>
  <c r="G23" i="6"/>
  <c r="L22" i="7" s="1"/>
  <c r="D24" i="17" s="1"/>
  <c r="G22" i="6"/>
  <c r="L21" i="7" s="1"/>
  <c r="D23" i="17" s="1"/>
  <c r="G6" i="14"/>
  <c r="O5" i="7" s="1"/>
  <c r="F7" i="16" s="1"/>
  <c r="G5" i="14"/>
  <c r="O4" i="7" s="1"/>
  <c r="F6" i="16" s="1"/>
  <c r="AW36" i="2"/>
  <c r="BM36" i="2" s="1"/>
  <c r="AW35" i="2"/>
  <c r="BM35" i="2" s="1"/>
  <c r="AI36" i="2"/>
  <c r="BL36" i="2" s="1"/>
  <c r="AI35" i="2"/>
  <c r="BL35" i="2" s="1"/>
  <c r="U36" i="2"/>
  <c r="BK36" i="2" s="1"/>
  <c r="U35" i="2"/>
  <c r="BK35" i="2" s="1"/>
  <c r="G36" i="2"/>
  <c r="I35" i="7" s="1"/>
  <c r="D37" i="16" s="1"/>
  <c r="G35" i="2"/>
  <c r="I34" i="7" s="1"/>
  <c r="D36" i="16" s="1"/>
  <c r="BT47" i="1"/>
  <c r="F46" i="7" s="1"/>
  <c r="D47" i="18" s="1"/>
  <c r="BT46" i="1"/>
  <c r="F45" i="7" s="1"/>
  <c r="D46" i="18" s="1"/>
  <c r="BC47" i="1"/>
  <c r="CK47" i="1" s="1"/>
  <c r="BC46" i="1"/>
  <c r="CK46" i="1" s="1"/>
  <c r="AL47" i="1"/>
  <c r="CJ47" i="1" s="1"/>
  <c r="AL46" i="1"/>
  <c r="CJ46" i="1" s="1"/>
  <c r="U47" i="1"/>
  <c r="U46" i="1"/>
  <c r="CI46" i="1" s="1"/>
  <c r="G47" i="1"/>
  <c r="D46" i="7" s="1"/>
  <c r="B47" i="18" s="1"/>
  <c r="G46" i="1"/>
  <c r="D45" i="7" s="1"/>
  <c r="B46" i="18" s="1"/>
  <c r="M21" i="15"/>
  <c r="M5" i="17" s="1"/>
  <c r="N21" i="15"/>
  <c r="N5" i="17" s="1"/>
  <c r="M22" i="15"/>
  <c r="M6" i="17" s="1"/>
  <c r="N22" i="15"/>
  <c r="N6" i="17" s="1"/>
  <c r="M23" i="15"/>
  <c r="M7" i="17" s="1"/>
  <c r="N23" i="15"/>
  <c r="N7" i="17" s="1"/>
  <c r="M9" i="17"/>
  <c r="N9" i="17"/>
  <c r="N20" i="15"/>
  <c r="N4" i="17" s="1"/>
  <c r="M20" i="15"/>
  <c r="M4" i="17" s="1"/>
  <c r="K4" i="15"/>
  <c r="L4" i="15"/>
  <c r="K5" i="15"/>
  <c r="L5" i="15"/>
  <c r="K6" i="15"/>
  <c r="L6" i="15"/>
  <c r="K7" i="15"/>
  <c r="L7" i="15"/>
  <c r="K8" i="15"/>
  <c r="L8" i="15"/>
  <c r="K9" i="15"/>
  <c r="L9" i="15"/>
  <c r="K10" i="15"/>
  <c r="L10" i="15"/>
  <c r="K11" i="15"/>
  <c r="L11" i="15"/>
  <c r="K12" i="15"/>
  <c r="L12" i="15"/>
  <c r="K13" i="15"/>
  <c r="L13" i="15"/>
  <c r="K14" i="15"/>
  <c r="L14" i="15"/>
  <c r="K15" i="15"/>
  <c r="L15" i="15"/>
  <c r="K16" i="15"/>
  <c r="L16" i="15"/>
  <c r="K17" i="15"/>
  <c r="L17" i="15"/>
  <c r="K18" i="15"/>
  <c r="L18" i="15"/>
  <c r="K19" i="15"/>
  <c r="L19" i="15"/>
  <c r="K20" i="15"/>
  <c r="L20" i="15"/>
  <c r="K21" i="15"/>
  <c r="L21" i="15"/>
  <c r="K22" i="15"/>
  <c r="L22" i="15"/>
  <c r="K23" i="15"/>
  <c r="L23" i="15"/>
  <c r="L3" i="15"/>
  <c r="K3" i="15"/>
  <c r="I4" i="15"/>
  <c r="J4" i="15"/>
  <c r="I5" i="15"/>
  <c r="J5" i="15"/>
  <c r="I6" i="15"/>
  <c r="J6" i="15"/>
  <c r="I7" i="15"/>
  <c r="J7" i="15"/>
  <c r="I8" i="15"/>
  <c r="J8" i="15"/>
  <c r="I9" i="15"/>
  <c r="J9" i="15"/>
  <c r="I10" i="15"/>
  <c r="J10" i="15"/>
  <c r="I11" i="15"/>
  <c r="J11" i="15"/>
  <c r="I12" i="15"/>
  <c r="J12" i="15"/>
  <c r="I13" i="15"/>
  <c r="J13" i="15"/>
  <c r="I14" i="15"/>
  <c r="J14" i="15"/>
  <c r="I15" i="15"/>
  <c r="J15" i="15"/>
  <c r="I16" i="15"/>
  <c r="J16" i="15"/>
  <c r="I17" i="15"/>
  <c r="J17" i="15"/>
  <c r="I18" i="15"/>
  <c r="J18" i="15"/>
  <c r="I19" i="15"/>
  <c r="J19" i="15"/>
  <c r="I20" i="15"/>
  <c r="J20" i="15"/>
  <c r="I21" i="15"/>
  <c r="J21" i="15"/>
  <c r="I22" i="15"/>
  <c r="J22" i="15"/>
  <c r="I23" i="15"/>
  <c r="J23" i="15"/>
  <c r="J3" i="15"/>
  <c r="I3" i="15"/>
  <c r="G4" i="15"/>
  <c r="H4" i="15"/>
  <c r="G5" i="15"/>
  <c r="H5" i="15"/>
  <c r="G6" i="15"/>
  <c r="H6" i="15"/>
  <c r="G7" i="15"/>
  <c r="H7" i="15"/>
  <c r="G8" i="15"/>
  <c r="H8" i="15"/>
  <c r="G9" i="15"/>
  <c r="H9" i="15"/>
  <c r="G10" i="15"/>
  <c r="H10" i="15"/>
  <c r="G11" i="15"/>
  <c r="H11" i="15"/>
  <c r="G12" i="15"/>
  <c r="H12" i="15"/>
  <c r="G13" i="15"/>
  <c r="H13" i="15"/>
  <c r="G14" i="15"/>
  <c r="H14" i="15"/>
  <c r="G15" i="15"/>
  <c r="H15" i="15"/>
  <c r="G16" i="15"/>
  <c r="H16" i="15"/>
  <c r="G17" i="15"/>
  <c r="H17" i="15"/>
  <c r="G18" i="15"/>
  <c r="H18" i="15"/>
  <c r="G19" i="15"/>
  <c r="H19" i="15"/>
  <c r="G20" i="15"/>
  <c r="H20" i="15"/>
  <c r="G21" i="15"/>
  <c r="H21" i="15"/>
  <c r="G22" i="15"/>
  <c r="H22" i="15"/>
  <c r="G23" i="15"/>
  <c r="H23" i="15"/>
  <c r="H3" i="15"/>
  <c r="G3" i="15"/>
  <c r="F4" i="15"/>
  <c r="L5" i="17" s="1"/>
  <c r="F5" i="15"/>
  <c r="L6" i="17" s="1"/>
  <c r="F6" i="15"/>
  <c r="L7" i="17" s="1"/>
  <c r="F7" i="15"/>
  <c r="L8" i="17" s="1"/>
  <c r="F8" i="15"/>
  <c r="L9" i="17" s="1"/>
  <c r="F9" i="15"/>
  <c r="L10" i="17" s="1"/>
  <c r="F10" i="15"/>
  <c r="L11" i="17" s="1"/>
  <c r="F11" i="15"/>
  <c r="L12" i="17" s="1"/>
  <c r="F12" i="15"/>
  <c r="L13" i="17" s="1"/>
  <c r="F13" i="15"/>
  <c r="L14" i="17" s="1"/>
  <c r="F14" i="15"/>
  <c r="L15" i="17" s="1"/>
  <c r="F15" i="15"/>
  <c r="L16" i="17" s="1"/>
  <c r="F16" i="15"/>
  <c r="L17" i="17" s="1"/>
  <c r="F17" i="15"/>
  <c r="L18" i="17" s="1"/>
  <c r="F18" i="15"/>
  <c r="L19" i="17" s="1"/>
  <c r="F19" i="15"/>
  <c r="L20" i="17" s="1"/>
  <c r="F20" i="15"/>
  <c r="L21" i="17" s="1"/>
  <c r="F21" i="15"/>
  <c r="L22" i="17" s="1"/>
  <c r="F22" i="15"/>
  <c r="L23" i="17" s="1"/>
  <c r="F23" i="15"/>
  <c r="L24" i="17" s="1"/>
  <c r="F3" i="15"/>
  <c r="L4" i="17" s="1"/>
  <c r="E4" i="15"/>
  <c r="K5" i="17" s="1"/>
  <c r="E5" i="15"/>
  <c r="K6" i="17" s="1"/>
  <c r="E6" i="15"/>
  <c r="K7" i="17" s="1"/>
  <c r="E7" i="15"/>
  <c r="K8" i="17" s="1"/>
  <c r="E8" i="15"/>
  <c r="K9" i="17" s="1"/>
  <c r="E9" i="15"/>
  <c r="K10" i="17" s="1"/>
  <c r="E10" i="15"/>
  <c r="K11" i="17" s="1"/>
  <c r="E11" i="15"/>
  <c r="K12" i="17" s="1"/>
  <c r="E12" i="15"/>
  <c r="K13" i="17" s="1"/>
  <c r="E13" i="15"/>
  <c r="K14" i="17" s="1"/>
  <c r="E14" i="15"/>
  <c r="K15" i="17" s="1"/>
  <c r="E15" i="15"/>
  <c r="K16" i="17" s="1"/>
  <c r="E16" i="15"/>
  <c r="K17" i="17" s="1"/>
  <c r="E17" i="15"/>
  <c r="K18" i="17" s="1"/>
  <c r="E18" i="15"/>
  <c r="K19" i="17" s="1"/>
  <c r="E19" i="15"/>
  <c r="K20" i="17" s="1"/>
  <c r="E20" i="15"/>
  <c r="K21" i="17" s="1"/>
  <c r="E21" i="15"/>
  <c r="K22" i="17" s="1"/>
  <c r="E22" i="15"/>
  <c r="K23" i="17" s="1"/>
  <c r="E23" i="15"/>
  <c r="K24" i="17" s="1"/>
  <c r="E3" i="15"/>
  <c r="K4" i="17" s="1"/>
  <c r="BM49" i="8"/>
  <c r="BM50" i="8"/>
  <c r="BI49" i="8"/>
  <c r="BI50" i="8"/>
  <c r="BE49" i="8"/>
  <c r="BE50" i="8"/>
  <c r="BA49" i="8"/>
  <c r="BA50" i="8"/>
  <c r="AW49" i="8"/>
  <c r="AW50" i="8"/>
  <c r="AR49" i="8"/>
  <c r="AR50" i="8"/>
  <c r="AN49" i="8"/>
  <c r="AN50" i="8"/>
  <c r="AJ49" i="8"/>
  <c r="AJ50" i="8"/>
  <c r="AF49" i="8"/>
  <c r="AF50" i="8"/>
  <c r="AB49" i="8"/>
  <c r="AB50" i="8"/>
  <c r="V49" i="8"/>
  <c r="V50" i="8"/>
  <c r="R49" i="8"/>
  <c r="R50" i="8"/>
  <c r="N49" i="8"/>
  <c r="N50" i="8"/>
  <c r="J49" i="8"/>
  <c r="J50" i="8"/>
  <c r="F49" i="8"/>
  <c r="F50" i="8"/>
  <c r="AI35" i="9"/>
  <c r="AV35" i="9" s="1"/>
  <c r="AJ35" i="9"/>
  <c r="AW35" i="9" s="1"/>
  <c r="AI36" i="9"/>
  <c r="AV36" i="9" s="1"/>
  <c r="AJ36" i="9"/>
  <c r="AW36" i="9" s="1"/>
  <c r="AI37" i="9"/>
  <c r="AV37" i="9" s="1"/>
  <c r="AJ37" i="9"/>
  <c r="AW37" i="9" s="1"/>
  <c r="AI38" i="9"/>
  <c r="AV38" i="9" s="1"/>
  <c r="AJ38" i="9"/>
  <c r="AW38" i="9" s="1"/>
  <c r="AI39" i="9"/>
  <c r="M10" i="16" s="1"/>
  <c r="AJ39" i="9"/>
  <c r="N10" i="16" s="1"/>
  <c r="AW34" i="9"/>
  <c r="AV34" i="9"/>
  <c r="Y37" i="9"/>
  <c r="AL37" i="9" s="1"/>
  <c r="Z37" i="9"/>
  <c r="AM37" i="9" s="1"/>
  <c r="AA37" i="9"/>
  <c r="O37" i="16" s="1"/>
  <c r="AB37" i="9"/>
  <c r="P37" i="16" s="1"/>
  <c r="AC37" i="9"/>
  <c r="AP37" i="9" s="1"/>
  <c r="AD37" i="9"/>
  <c r="AQ37" i="9" s="1"/>
  <c r="AE37" i="9"/>
  <c r="AR37" i="9" s="1"/>
  <c r="AF37" i="9"/>
  <c r="AS37" i="9" s="1"/>
  <c r="AG37" i="9"/>
  <c r="AT37" i="9" s="1"/>
  <c r="BG37" i="9" s="1"/>
  <c r="AH37" i="9"/>
  <c r="AU37" i="9" s="1"/>
  <c r="AO37" i="9"/>
  <c r="Y38" i="9"/>
  <c r="AL38" i="9" s="1"/>
  <c r="Z38" i="9"/>
  <c r="AM38" i="9" s="1"/>
  <c r="AA38" i="9"/>
  <c r="AN38" i="9" s="1"/>
  <c r="AB38" i="9"/>
  <c r="AO38" i="9" s="1"/>
  <c r="AC38" i="9"/>
  <c r="AP38" i="9" s="1"/>
  <c r="AD38" i="9"/>
  <c r="AQ38" i="9" s="1"/>
  <c r="AE38" i="9"/>
  <c r="AR38" i="9" s="1"/>
  <c r="AF38" i="9"/>
  <c r="AS38" i="9" s="1"/>
  <c r="AG38" i="9"/>
  <c r="AT38" i="9" s="1"/>
  <c r="BG38" i="9" s="1"/>
  <c r="AH38" i="9"/>
  <c r="AU38" i="9" s="1"/>
  <c r="Y39" i="9"/>
  <c r="Z39" i="9"/>
  <c r="AA39" i="9"/>
  <c r="O39" i="16" s="1"/>
  <c r="AB39" i="9"/>
  <c r="AC39" i="9"/>
  <c r="AD39" i="9"/>
  <c r="AE39" i="9"/>
  <c r="AR39" i="9" s="1"/>
  <c r="AF39" i="9"/>
  <c r="AS39" i="9" s="1"/>
  <c r="AG39" i="9"/>
  <c r="AT39" i="9" s="1"/>
  <c r="AH39" i="9"/>
  <c r="AU39" i="9" s="1"/>
  <c r="Y33" i="9"/>
  <c r="AL33" i="9" s="1"/>
  <c r="Z33" i="9"/>
  <c r="AM33" i="9" s="1"/>
  <c r="AA33" i="9"/>
  <c r="AB33" i="9"/>
  <c r="AO33" i="9" s="1"/>
  <c r="AC33" i="9"/>
  <c r="AP33" i="9" s="1"/>
  <c r="AD33" i="9"/>
  <c r="AQ33" i="9" s="1"/>
  <c r="AE33" i="9"/>
  <c r="AR33" i="9" s="1"/>
  <c r="AF33" i="9"/>
  <c r="AS33" i="9" s="1"/>
  <c r="AG33" i="9"/>
  <c r="AT33" i="9" s="1"/>
  <c r="AH33" i="9"/>
  <c r="AU33" i="9" s="1"/>
  <c r="AN33" i="9"/>
  <c r="Y34" i="9"/>
  <c r="K34" i="16" s="1"/>
  <c r="Z34" i="9"/>
  <c r="AM34" i="9" s="1"/>
  <c r="AA34" i="9"/>
  <c r="AN34" i="9" s="1"/>
  <c r="AB34" i="9"/>
  <c r="AO34" i="9" s="1"/>
  <c r="AC34" i="9"/>
  <c r="AP34" i="9" s="1"/>
  <c r="AD34" i="9"/>
  <c r="AQ34" i="9" s="1"/>
  <c r="AE34" i="9"/>
  <c r="AR34" i="9" s="1"/>
  <c r="AF34" i="9"/>
  <c r="AS34" i="9" s="1"/>
  <c r="AG34" i="9"/>
  <c r="AT34" i="9" s="1"/>
  <c r="BG34" i="9" s="1"/>
  <c r="AH34" i="9"/>
  <c r="AU34" i="9" s="1"/>
  <c r="AL34" i="9"/>
  <c r="Y35" i="9"/>
  <c r="AL35" i="9" s="1"/>
  <c r="Z35" i="9"/>
  <c r="AM35" i="9" s="1"/>
  <c r="AA35" i="9"/>
  <c r="AN35" i="9" s="1"/>
  <c r="AB35" i="9"/>
  <c r="AO35" i="9" s="1"/>
  <c r="AC35" i="9"/>
  <c r="AP35" i="9" s="1"/>
  <c r="AD35" i="9"/>
  <c r="AQ35" i="9" s="1"/>
  <c r="AE35" i="9"/>
  <c r="AR35" i="9" s="1"/>
  <c r="AF35" i="9"/>
  <c r="AS35" i="9" s="1"/>
  <c r="AG35" i="9"/>
  <c r="AT35" i="9" s="1"/>
  <c r="BG35" i="9" s="1"/>
  <c r="AH35" i="9"/>
  <c r="AU35" i="9" s="1"/>
  <c r="Y36" i="9"/>
  <c r="AL36" i="9" s="1"/>
  <c r="Z36" i="9"/>
  <c r="AM36" i="9" s="1"/>
  <c r="AA36" i="9"/>
  <c r="AN36" i="9" s="1"/>
  <c r="AB36" i="9"/>
  <c r="AO36" i="9" s="1"/>
  <c r="AC36" i="9"/>
  <c r="AP36" i="9" s="1"/>
  <c r="AD36" i="9"/>
  <c r="AQ36" i="9" s="1"/>
  <c r="AE36" i="9"/>
  <c r="AR36" i="9" s="1"/>
  <c r="AF36" i="9"/>
  <c r="AS36" i="9" s="1"/>
  <c r="AG36" i="9"/>
  <c r="AT36" i="9" s="1"/>
  <c r="BG36" i="9" s="1"/>
  <c r="AH36" i="9"/>
  <c r="AU36" i="9" s="1"/>
  <c r="AG32" i="9"/>
  <c r="AT32" i="9" s="1"/>
  <c r="AH32" i="9"/>
  <c r="AU32" i="9" s="1"/>
  <c r="AE32" i="9"/>
  <c r="AR32" i="9" s="1"/>
  <c r="AF32" i="9"/>
  <c r="AS32" i="9" s="1"/>
  <c r="AC32" i="9"/>
  <c r="AP32" i="9" s="1"/>
  <c r="AD32" i="9"/>
  <c r="AQ32" i="9" s="1"/>
  <c r="AA32" i="9"/>
  <c r="AN32" i="9" s="1"/>
  <c r="AB32" i="9"/>
  <c r="AO32" i="9" s="1"/>
  <c r="Y32" i="9"/>
  <c r="AL32" i="9" s="1"/>
  <c r="Z32" i="9"/>
  <c r="AM32" i="9" s="1"/>
  <c r="AG31" i="9"/>
  <c r="AT31" i="9" s="1"/>
  <c r="AH31" i="9"/>
  <c r="AU31" i="9" s="1"/>
  <c r="AE31" i="9"/>
  <c r="AR31" i="9" s="1"/>
  <c r="AF31" i="9"/>
  <c r="AS31" i="9" s="1"/>
  <c r="AC31" i="9"/>
  <c r="AP31" i="9" s="1"/>
  <c r="AD31" i="9"/>
  <c r="AQ31" i="9" s="1"/>
  <c r="AA31" i="9"/>
  <c r="AN31" i="9" s="1"/>
  <c r="AB31" i="9"/>
  <c r="AO31" i="9" s="1"/>
  <c r="Y31" i="9"/>
  <c r="AL31" i="9" s="1"/>
  <c r="Z31" i="9"/>
  <c r="AM31" i="9" s="1"/>
  <c r="AG30" i="9"/>
  <c r="AT30" i="9" s="1"/>
  <c r="AH30" i="9"/>
  <c r="AU30" i="9" s="1"/>
  <c r="AE30" i="9"/>
  <c r="AR30" i="9" s="1"/>
  <c r="AF30" i="9"/>
  <c r="AS30" i="9" s="1"/>
  <c r="AC30" i="9"/>
  <c r="AP30" i="9" s="1"/>
  <c r="AD30" i="9"/>
  <c r="AQ30" i="9" s="1"/>
  <c r="AA30" i="9"/>
  <c r="AN30" i="9" s="1"/>
  <c r="AB30" i="9"/>
  <c r="AO30" i="9" s="1"/>
  <c r="Y30" i="9"/>
  <c r="AL30" i="9" s="1"/>
  <c r="Z30" i="9"/>
  <c r="AM30" i="9" s="1"/>
  <c r="AG29" i="9"/>
  <c r="AT29" i="9" s="1"/>
  <c r="AH29" i="9"/>
  <c r="AU29" i="9" s="1"/>
  <c r="AE29" i="9"/>
  <c r="AR29" i="9" s="1"/>
  <c r="AF29" i="9"/>
  <c r="AS29" i="9" s="1"/>
  <c r="AC29" i="9"/>
  <c r="AP29" i="9" s="1"/>
  <c r="AD29" i="9"/>
  <c r="AQ29" i="9" s="1"/>
  <c r="AA29" i="9"/>
  <c r="AN29" i="9" s="1"/>
  <c r="AB29" i="9"/>
  <c r="AO29" i="9" s="1"/>
  <c r="Y29" i="9"/>
  <c r="AL29" i="9" s="1"/>
  <c r="Z29" i="9"/>
  <c r="AM29" i="9" s="1"/>
  <c r="BM46" i="8"/>
  <c r="F93" i="8" s="1"/>
  <c r="H93" i="8" s="1"/>
  <c r="I93" i="8" s="1"/>
  <c r="AR46" i="8"/>
  <c r="F88" i="8" s="1"/>
  <c r="H88" i="8" s="1"/>
  <c r="I88" i="8" s="1"/>
  <c r="BI46" i="8"/>
  <c r="BE46" i="8"/>
  <c r="BA46" i="8"/>
  <c r="AW46" i="8"/>
  <c r="AN46" i="8"/>
  <c r="AJ46" i="8"/>
  <c r="AF46" i="8"/>
  <c r="AB46" i="8"/>
  <c r="V46" i="8"/>
  <c r="R46" i="8"/>
  <c r="N46" i="8"/>
  <c r="J46" i="8"/>
  <c r="J47" i="8"/>
  <c r="J48" i="8"/>
  <c r="F46" i="8"/>
  <c r="BI44" i="8"/>
  <c r="BE44" i="8"/>
  <c r="BA44" i="8"/>
  <c r="AW44" i="8"/>
  <c r="AN44" i="8"/>
  <c r="AJ44" i="8"/>
  <c r="AF44" i="8"/>
  <c r="AB44" i="8"/>
  <c r="BI43" i="8"/>
  <c r="BE43" i="8"/>
  <c r="BA43" i="8"/>
  <c r="AW43" i="8"/>
  <c r="AN43" i="8"/>
  <c r="AJ43" i="8"/>
  <c r="AF43" i="8"/>
  <c r="AB43" i="8"/>
  <c r="V43" i="8"/>
  <c r="R43" i="8"/>
  <c r="N43" i="8"/>
  <c r="J43" i="8"/>
  <c r="F43" i="8"/>
  <c r="BI42" i="8"/>
  <c r="BE42" i="8"/>
  <c r="BA42" i="8"/>
  <c r="AW42" i="8"/>
  <c r="AN42" i="8"/>
  <c r="AJ42" i="8"/>
  <c r="AF42" i="8"/>
  <c r="AB42" i="8"/>
  <c r="V42" i="8"/>
  <c r="R42" i="8"/>
  <c r="N42" i="8"/>
  <c r="J42" i="8"/>
  <c r="F42" i="8"/>
  <c r="BI41" i="8"/>
  <c r="BE41" i="8"/>
  <c r="BA41" i="8"/>
  <c r="AW41" i="8"/>
  <c r="AN41" i="8"/>
  <c r="AJ41" i="8"/>
  <c r="AF41" i="8"/>
  <c r="AB41" i="8"/>
  <c r="V41" i="8"/>
  <c r="R41" i="8"/>
  <c r="N41" i="8"/>
  <c r="J41" i="8"/>
  <c r="F41" i="8"/>
  <c r="N3" i="7"/>
  <c r="B5" i="17" s="1"/>
  <c r="N4" i="7"/>
  <c r="B6" i="16" s="1"/>
  <c r="N2" i="7"/>
  <c r="B4" i="16" s="1"/>
  <c r="C15" i="7"/>
  <c r="A17" i="17" s="1"/>
  <c r="C16" i="7"/>
  <c r="A18" i="17" s="1"/>
  <c r="C17" i="7"/>
  <c r="A19" i="17" s="1"/>
  <c r="C18" i="7"/>
  <c r="A20" i="17" s="1"/>
  <c r="C19" i="7"/>
  <c r="A21" i="17" s="1"/>
  <c r="C20" i="7"/>
  <c r="A22" i="17" s="1"/>
  <c r="C21" i="7"/>
  <c r="A23" i="17" s="1"/>
  <c r="B31" i="7"/>
  <c r="A33" i="16" s="1"/>
  <c r="B32" i="7"/>
  <c r="A34" i="16" s="1"/>
  <c r="B33" i="7"/>
  <c r="A35" i="16" s="1"/>
  <c r="B34" i="7"/>
  <c r="A36" i="16" s="1"/>
  <c r="A45" i="7"/>
  <c r="A46" i="18" s="1"/>
  <c r="A43" i="7"/>
  <c r="A44" i="18" s="1"/>
  <c r="A44" i="7"/>
  <c r="A45" i="18" s="1"/>
  <c r="CU15" i="6"/>
  <c r="CU14" i="6"/>
  <c r="CI40" i="2"/>
  <c r="CI39" i="2"/>
  <c r="CI38" i="2"/>
  <c r="CI37" i="2"/>
  <c r="CI35" i="2"/>
  <c r="CI34" i="2"/>
  <c r="AR17" i="14"/>
  <c r="AR15" i="14"/>
  <c r="AS15" i="14" s="1"/>
  <c r="AT15" i="14" s="1"/>
  <c r="AU15" i="14" s="1"/>
  <c r="DE41" i="1"/>
  <c r="DE40" i="1"/>
  <c r="DE39" i="1"/>
  <c r="G4" i="14"/>
  <c r="O3" i="7" s="1"/>
  <c r="F5" i="16" s="1"/>
  <c r="G3" i="14"/>
  <c r="O2" i="7" s="1"/>
  <c r="F4" i="16" s="1"/>
  <c r="U4" i="14"/>
  <c r="CH4" i="6" s="1"/>
  <c r="U3" i="14"/>
  <c r="CH3" i="6" s="1"/>
  <c r="BF21" i="6"/>
  <c r="BZ21" i="6" s="1"/>
  <c r="BF20" i="6"/>
  <c r="BZ20" i="6" s="1"/>
  <c r="BF19" i="6"/>
  <c r="BZ19" i="6" s="1"/>
  <c r="AN21" i="6"/>
  <c r="BY21" i="6" s="1"/>
  <c r="AN20" i="6"/>
  <c r="BY20" i="6" s="1"/>
  <c r="AN19" i="6"/>
  <c r="BY19" i="6" s="1"/>
  <c r="V21" i="6"/>
  <c r="BX21" i="6" s="1"/>
  <c r="V20" i="6"/>
  <c r="BX20" i="6" s="1"/>
  <c r="V19" i="6"/>
  <c r="BX19" i="6" s="1"/>
  <c r="G21" i="6"/>
  <c r="L20" i="7" s="1"/>
  <c r="D22" i="17" s="1"/>
  <c r="G20" i="6"/>
  <c r="L19" i="7" s="1"/>
  <c r="D21" i="17" s="1"/>
  <c r="G19" i="6"/>
  <c r="L18" i="7" s="1"/>
  <c r="D20" i="17" s="1"/>
  <c r="AW34" i="2"/>
  <c r="BM34" i="2" s="1"/>
  <c r="AW33" i="2"/>
  <c r="BM33" i="2" s="1"/>
  <c r="AW32" i="2"/>
  <c r="BM32" i="2" s="1"/>
  <c r="AI34" i="2"/>
  <c r="BL34" i="2" s="1"/>
  <c r="AI33" i="2"/>
  <c r="BL33" i="2" s="1"/>
  <c r="AI32" i="2"/>
  <c r="BL32" i="2" s="1"/>
  <c r="U34" i="2"/>
  <c r="BK34" i="2" s="1"/>
  <c r="U33" i="2"/>
  <c r="BK33" i="2" s="1"/>
  <c r="U32" i="2"/>
  <c r="BK32" i="2" s="1"/>
  <c r="G34" i="2"/>
  <c r="I33" i="7" s="1"/>
  <c r="D35" i="16" s="1"/>
  <c r="G33" i="2"/>
  <c r="I32" i="7" s="1"/>
  <c r="D34" i="16" s="1"/>
  <c r="G32" i="2"/>
  <c r="I31" i="7" s="1"/>
  <c r="D33" i="16" s="1"/>
  <c r="BT45" i="1"/>
  <c r="F44" i="7" s="1"/>
  <c r="D45" i="18" s="1"/>
  <c r="BT44" i="1"/>
  <c r="F43" i="7" s="1"/>
  <c r="D44" i="18" s="1"/>
  <c r="BC45" i="1"/>
  <c r="CK45" i="1" s="1"/>
  <c r="BC44" i="1"/>
  <c r="CK44" i="1" s="1"/>
  <c r="AL45" i="1"/>
  <c r="CJ45" i="1" s="1"/>
  <c r="AL44" i="1"/>
  <c r="CJ44" i="1" s="1"/>
  <c r="U45" i="1"/>
  <c r="CI45" i="1" s="1"/>
  <c r="U44" i="1"/>
  <c r="G45" i="1"/>
  <c r="D44" i="7" s="1"/>
  <c r="B45" i="18" s="1"/>
  <c r="G44" i="1"/>
  <c r="D43" i="7" s="1"/>
  <c r="B44" i="18" s="1"/>
  <c r="Y46" i="12"/>
  <c r="Z46" i="12"/>
  <c r="AA46" i="12"/>
  <c r="X46" i="12"/>
  <c r="Y41" i="12"/>
  <c r="Z41" i="12"/>
  <c r="AA41" i="12"/>
  <c r="X41" i="12"/>
  <c r="Y45" i="12"/>
  <c r="Z45" i="12"/>
  <c r="AA45" i="12"/>
  <c r="X45" i="12"/>
  <c r="AA44" i="12"/>
  <c r="Y44" i="12"/>
  <c r="Z44" i="12"/>
  <c r="X44" i="12"/>
  <c r="Y43" i="12"/>
  <c r="Z43" i="12"/>
  <c r="AA43" i="12"/>
  <c r="X43" i="12"/>
  <c r="AD42" i="12"/>
  <c r="B28" i="7"/>
  <c r="A30" i="16" s="1"/>
  <c r="B29" i="7"/>
  <c r="A31" i="16" s="1"/>
  <c r="B30" i="7"/>
  <c r="A32" i="16" s="1"/>
  <c r="A40" i="7"/>
  <c r="A41" i="18" s="1"/>
  <c r="A41" i="7"/>
  <c r="A42" i="18" s="1"/>
  <c r="A42" i="7"/>
  <c r="A43" i="18" s="1"/>
  <c r="BF18" i="6"/>
  <c r="BZ18" i="6" s="1"/>
  <c r="BF17" i="6"/>
  <c r="BZ17" i="6" s="1"/>
  <c r="BF16" i="6"/>
  <c r="BZ16" i="6" s="1"/>
  <c r="AN18" i="6"/>
  <c r="BY18" i="6" s="1"/>
  <c r="AN17" i="6"/>
  <c r="BY17" i="6" s="1"/>
  <c r="AN16" i="6"/>
  <c r="BY16" i="6" s="1"/>
  <c r="V18" i="6"/>
  <c r="BX18" i="6" s="1"/>
  <c r="V17" i="6"/>
  <c r="BX17" i="6" s="1"/>
  <c r="V16" i="6"/>
  <c r="BX16" i="6" s="1"/>
  <c r="G17" i="6"/>
  <c r="L16" i="7" s="1"/>
  <c r="D18" i="17" s="1"/>
  <c r="G18" i="6"/>
  <c r="L17" i="7" s="1"/>
  <c r="D19" i="17" s="1"/>
  <c r="G16" i="6"/>
  <c r="AW31" i="2"/>
  <c r="BM31" i="2" s="1"/>
  <c r="AW30" i="2"/>
  <c r="BM30" i="2" s="1"/>
  <c r="AW29" i="2"/>
  <c r="BM29" i="2" s="1"/>
  <c r="AI31" i="2"/>
  <c r="BL31" i="2" s="1"/>
  <c r="AI30" i="2"/>
  <c r="BL30" i="2" s="1"/>
  <c r="AI29" i="2"/>
  <c r="BL29" i="2" s="1"/>
  <c r="U31" i="2"/>
  <c r="BK31" i="2" s="1"/>
  <c r="U30" i="2"/>
  <c r="BK30" i="2" s="1"/>
  <c r="U29" i="2"/>
  <c r="BK29" i="2" s="1"/>
  <c r="G31" i="2"/>
  <c r="I30" i="7" s="1"/>
  <c r="D32" i="16" s="1"/>
  <c r="G30" i="2"/>
  <c r="I29" i="7" s="1"/>
  <c r="D31" i="16" s="1"/>
  <c r="G29" i="2"/>
  <c r="I28" i="7" s="1"/>
  <c r="D30" i="16" s="1"/>
  <c r="BT43" i="1"/>
  <c r="F42" i="7" s="1"/>
  <c r="D43" i="18" s="1"/>
  <c r="BT42" i="1"/>
  <c r="F41" i="7" s="1"/>
  <c r="D42" i="18" s="1"/>
  <c r="BT41" i="1"/>
  <c r="F40" i="7" s="1"/>
  <c r="D41" i="18" s="1"/>
  <c r="BC43" i="1"/>
  <c r="CK43" i="1" s="1"/>
  <c r="BC42" i="1"/>
  <c r="CK42" i="1" s="1"/>
  <c r="BC41" i="1"/>
  <c r="CK41" i="1" s="1"/>
  <c r="AL43" i="1"/>
  <c r="CJ43" i="1" s="1"/>
  <c r="AL42" i="1"/>
  <c r="CJ42" i="1" s="1"/>
  <c r="AL41" i="1"/>
  <c r="CJ41" i="1" s="1"/>
  <c r="U43" i="1"/>
  <c r="CI43" i="1" s="1"/>
  <c r="U42" i="1"/>
  <c r="U41" i="1"/>
  <c r="G42" i="1"/>
  <c r="D41" i="7" s="1"/>
  <c r="B42" i="18" s="1"/>
  <c r="G43" i="1"/>
  <c r="D42" i="7" s="1"/>
  <c r="B43" i="18" s="1"/>
  <c r="G41" i="1"/>
  <c r="D40" i="7" s="1"/>
  <c r="B41" i="18" s="1"/>
  <c r="Y40" i="12"/>
  <c r="Z40" i="12"/>
  <c r="AA40" i="12"/>
  <c r="X40" i="12"/>
  <c r="AH2" i="12"/>
  <c r="Y3" i="12"/>
  <c r="Z3" i="12"/>
  <c r="AA3" i="12"/>
  <c r="Y4" i="12"/>
  <c r="Z4" i="12"/>
  <c r="AA4" i="12"/>
  <c r="Y5" i="12"/>
  <c r="Z5" i="12"/>
  <c r="AA5" i="12"/>
  <c r="Y6" i="12"/>
  <c r="Z6" i="12"/>
  <c r="AA6" i="12"/>
  <c r="Y7" i="12"/>
  <c r="Z7" i="12"/>
  <c r="AA7" i="12"/>
  <c r="Y8" i="12"/>
  <c r="Z8" i="12"/>
  <c r="AA8" i="12"/>
  <c r="Y9" i="12"/>
  <c r="Z9" i="12"/>
  <c r="AA9" i="12"/>
  <c r="Y10" i="12"/>
  <c r="Z10" i="12"/>
  <c r="AA10" i="12"/>
  <c r="Y11" i="12"/>
  <c r="Z11" i="12"/>
  <c r="AA11" i="12"/>
  <c r="Y12" i="12"/>
  <c r="Z12" i="12"/>
  <c r="AA12" i="12"/>
  <c r="Y13" i="12"/>
  <c r="Z13" i="12"/>
  <c r="AA13" i="12"/>
  <c r="Y14" i="12"/>
  <c r="Z14" i="12"/>
  <c r="AA14" i="12"/>
  <c r="Y15" i="12"/>
  <c r="Z15" i="12"/>
  <c r="AA15" i="12"/>
  <c r="Y16" i="12"/>
  <c r="Z16" i="12"/>
  <c r="AA16" i="12"/>
  <c r="Y17" i="12"/>
  <c r="Z17" i="12"/>
  <c r="AA17" i="12"/>
  <c r="Y18" i="12"/>
  <c r="Z18" i="12"/>
  <c r="AA18" i="12"/>
  <c r="Y19" i="12"/>
  <c r="Z19" i="12"/>
  <c r="AA19" i="12"/>
  <c r="Y20" i="12"/>
  <c r="Z20" i="12"/>
  <c r="AA20" i="12"/>
  <c r="Y21" i="12"/>
  <c r="Z21" i="12"/>
  <c r="AA21" i="12"/>
  <c r="Y22" i="12"/>
  <c r="Z22" i="12"/>
  <c r="AA22" i="12"/>
  <c r="Y23" i="12"/>
  <c r="Z23" i="12"/>
  <c r="AA23" i="12"/>
  <c r="Y24" i="12"/>
  <c r="Z24" i="12"/>
  <c r="AA24" i="12"/>
  <c r="Y25" i="12"/>
  <c r="Z25" i="12"/>
  <c r="AA25" i="12"/>
  <c r="Y26" i="12"/>
  <c r="Z26" i="12"/>
  <c r="AA26" i="12"/>
  <c r="Y27" i="12"/>
  <c r="Z27" i="12"/>
  <c r="AA27" i="12"/>
  <c r="Y28" i="12"/>
  <c r="Z28" i="12"/>
  <c r="AA28" i="12"/>
  <c r="Y29" i="12"/>
  <c r="Z29" i="12"/>
  <c r="AA29" i="12"/>
  <c r="Y30" i="12"/>
  <c r="Z30" i="12"/>
  <c r="AA30" i="12"/>
  <c r="Y31" i="12"/>
  <c r="Z31" i="12"/>
  <c r="AA31" i="12"/>
  <c r="Y32" i="12"/>
  <c r="Z32" i="12"/>
  <c r="AA32" i="12"/>
  <c r="Y33" i="12"/>
  <c r="Z33" i="12"/>
  <c r="AA33" i="12"/>
  <c r="Y34" i="12"/>
  <c r="Z34" i="12"/>
  <c r="AA34" i="12"/>
  <c r="Y35" i="12"/>
  <c r="Z35" i="12"/>
  <c r="AA35" i="12"/>
  <c r="Y36" i="12"/>
  <c r="Z36" i="12"/>
  <c r="AA36" i="12"/>
  <c r="Y37" i="12"/>
  <c r="Z37" i="12"/>
  <c r="AA37" i="12"/>
  <c r="Y38" i="12"/>
  <c r="Z38" i="12"/>
  <c r="AA38" i="12"/>
  <c r="Y39" i="12"/>
  <c r="Z39" i="12"/>
  <c r="AA39" i="12"/>
  <c r="Y2" i="12"/>
  <c r="Z2" i="12"/>
  <c r="AA2" i="12"/>
  <c r="X3" i="12"/>
  <c r="X4" i="12"/>
  <c r="X5" i="12"/>
  <c r="X6" i="12"/>
  <c r="X7" i="12"/>
  <c r="X8" i="12"/>
  <c r="X9" i="12"/>
  <c r="X10" i="12"/>
  <c r="X11" i="12"/>
  <c r="X12" i="12"/>
  <c r="X13" i="12"/>
  <c r="X14"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2" i="12"/>
  <c r="V5" i="12"/>
  <c r="V6" i="12"/>
  <c r="V7" i="12"/>
  <c r="U8" i="12"/>
  <c r="U9" i="12"/>
  <c r="U10" i="12"/>
  <c r="V10" i="12"/>
  <c r="U13" i="12"/>
  <c r="V13" i="12"/>
  <c r="V14" i="12"/>
  <c r="V15" i="12"/>
  <c r="U16" i="12"/>
  <c r="U17" i="12"/>
  <c r="U18" i="12"/>
  <c r="V18" i="12"/>
  <c r="W18" i="12"/>
  <c r="U21" i="12"/>
  <c r="V21" i="12"/>
  <c r="V22" i="12"/>
  <c r="V23" i="12"/>
  <c r="W23" i="12"/>
  <c r="U24" i="12"/>
  <c r="U25" i="12"/>
  <c r="U26" i="12"/>
  <c r="V26" i="12"/>
  <c r="W26" i="12"/>
  <c r="U29" i="12"/>
  <c r="V29" i="12"/>
  <c r="V30" i="12"/>
  <c r="V31" i="12"/>
  <c r="U32" i="12"/>
  <c r="U33" i="12"/>
  <c r="U34" i="12"/>
  <c r="V34" i="12"/>
  <c r="W34" i="12"/>
  <c r="U37" i="12"/>
  <c r="V37" i="12"/>
  <c r="V38" i="12"/>
  <c r="W39" i="12"/>
  <c r="U2" i="12"/>
  <c r="T3" i="12"/>
  <c r="T7" i="12"/>
  <c r="T8" i="12"/>
  <c r="T11" i="12"/>
  <c r="T15" i="12"/>
  <c r="T16" i="12"/>
  <c r="T19" i="12"/>
  <c r="T23" i="12"/>
  <c r="T24" i="12"/>
  <c r="T27" i="12"/>
  <c r="T31" i="12"/>
  <c r="T32" i="12"/>
  <c r="T35" i="12"/>
  <c r="T39" i="12"/>
  <c r="T2" i="12"/>
  <c r="P3" i="12"/>
  <c r="U3" i="12" s="1"/>
  <c r="Q3" i="12"/>
  <c r="V3" i="12" s="1"/>
  <c r="R3" i="12"/>
  <c r="W3" i="12" s="1"/>
  <c r="S3" i="12"/>
  <c r="P4" i="12"/>
  <c r="U4" i="12" s="1"/>
  <c r="Q4" i="12"/>
  <c r="V4" i="12" s="1"/>
  <c r="R4" i="12"/>
  <c r="W4" i="12" s="1"/>
  <c r="S4" i="12"/>
  <c r="P5" i="12"/>
  <c r="U5" i="12" s="1"/>
  <c r="Q5" i="12"/>
  <c r="R5" i="12"/>
  <c r="W5" i="12" s="1"/>
  <c r="S5" i="12"/>
  <c r="P6" i="12"/>
  <c r="U6" i="12" s="1"/>
  <c r="Q6" i="12"/>
  <c r="R6" i="12"/>
  <c r="W6" i="12" s="1"/>
  <c r="S6" i="12"/>
  <c r="P7" i="12"/>
  <c r="U7" i="12" s="1"/>
  <c r="Q7" i="12"/>
  <c r="R7" i="12"/>
  <c r="W7" i="12" s="1"/>
  <c r="S7" i="12"/>
  <c r="P8" i="12"/>
  <c r="Q8" i="12"/>
  <c r="V8" i="12" s="1"/>
  <c r="R8" i="12"/>
  <c r="W8" i="12" s="1"/>
  <c r="S8" i="12"/>
  <c r="P9" i="12"/>
  <c r="Q9" i="12"/>
  <c r="V9" i="12" s="1"/>
  <c r="R9" i="12"/>
  <c r="W9" i="12" s="1"/>
  <c r="S9" i="12"/>
  <c r="P10" i="12"/>
  <c r="Q10" i="12"/>
  <c r="R10" i="12"/>
  <c r="W10" i="12" s="1"/>
  <c r="S10" i="12"/>
  <c r="P11" i="12"/>
  <c r="U11" i="12" s="1"/>
  <c r="Q11" i="12"/>
  <c r="V11" i="12" s="1"/>
  <c r="R11" i="12"/>
  <c r="W11" i="12" s="1"/>
  <c r="S11" i="12"/>
  <c r="P12" i="12"/>
  <c r="U12" i="12" s="1"/>
  <c r="Q12" i="12"/>
  <c r="V12" i="12" s="1"/>
  <c r="R12" i="12"/>
  <c r="W12" i="12" s="1"/>
  <c r="S12" i="12"/>
  <c r="P13" i="12"/>
  <c r="Q13" i="12"/>
  <c r="R13" i="12"/>
  <c r="W13" i="12" s="1"/>
  <c r="S13" i="12"/>
  <c r="P14" i="12"/>
  <c r="U14" i="12" s="1"/>
  <c r="Q14" i="12"/>
  <c r="R14" i="12"/>
  <c r="W14" i="12" s="1"/>
  <c r="S14" i="12"/>
  <c r="P15" i="12"/>
  <c r="U15" i="12" s="1"/>
  <c r="Q15" i="12"/>
  <c r="R15" i="12"/>
  <c r="W15" i="12" s="1"/>
  <c r="S15" i="12"/>
  <c r="P16" i="12"/>
  <c r="Q16" i="12"/>
  <c r="V16" i="12" s="1"/>
  <c r="R16" i="12"/>
  <c r="W16" i="12" s="1"/>
  <c r="S16" i="12"/>
  <c r="P17" i="12"/>
  <c r="Q17" i="12"/>
  <c r="V17" i="12" s="1"/>
  <c r="R17" i="12"/>
  <c r="W17" i="12" s="1"/>
  <c r="S17" i="12"/>
  <c r="P18" i="12"/>
  <c r="Q18" i="12"/>
  <c r="R18" i="12"/>
  <c r="S18" i="12"/>
  <c r="P19" i="12"/>
  <c r="U19" i="12" s="1"/>
  <c r="Q19" i="12"/>
  <c r="V19" i="12" s="1"/>
  <c r="R19" i="12"/>
  <c r="W19" i="12" s="1"/>
  <c r="S19" i="12"/>
  <c r="P20" i="12"/>
  <c r="U20" i="12" s="1"/>
  <c r="Q20" i="12"/>
  <c r="V20" i="12" s="1"/>
  <c r="R20" i="12"/>
  <c r="W20" i="12" s="1"/>
  <c r="S20" i="12"/>
  <c r="P21" i="12"/>
  <c r="Q21" i="12"/>
  <c r="R21" i="12"/>
  <c r="W21" i="12" s="1"/>
  <c r="S21" i="12"/>
  <c r="P22" i="12"/>
  <c r="U22" i="12" s="1"/>
  <c r="Q22" i="12"/>
  <c r="R22" i="12"/>
  <c r="W22" i="12" s="1"/>
  <c r="S22" i="12"/>
  <c r="P23" i="12"/>
  <c r="U23" i="12" s="1"/>
  <c r="Q23" i="12"/>
  <c r="R23" i="12"/>
  <c r="S23" i="12"/>
  <c r="P24" i="12"/>
  <c r="Q24" i="12"/>
  <c r="V24" i="12" s="1"/>
  <c r="R24" i="12"/>
  <c r="W24" i="12" s="1"/>
  <c r="S24" i="12"/>
  <c r="P25" i="12"/>
  <c r="Q25" i="12"/>
  <c r="V25" i="12" s="1"/>
  <c r="R25" i="12"/>
  <c r="W25" i="12" s="1"/>
  <c r="S25" i="12"/>
  <c r="P26" i="12"/>
  <c r="Q26" i="12"/>
  <c r="R26" i="12"/>
  <c r="S26" i="12"/>
  <c r="P27" i="12"/>
  <c r="U27" i="12" s="1"/>
  <c r="Q27" i="12"/>
  <c r="V27" i="12" s="1"/>
  <c r="R27" i="12"/>
  <c r="W27" i="12" s="1"/>
  <c r="S27" i="12"/>
  <c r="P28" i="12"/>
  <c r="U28" i="12" s="1"/>
  <c r="Q28" i="12"/>
  <c r="V28" i="12" s="1"/>
  <c r="R28" i="12"/>
  <c r="W28" i="12" s="1"/>
  <c r="S28" i="12"/>
  <c r="P29" i="12"/>
  <c r="Q29" i="12"/>
  <c r="R29" i="12"/>
  <c r="W29" i="12" s="1"/>
  <c r="S29" i="12"/>
  <c r="P30" i="12"/>
  <c r="U30" i="12" s="1"/>
  <c r="Q30" i="12"/>
  <c r="R30" i="12"/>
  <c r="W30" i="12" s="1"/>
  <c r="S30" i="12"/>
  <c r="P31" i="12"/>
  <c r="U31" i="12" s="1"/>
  <c r="Q31" i="12"/>
  <c r="R31" i="12"/>
  <c r="W31" i="12" s="1"/>
  <c r="S31" i="12"/>
  <c r="P32" i="12"/>
  <c r="Q32" i="12"/>
  <c r="V32" i="12" s="1"/>
  <c r="R32" i="12"/>
  <c r="W32" i="12" s="1"/>
  <c r="S32" i="12"/>
  <c r="P33" i="12"/>
  <c r="Q33" i="12"/>
  <c r="V33" i="12" s="1"/>
  <c r="R33" i="12"/>
  <c r="W33" i="12" s="1"/>
  <c r="S33" i="12"/>
  <c r="P34" i="12"/>
  <c r="Q34" i="12"/>
  <c r="R34" i="12"/>
  <c r="S34" i="12"/>
  <c r="P35" i="12"/>
  <c r="U35" i="12" s="1"/>
  <c r="Q35" i="12"/>
  <c r="V35" i="12" s="1"/>
  <c r="R35" i="12"/>
  <c r="W35" i="12" s="1"/>
  <c r="S35" i="12"/>
  <c r="P36" i="12"/>
  <c r="U36" i="12" s="1"/>
  <c r="Q36" i="12"/>
  <c r="V36" i="12" s="1"/>
  <c r="R36" i="12"/>
  <c r="W36" i="12" s="1"/>
  <c r="S36" i="12"/>
  <c r="P37" i="12"/>
  <c r="Q37" i="12"/>
  <c r="R37" i="12"/>
  <c r="W37" i="12" s="1"/>
  <c r="S37" i="12"/>
  <c r="P38" i="12"/>
  <c r="U38" i="12" s="1"/>
  <c r="Q38" i="12"/>
  <c r="R38" i="12"/>
  <c r="W38" i="12" s="1"/>
  <c r="S38" i="12"/>
  <c r="P39" i="12"/>
  <c r="U39" i="12" s="1"/>
  <c r="Q39" i="12"/>
  <c r="V39" i="12" s="1"/>
  <c r="R39" i="12"/>
  <c r="S39" i="12"/>
  <c r="P40" i="12"/>
  <c r="Q40" i="12"/>
  <c r="R40" i="12"/>
  <c r="S40" i="12"/>
  <c r="P41" i="12"/>
  <c r="Q41" i="12"/>
  <c r="R41" i="12"/>
  <c r="S41" i="12"/>
  <c r="P42" i="12"/>
  <c r="Q42" i="12"/>
  <c r="R42" i="12"/>
  <c r="S42" i="12"/>
  <c r="P2" i="12"/>
  <c r="Q2" i="12"/>
  <c r="V2" i="12" s="1"/>
  <c r="R2" i="12"/>
  <c r="W2" i="12" s="1"/>
  <c r="S2" i="12"/>
  <c r="O3" i="12"/>
  <c r="O4" i="12"/>
  <c r="T4" i="12" s="1"/>
  <c r="O5" i="12"/>
  <c r="T5" i="12" s="1"/>
  <c r="O6" i="12"/>
  <c r="T6" i="12" s="1"/>
  <c r="O7" i="12"/>
  <c r="O8" i="12"/>
  <c r="O9" i="12"/>
  <c r="T9" i="12" s="1"/>
  <c r="O10" i="12"/>
  <c r="T10" i="12" s="1"/>
  <c r="O11" i="12"/>
  <c r="O12" i="12"/>
  <c r="T12" i="12" s="1"/>
  <c r="O13" i="12"/>
  <c r="T13" i="12" s="1"/>
  <c r="O14" i="12"/>
  <c r="T14" i="12" s="1"/>
  <c r="O15" i="12"/>
  <c r="O16" i="12"/>
  <c r="O17" i="12"/>
  <c r="T17" i="12" s="1"/>
  <c r="O18" i="12"/>
  <c r="T18" i="12" s="1"/>
  <c r="O19" i="12"/>
  <c r="O20" i="12"/>
  <c r="T20" i="12" s="1"/>
  <c r="O21" i="12"/>
  <c r="T21" i="12" s="1"/>
  <c r="O22" i="12"/>
  <c r="T22" i="12" s="1"/>
  <c r="O23" i="12"/>
  <c r="O24" i="12"/>
  <c r="O25" i="12"/>
  <c r="T25" i="12" s="1"/>
  <c r="O26" i="12"/>
  <c r="T26" i="12" s="1"/>
  <c r="O27" i="12"/>
  <c r="O28" i="12"/>
  <c r="T28" i="12" s="1"/>
  <c r="O29" i="12"/>
  <c r="T29" i="12" s="1"/>
  <c r="O30" i="12"/>
  <c r="T30" i="12" s="1"/>
  <c r="O31" i="12"/>
  <c r="O32" i="12"/>
  <c r="O33" i="12"/>
  <c r="T33" i="12" s="1"/>
  <c r="O34" i="12"/>
  <c r="T34" i="12" s="1"/>
  <c r="O35" i="12"/>
  <c r="O36" i="12"/>
  <c r="T36" i="12" s="1"/>
  <c r="O37" i="12"/>
  <c r="T37" i="12" s="1"/>
  <c r="O38" i="12"/>
  <c r="T38" i="12" s="1"/>
  <c r="O39" i="12"/>
  <c r="O40" i="12"/>
  <c r="O41" i="12"/>
  <c r="O42" i="12"/>
  <c r="O2" i="12"/>
  <c r="N20" i="12"/>
  <c r="N19" i="12"/>
  <c r="N18" i="12"/>
  <c r="N17" i="12"/>
  <c r="N16" i="12"/>
  <c r="N15" i="12"/>
  <c r="N14" i="12"/>
  <c r="N13" i="12"/>
  <c r="N12" i="12"/>
  <c r="N11" i="12"/>
  <c r="N10" i="12"/>
  <c r="N9" i="12"/>
  <c r="N8" i="12"/>
  <c r="N7" i="12"/>
  <c r="N6" i="12"/>
  <c r="N5" i="12"/>
  <c r="N4" i="12"/>
  <c r="N3" i="12"/>
  <c r="N2" i="12"/>
  <c r="DE37" i="1"/>
  <c r="J36" i="16" l="1"/>
  <c r="BF32" i="9"/>
  <c r="N12" i="16"/>
  <c r="Q41" i="16"/>
  <c r="GE26" i="5"/>
  <c r="GB19" i="5"/>
  <c r="FY24" i="5"/>
  <c r="FZ17" i="5"/>
  <c r="FZ26" i="5"/>
  <c r="FW25" i="5"/>
  <c r="FY17" i="5"/>
  <c r="GA25" i="5"/>
  <c r="FY19" i="5"/>
  <c r="GE24" i="5"/>
  <c r="GB28" i="5"/>
  <c r="GD21" i="5"/>
  <c r="GE28" i="5"/>
  <c r="GC23" i="5"/>
  <c r="GE16" i="5"/>
  <c r="FY25" i="5"/>
  <c r="FI54" i="5"/>
  <c r="GD27" i="5"/>
  <c r="FZ29" i="5"/>
  <c r="FW19" i="5"/>
  <c r="FZ22" i="5"/>
  <c r="GE17" i="5"/>
  <c r="FX17" i="5"/>
  <c r="FX37" i="5" s="1"/>
  <c r="GD23" i="5"/>
  <c r="FW23" i="5"/>
  <c r="GE21" i="5"/>
  <c r="FX21" i="5"/>
  <c r="GD19" i="5"/>
  <c r="FW27" i="5"/>
  <c r="FW21" i="5"/>
  <c r="GC24" i="5"/>
  <c r="FZ19" i="5"/>
  <c r="FZ23" i="5"/>
  <c r="GC25" i="5"/>
  <c r="FZ24" i="5"/>
  <c r="FK31" i="5"/>
  <c r="FZ20" i="5"/>
  <c r="FW20" i="5"/>
  <c r="GB22" i="5"/>
  <c r="FW22" i="5"/>
  <c r="GA24" i="5"/>
  <c r="GE23" i="5"/>
  <c r="FX23" i="5"/>
  <c r="GD28" i="5"/>
  <c r="GB26" i="5"/>
  <c r="FW28" i="5"/>
  <c r="FW29" i="5"/>
  <c r="GD24" i="5"/>
  <c r="FY27" i="5"/>
  <c r="FL31" i="5"/>
  <c r="FY18" i="5"/>
  <c r="FZ18" i="5"/>
  <c r="FZ27" i="5"/>
  <c r="FW17" i="5"/>
  <c r="FZ28" i="5"/>
  <c r="FW18" i="5"/>
  <c r="GA26" i="5"/>
  <c r="FY20" i="5"/>
  <c r="GD16" i="5"/>
  <c r="GC22" i="5"/>
  <c r="FX24" i="5"/>
  <c r="FE31" i="5"/>
  <c r="GD20" i="5"/>
  <c r="FY23" i="5"/>
  <c r="GC26" i="5"/>
  <c r="FX20" i="5"/>
  <c r="GC19" i="5"/>
  <c r="FI31" i="5"/>
  <c r="FH55" i="5"/>
  <c r="FH54" i="5"/>
  <c r="FM31" i="5"/>
  <c r="FJ31" i="5"/>
  <c r="FW26" i="5"/>
  <c r="FZ21" i="5"/>
  <c r="GC20" i="5"/>
  <c r="GC21" i="5"/>
  <c r="FH31" i="5"/>
  <c r="GD22" i="5"/>
  <c r="FG31" i="5"/>
  <c r="GE29" i="5"/>
  <c r="GB25" i="5"/>
  <c r="GC27" i="5"/>
  <c r="GE18" i="5"/>
  <c r="GC28" i="5"/>
  <c r="GE25" i="5"/>
  <c r="FX25" i="5"/>
  <c r="GB29" i="5"/>
  <c r="FZ25" i="5"/>
  <c r="FF31" i="5"/>
  <c r="GB20" i="5"/>
  <c r="FW24" i="5"/>
  <c r="GC16" i="5"/>
  <c r="GC17" i="5"/>
  <c r="GA21" i="5"/>
  <c r="FX29" i="5"/>
  <c r="CX9" i="22"/>
  <c r="CT10" i="22"/>
  <c r="CV10" i="22" s="1"/>
  <c r="CW10" i="22" s="1"/>
  <c r="EP9" i="23"/>
  <c r="ER9" i="23" s="1"/>
  <c r="ES9" i="23" s="1"/>
  <c r="ET8" i="23"/>
  <c r="J35" i="16"/>
  <c r="J38" i="16"/>
  <c r="J37" i="16"/>
  <c r="J43" i="16"/>
  <c r="J41" i="16"/>
  <c r="I53" i="18"/>
  <c r="J42" i="16"/>
  <c r="J44" i="16"/>
  <c r="H36" i="18"/>
  <c r="H32" i="18"/>
  <c r="H42" i="18"/>
  <c r="H39" i="18"/>
  <c r="CN8" i="20"/>
  <c r="CJ9" i="20"/>
  <c r="CL9" i="20" s="1"/>
  <c r="CM9" i="20" s="1"/>
  <c r="BY9" i="21"/>
  <c r="CA9" i="21" s="1"/>
  <c r="CB9" i="21" s="1"/>
  <c r="CC8" i="21"/>
  <c r="AN39" i="9"/>
  <c r="AN37" i="9"/>
  <c r="BD37" i="9" s="1"/>
  <c r="N7" i="16"/>
  <c r="O38" i="16"/>
  <c r="P35" i="16"/>
  <c r="AV40" i="9"/>
  <c r="M8" i="16"/>
  <c r="BE36" i="9"/>
  <c r="BD30" i="9"/>
  <c r="AZ30" i="9"/>
  <c r="P30" i="16"/>
  <c r="M6" i="16"/>
  <c r="BE29" i="9"/>
  <c r="BE30" i="9"/>
  <c r="O36" i="16"/>
  <c r="P33" i="16"/>
  <c r="O34" i="16"/>
  <c r="M12" i="16"/>
  <c r="N11" i="16"/>
  <c r="M5" i="16"/>
  <c r="BF37" i="9"/>
  <c r="O35" i="16"/>
  <c r="O30" i="16"/>
  <c r="BF30" i="9"/>
  <c r="BD32" i="9"/>
  <c r="BF34" i="9"/>
  <c r="R37" i="16"/>
  <c r="N9" i="16"/>
  <c r="BE37" i="9"/>
  <c r="BH37" i="9" s="1"/>
  <c r="Q37" i="16"/>
  <c r="O32" i="16"/>
  <c r="M9" i="16"/>
  <c r="R40" i="16"/>
  <c r="BF36" i="9"/>
  <c r="P38" i="16"/>
  <c r="P36" i="16"/>
  <c r="P34" i="16"/>
  <c r="N8" i="16"/>
  <c r="BG31" i="9"/>
  <c r="P32" i="16"/>
  <c r="P31" i="16"/>
  <c r="N6" i="16"/>
  <c r="N5" i="16"/>
  <c r="AQ39" i="9"/>
  <c r="R39" i="16"/>
  <c r="O33" i="16"/>
  <c r="O31" i="16"/>
  <c r="M7" i="16"/>
  <c r="AO41" i="9"/>
  <c r="P41" i="16"/>
  <c r="BF29" i="9"/>
  <c r="BD31" i="9"/>
  <c r="BG32" i="9"/>
  <c r="AP39" i="9"/>
  <c r="Q39" i="16"/>
  <c r="BF38" i="9"/>
  <c r="AM40" i="9"/>
  <c r="Q40" i="16"/>
  <c r="AN41" i="9"/>
  <c r="O41" i="16"/>
  <c r="BD36" i="9"/>
  <c r="BF35" i="9"/>
  <c r="BE34" i="9"/>
  <c r="AO39" i="9"/>
  <c r="P39" i="16"/>
  <c r="AQ41" i="9"/>
  <c r="R41" i="16"/>
  <c r="BG29" i="9"/>
  <c r="BE31" i="9"/>
  <c r="BE38" i="9"/>
  <c r="L38" i="16"/>
  <c r="L37" i="16"/>
  <c r="L36" i="16"/>
  <c r="L35" i="16"/>
  <c r="L34" i="16"/>
  <c r="L33" i="16"/>
  <c r="L32" i="16"/>
  <c r="L31" i="16"/>
  <c r="L30" i="16"/>
  <c r="AL40" i="9"/>
  <c r="BE40" i="9" s="1"/>
  <c r="K40" i="16"/>
  <c r="AP41" i="9"/>
  <c r="BE35" i="9"/>
  <c r="BD34" i="9"/>
  <c r="AM39" i="9"/>
  <c r="L39" i="16"/>
  <c r="K38" i="16"/>
  <c r="K37" i="16"/>
  <c r="K36" i="16"/>
  <c r="K35" i="16"/>
  <c r="K33" i="16"/>
  <c r="K32" i="16"/>
  <c r="K31" i="16"/>
  <c r="K30" i="16"/>
  <c r="AO40" i="9"/>
  <c r="P40" i="16"/>
  <c r="BD29" i="9"/>
  <c r="BG30" i="9"/>
  <c r="BF31" i="9"/>
  <c r="BE32" i="9"/>
  <c r="AL39" i="9"/>
  <c r="K39" i="16"/>
  <c r="BD38" i="9"/>
  <c r="R38" i="16"/>
  <c r="R36" i="16"/>
  <c r="R35" i="16"/>
  <c r="R34" i="16"/>
  <c r="R33" i="16"/>
  <c r="R32" i="16"/>
  <c r="R31" i="16"/>
  <c r="R30" i="16"/>
  <c r="AN40" i="9"/>
  <c r="O40" i="16"/>
  <c r="BD35" i="9"/>
  <c r="Q38" i="16"/>
  <c r="Q36" i="16"/>
  <c r="Q35" i="16"/>
  <c r="Q34" i="16"/>
  <c r="Q33" i="16"/>
  <c r="Q32" i="16"/>
  <c r="Q31" i="16"/>
  <c r="Q30" i="16"/>
  <c r="AQ40" i="9"/>
  <c r="AL41" i="9"/>
  <c r="BG41" i="9" s="1"/>
  <c r="E57" i="18"/>
  <c r="CL48" i="1"/>
  <c r="E47" i="7" s="1"/>
  <c r="C48" i="18" s="1"/>
  <c r="E55" i="18"/>
  <c r="E53" i="18"/>
  <c r="E56" i="18"/>
  <c r="E54" i="18"/>
  <c r="E51" i="18"/>
  <c r="E52" i="18"/>
  <c r="BO37" i="2"/>
  <c r="BR37" i="2" s="1"/>
  <c r="J36" i="7" s="1"/>
  <c r="E38" i="16" s="1"/>
  <c r="BN33" i="2"/>
  <c r="H32" i="7" s="1"/>
  <c r="C34" i="16" s="1"/>
  <c r="BO35" i="2"/>
  <c r="BR35" i="2" s="1"/>
  <c r="J34" i="7" s="1"/>
  <c r="E36" i="16" s="1"/>
  <c r="BN36" i="2"/>
  <c r="H35" i="7" s="1"/>
  <c r="C37" i="16" s="1"/>
  <c r="BO38" i="2"/>
  <c r="BR38" i="2" s="1"/>
  <c r="J37" i="7" s="1"/>
  <c r="E39" i="16" s="1"/>
  <c r="BN35" i="2"/>
  <c r="H34" i="7" s="1"/>
  <c r="C36" i="16" s="1"/>
  <c r="BO29" i="2"/>
  <c r="BR29" i="2" s="1"/>
  <c r="J28" i="7" s="1"/>
  <c r="E30" i="16" s="1"/>
  <c r="BO32" i="2"/>
  <c r="BR32" i="2" s="1"/>
  <c r="J31" i="7" s="1"/>
  <c r="E33" i="16" s="1"/>
  <c r="BN38" i="2"/>
  <c r="H37" i="7" s="1"/>
  <c r="C39" i="16" s="1"/>
  <c r="AS17" i="14"/>
  <c r="AT17" i="14" s="1"/>
  <c r="AU17" i="14" s="1"/>
  <c r="AS16" i="14"/>
  <c r="AT16" i="14" s="1"/>
  <c r="AU16" i="14" s="1"/>
  <c r="CB24" i="6"/>
  <c r="CE24" i="6" s="1"/>
  <c r="M23" i="7" s="1"/>
  <c r="E25" i="17" s="1"/>
  <c r="CB20" i="6"/>
  <c r="CE20" i="6" s="1"/>
  <c r="M19" i="7" s="1"/>
  <c r="E21" i="17" s="1"/>
  <c r="CA25" i="6"/>
  <c r="K24" i="7" s="1"/>
  <c r="C26" i="17" s="1"/>
  <c r="P22" i="15"/>
  <c r="P23" i="17" s="1"/>
  <c r="P14" i="15"/>
  <c r="P15" i="17" s="1"/>
  <c r="P10" i="15"/>
  <c r="P11" i="17" s="1"/>
  <c r="P6" i="15"/>
  <c r="P7" i="17" s="1"/>
  <c r="CA19" i="6"/>
  <c r="K18" i="7" s="1"/>
  <c r="C20" i="17" s="1"/>
  <c r="O14" i="15"/>
  <c r="O15" i="17" s="1"/>
  <c r="O6" i="15"/>
  <c r="O7" i="17" s="1"/>
  <c r="P21" i="15"/>
  <c r="P22" i="17" s="1"/>
  <c r="P17" i="15"/>
  <c r="P18" i="17" s="1"/>
  <c r="P13" i="15"/>
  <c r="P14" i="17" s="1"/>
  <c r="P9" i="15"/>
  <c r="P10" i="17" s="1"/>
  <c r="P5" i="15"/>
  <c r="P6" i="17" s="1"/>
  <c r="CB21" i="6"/>
  <c r="CE21" i="6" s="1"/>
  <c r="M20" i="7" s="1"/>
  <c r="E22" i="17" s="1"/>
  <c r="CA21" i="6"/>
  <c r="K20" i="7" s="1"/>
  <c r="C22" i="17" s="1"/>
  <c r="CA22" i="6"/>
  <c r="K21" i="7" s="1"/>
  <c r="C23" i="17" s="1"/>
  <c r="CB22" i="6"/>
  <c r="CE22" i="6" s="1"/>
  <c r="M21" i="7" s="1"/>
  <c r="E23" i="17" s="1"/>
  <c r="CA23" i="6"/>
  <c r="K22" i="7" s="1"/>
  <c r="C24" i="17" s="1"/>
  <c r="O21" i="15"/>
  <c r="O22" i="17" s="1"/>
  <c r="O13" i="15"/>
  <c r="O14" i="17" s="1"/>
  <c r="O9" i="15"/>
  <c r="O10" i="17" s="1"/>
  <c r="O5" i="15"/>
  <c r="O6" i="17" s="1"/>
  <c r="CA24" i="6"/>
  <c r="K23" i="7" s="1"/>
  <c r="C25" i="17" s="1"/>
  <c r="CA20" i="6"/>
  <c r="K19" i="7" s="1"/>
  <c r="C21" i="17" s="1"/>
  <c r="P7" i="7"/>
  <c r="F9" i="17" s="1"/>
  <c r="CM48" i="1"/>
  <c r="CP48" i="1" s="1"/>
  <c r="G47" i="7" s="1"/>
  <c r="CM45" i="1"/>
  <c r="CP45" i="1" s="1"/>
  <c r="G44" i="7" s="1"/>
  <c r="CL49" i="1"/>
  <c r="E48" i="7" s="1"/>
  <c r="C49" i="18" s="1"/>
  <c r="CL44" i="1"/>
  <c r="E43" i="7" s="1"/>
  <c r="C44" i="18" s="1"/>
  <c r="CI44" i="1"/>
  <c r="CM44" i="1" s="1"/>
  <c r="CP44" i="1" s="1"/>
  <c r="G43" i="7" s="1"/>
  <c r="CL47" i="1"/>
  <c r="E46" i="7" s="1"/>
  <c r="C47" i="18" s="1"/>
  <c r="CM49" i="1"/>
  <c r="CP49" i="1" s="1"/>
  <c r="G48" i="7" s="1"/>
  <c r="CM46" i="1"/>
  <c r="CP46" i="1" s="1"/>
  <c r="G45" i="7" s="1"/>
  <c r="CL45" i="1"/>
  <c r="E44" i="7" s="1"/>
  <c r="C45" i="18" s="1"/>
  <c r="CI47" i="1"/>
  <c r="CM47" i="1" s="1"/>
  <c r="CP47" i="1" s="1"/>
  <c r="G46" i="7" s="1"/>
  <c r="CL41" i="1"/>
  <c r="E40" i="7" s="1"/>
  <c r="C41" i="18" s="1"/>
  <c r="CL46" i="1"/>
  <c r="E45" i="7" s="1"/>
  <c r="C46" i="18" s="1"/>
  <c r="CL42" i="1"/>
  <c r="E41" i="7" s="1"/>
  <c r="C42" i="18" s="1"/>
  <c r="CL43" i="1"/>
  <c r="E42" i="7" s="1"/>
  <c r="C43" i="18" s="1"/>
  <c r="CM58" i="1"/>
  <c r="CP58" i="1" s="1"/>
  <c r="G57" i="7" s="1"/>
  <c r="P3" i="7"/>
  <c r="F5" i="17" s="1"/>
  <c r="P5" i="7"/>
  <c r="F7" i="17" s="1"/>
  <c r="P2" i="7"/>
  <c r="F4" i="17" s="1"/>
  <c r="P4" i="7"/>
  <c r="F6" i="17" s="1"/>
  <c r="J40" i="16"/>
  <c r="H35" i="18"/>
  <c r="H31" i="18"/>
  <c r="H41" i="18"/>
  <c r="H38" i="18"/>
  <c r="H34" i="18"/>
  <c r="H43" i="18"/>
  <c r="H40" i="18"/>
  <c r="H37" i="18"/>
  <c r="H33" i="18"/>
  <c r="I45" i="18"/>
  <c r="J39" i="16"/>
  <c r="I48" i="18"/>
  <c r="P16" i="15"/>
  <c r="P17" i="17" s="1"/>
  <c r="P12" i="15"/>
  <c r="P13" i="17" s="1"/>
  <c r="P8" i="15"/>
  <c r="P9" i="17" s="1"/>
  <c r="P4" i="15"/>
  <c r="P5" i="17" s="1"/>
  <c r="O20" i="15"/>
  <c r="O21" i="17" s="1"/>
  <c r="O8" i="15"/>
  <c r="O9" i="17" s="1"/>
  <c r="P23" i="15"/>
  <c r="P24" i="17" s="1"/>
  <c r="P15" i="15"/>
  <c r="P16" i="17" s="1"/>
  <c r="P11" i="15"/>
  <c r="P12" i="17" s="1"/>
  <c r="P7" i="15"/>
  <c r="P8" i="17" s="1"/>
  <c r="O19" i="15"/>
  <c r="O20" i="17" s="1"/>
  <c r="O15" i="15"/>
  <c r="O16" i="17" s="1"/>
  <c r="O7" i="15"/>
  <c r="O8" i="17" s="1"/>
  <c r="P3" i="15"/>
  <c r="P4" i="17" s="1"/>
  <c r="O3" i="15"/>
  <c r="O4" i="17" s="1"/>
  <c r="P20" i="15"/>
  <c r="P21" i="17" s="1"/>
  <c r="P18" i="15"/>
  <c r="P19" i="17" s="1"/>
  <c r="B5" i="16"/>
  <c r="B9" i="16"/>
  <c r="B4" i="17"/>
  <c r="B6" i="17"/>
  <c r="B8" i="17"/>
  <c r="B7" i="16"/>
  <c r="CB25" i="6"/>
  <c r="CE25" i="6" s="1"/>
  <c r="M24" i="7" s="1"/>
  <c r="E26" i="17" s="1"/>
  <c r="BN37" i="2"/>
  <c r="H36" i="7" s="1"/>
  <c r="C38" i="16" s="1"/>
  <c r="P25" i="15"/>
  <c r="P26" i="17" s="1"/>
  <c r="O25" i="15"/>
  <c r="O26" i="17" s="1"/>
  <c r="P24" i="15"/>
  <c r="P25" i="17" s="1"/>
  <c r="O24" i="15"/>
  <c r="O25" i="17" s="1"/>
  <c r="O23" i="15"/>
  <c r="O24" i="17" s="1"/>
  <c r="O22" i="15"/>
  <c r="O23" i="17" s="1"/>
  <c r="O18" i="15"/>
  <c r="O19" i="17" s="1"/>
  <c r="O17" i="15"/>
  <c r="O18" i="17" s="1"/>
  <c r="O16" i="15"/>
  <c r="O17" i="17" s="1"/>
  <c r="O12" i="15"/>
  <c r="O13" i="17" s="1"/>
  <c r="O11" i="15"/>
  <c r="O12" i="17" s="1"/>
  <c r="O10" i="15"/>
  <c r="O11" i="17" s="1"/>
  <c r="O4" i="15"/>
  <c r="O5" i="17" s="1"/>
  <c r="P19" i="15"/>
  <c r="P20" i="17" s="1"/>
  <c r="AV39" i="9"/>
  <c r="AW39" i="9"/>
  <c r="B10" i="17"/>
  <c r="CB23" i="6"/>
  <c r="CE23" i="6" s="1"/>
  <c r="M22" i="7" s="1"/>
  <c r="E24" i="17" s="1"/>
  <c r="BO36" i="2"/>
  <c r="BR36" i="2" s="1"/>
  <c r="J35" i="7" s="1"/>
  <c r="E37" i="16" s="1"/>
  <c r="BN31" i="2"/>
  <c r="H30" i="7" s="1"/>
  <c r="C32" i="16" s="1"/>
  <c r="BO31" i="2"/>
  <c r="BR31" i="2" s="1"/>
  <c r="J30" i="7" s="1"/>
  <c r="E32" i="16" s="1"/>
  <c r="BN30" i="2"/>
  <c r="H29" i="7" s="1"/>
  <c r="C31" i="16" s="1"/>
  <c r="BO30" i="2"/>
  <c r="BR30" i="2" s="1"/>
  <c r="J29" i="7" s="1"/>
  <c r="E31" i="16" s="1"/>
  <c r="BN34" i="2"/>
  <c r="H33" i="7" s="1"/>
  <c r="C35" i="16" s="1"/>
  <c r="BO34" i="2"/>
  <c r="BR34" i="2" s="1"/>
  <c r="J33" i="7" s="1"/>
  <c r="E35" i="16" s="1"/>
  <c r="BN32" i="2"/>
  <c r="H31" i="7" s="1"/>
  <c r="C33" i="16" s="1"/>
  <c r="BN29" i="2"/>
  <c r="H28" i="7" s="1"/>
  <c r="C30" i="16" s="1"/>
  <c r="AZ31" i="9"/>
  <c r="BB30" i="9"/>
  <c r="BB32" i="9"/>
  <c r="BB31" i="9"/>
  <c r="AZ32" i="9"/>
  <c r="BA32" i="9"/>
  <c r="BA30" i="9"/>
  <c r="BA31" i="9"/>
  <c r="BB29" i="9"/>
  <c r="AZ29" i="9"/>
  <c r="AY30" i="9"/>
  <c r="AY31" i="9"/>
  <c r="AY32" i="9"/>
  <c r="BA29" i="9"/>
  <c r="AY29" i="9"/>
  <c r="BO33" i="2"/>
  <c r="BR33" i="2" s="1"/>
  <c r="J32" i="7" s="1"/>
  <c r="E34" i="16" s="1"/>
  <c r="CB19" i="6"/>
  <c r="CE19" i="6" s="1"/>
  <c r="M18" i="7" s="1"/>
  <c r="E20" i="17" s="1"/>
  <c r="CM43" i="1"/>
  <c r="CP43" i="1" s="1"/>
  <c r="G42" i="7" s="1"/>
  <c r="CI41" i="1"/>
  <c r="CM41" i="1" s="1"/>
  <c r="CP41" i="1" s="1"/>
  <c r="G40" i="7" s="1"/>
  <c r="CI42" i="1"/>
  <c r="CM42" i="1" s="1"/>
  <c r="CP42" i="1" s="1"/>
  <c r="G41" i="7" s="1"/>
  <c r="CA17" i="6"/>
  <c r="K16" i="7" s="1"/>
  <c r="C18" i="17" s="1"/>
  <c r="CB18" i="6"/>
  <c r="CE18" i="6" s="1"/>
  <c r="M17" i="7" s="1"/>
  <c r="E19" i="17" s="1"/>
  <c r="CA18" i="6"/>
  <c r="K17" i="7" s="1"/>
  <c r="C19" i="17" s="1"/>
  <c r="CB17" i="6"/>
  <c r="CE17" i="6" s="1"/>
  <c r="M16" i="7" s="1"/>
  <c r="E18" i="17" s="1"/>
  <c r="CA16" i="6"/>
  <c r="CB16" i="6"/>
  <c r="CE16" i="6" s="1"/>
  <c r="BF15" i="6"/>
  <c r="BZ15" i="6" s="1"/>
  <c r="BF14" i="6"/>
  <c r="BZ14" i="6" s="1"/>
  <c r="BF13" i="6"/>
  <c r="BZ13" i="6" s="1"/>
  <c r="AN15" i="6"/>
  <c r="BY15" i="6" s="1"/>
  <c r="AN14" i="6"/>
  <c r="BY14" i="6" s="1"/>
  <c r="AN13" i="6"/>
  <c r="BY13" i="6" s="1"/>
  <c r="V15" i="6"/>
  <c r="BX15" i="6" s="1"/>
  <c r="V14" i="6"/>
  <c r="V13" i="6"/>
  <c r="BX13" i="6" s="1"/>
  <c r="G15" i="6"/>
  <c r="G13" i="6"/>
  <c r="C13" i="7"/>
  <c r="A15" i="17" s="1"/>
  <c r="C14" i="7"/>
  <c r="A16" i="17" s="1"/>
  <c r="C12" i="7"/>
  <c r="A14" i="17" s="1"/>
  <c r="B26" i="7"/>
  <c r="A28" i="16" s="1"/>
  <c r="B27" i="7"/>
  <c r="A29" i="16" s="1"/>
  <c r="B25" i="7"/>
  <c r="A27" i="16" s="1"/>
  <c r="A38" i="7"/>
  <c r="A39" i="18" s="1"/>
  <c r="A39" i="7"/>
  <c r="A40" i="18" s="1"/>
  <c r="A37" i="7"/>
  <c r="A38" i="18" s="1"/>
  <c r="AW28" i="2"/>
  <c r="BM28" i="2" s="1"/>
  <c r="AW27" i="2"/>
  <c r="BM27" i="2" s="1"/>
  <c r="AW26" i="2"/>
  <c r="BM26" i="2" s="1"/>
  <c r="AI28" i="2"/>
  <c r="BL28" i="2" s="1"/>
  <c r="AI27" i="2"/>
  <c r="BL27" i="2" s="1"/>
  <c r="AI26" i="2"/>
  <c r="BL26" i="2" s="1"/>
  <c r="U28" i="2"/>
  <c r="BK28" i="2" s="1"/>
  <c r="U27" i="2"/>
  <c r="BK27" i="2" s="1"/>
  <c r="U26" i="2"/>
  <c r="BK26" i="2" s="1"/>
  <c r="G28" i="2"/>
  <c r="G27" i="2"/>
  <c r="G26" i="2"/>
  <c r="BT40" i="1"/>
  <c r="F39" i="7" s="1"/>
  <c r="D40" i="18" s="1"/>
  <c r="BT39" i="1"/>
  <c r="F38" i="7" s="1"/>
  <c r="D39" i="18" s="1"/>
  <c r="F37" i="7"/>
  <c r="D38" i="18" s="1"/>
  <c r="BC40" i="1"/>
  <c r="CK40" i="1" s="1"/>
  <c r="BC39" i="1"/>
  <c r="CK39" i="1" s="1"/>
  <c r="BC38" i="1"/>
  <c r="CK38" i="1" s="1"/>
  <c r="AL40" i="1"/>
  <c r="CJ40" i="1" s="1"/>
  <c r="AL39" i="1"/>
  <c r="CJ39" i="1" s="1"/>
  <c r="AL38" i="1"/>
  <c r="CJ38" i="1" s="1"/>
  <c r="U40" i="1"/>
  <c r="U39" i="1"/>
  <c r="CI39" i="1" s="1"/>
  <c r="U38" i="1"/>
  <c r="CI38" i="1" s="1"/>
  <c r="G39" i="1"/>
  <c r="G40" i="1"/>
  <c r="G38" i="1"/>
  <c r="I52" i="18" l="1"/>
  <c r="I50" i="18"/>
  <c r="I54" i="18"/>
  <c r="I51" i="18"/>
  <c r="I30" i="16"/>
  <c r="I47" i="18"/>
  <c r="I56" i="18"/>
  <c r="I49" i="18"/>
  <c r="H29" i="18"/>
  <c r="I46" i="18"/>
  <c r="I21" i="16"/>
  <c r="H44" i="18"/>
  <c r="H30" i="18"/>
  <c r="I25" i="16"/>
  <c r="I29" i="18"/>
  <c r="I26" i="16"/>
  <c r="I33" i="16"/>
  <c r="I34" i="16"/>
  <c r="I29" i="16"/>
  <c r="I31" i="16"/>
  <c r="I55" i="18"/>
  <c r="BH36" i="9"/>
  <c r="BD39" i="9"/>
  <c r="FY37" i="5"/>
  <c r="FZ31" i="5"/>
  <c r="FZ33" i="5" s="1"/>
  <c r="FZ35" i="5" s="1"/>
  <c r="FW37" i="5"/>
  <c r="GB37" i="5"/>
  <c r="FX31" i="5"/>
  <c r="FX33" i="5" s="1"/>
  <c r="FX36" i="5" s="1"/>
  <c r="GD37" i="5"/>
  <c r="GA31" i="5"/>
  <c r="GA33" i="5" s="1"/>
  <c r="GA36" i="5" s="1"/>
  <c r="GC37" i="5"/>
  <c r="GE37" i="5"/>
  <c r="FZ36" i="5"/>
  <c r="GB31" i="5"/>
  <c r="GB33" i="5" s="1"/>
  <c r="GA37" i="5"/>
  <c r="FY31" i="5"/>
  <c r="FY33" i="5" s="1"/>
  <c r="GD31" i="5"/>
  <c r="GD33" i="5" s="1"/>
  <c r="FZ37" i="5"/>
  <c r="GE31" i="5"/>
  <c r="GE33" i="5" s="1"/>
  <c r="FW31" i="5"/>
  <c r="FW33" i="5" s="1"/>
  <c r="GC31" i="5"/>
  <c r="GC33" i="5" s="1"/>
  <c r="CX10" i="22"/>
  <c r="CT11" i="22"/>
  <c r="CV11" i="22" s="1"/>
  <c r="CW11" i="22" s="1"/>
  <c r="EP10" i="23"/>
  <c r="ER10" i="23" s="1"/>
  <c r="ES10" i="23" s="1"/>
  <c r="ET9" i="23"/>
  <c r="I23" i="16"/>
  <c r="I22" i="16"/>
  <c r="I19" i="16"/>
  <c r="I28" i="16"/>
  <c r="I32" i="16"/>
  <c r="I20" i="16"/>
  <c r="I27" i="16"/>
  <c r="I24" i="16"/>
  <c r="I35" i="18"/>
  <c r="CN9" i="20"/>
  <c r="CJ10" i="20"/>
  <c r="CL10" i="20" s="1"/>
  <c r="CM10" i="20" s="1"/>
  <c r="CC9" i="21"/>
  <c r="BY10" i="21"/>
  <c r="CA10" i="21" s="1"/>
  <c r="CB10" i="21" s="1"/>
  <c r="BH35" i="9"/>
  <c r="BD40" i="9"/>
  <c r="BF40" i="9"/>
  <c r="BH40" i="9" s="1"/>
  <c r="BH34" i="9"/>
  <c r="BH30" i="9"/>
  <c r="BD41" i="9"/>
  <c r="BE41" i="9"/>
  <c r="BH29" i="9"/>
  <c r="BG40" i="9"/>
  <c r="BC32" i="9"/>
  <c r="BF41" i="9"/>
  <c r="BH38" i="9"/>
  <c r="BE39" i="9"/>
  <c r="W50" i="16"/>
  <c r="BH31" i="9"/>
  <c r="BC30" i="9"/>
  <c r="BF39" i="9"/>
  <c r="BG39" i="9"/>
  <c r="BH32" i="9"/>
  <c r="E47" i="18"/>
  <c r="E45" i="18"/>
  <c r="E48" i="18"/>
  <c r="E46" i="18"/>
  <c r="E49" i="18"/>
  <c r="E41" i="18"/>
  <c r="E58" i="18"/>
  <c r="E42" i="18"/>
  <c r="E43" i="18"/>
  <c r="E44" i="18"/>
  <c r="BN26" i="2"/>
  <c r="H25" i="7" s="1"/>
  <c r="C27" i="16" s="1"/>
  <c r="BO28" i="2"/>
  <c r="BR28" i="2" s="1"/>
  <c r="CA13" i="6"/>
  <c r="CM38" i="1"/>
  <c r="CP38" i="1" s="1"/>
  <c r="G37" i="7" s="1"/>
  <c r="CL40" i="1"/>
  <c r="CI40" i="1"/>
  <c r="CM40" i="1" s="1"/>
  <c r="CP40" i="1" s="1"/>
  <c r="G39" i="7" s="1"/>
  <c r="AS18" i="14"/>
  <c r="AT18" i="14" s="1"/>
  <c r="AU18" i="14" s="1"/>
  <c r="I33" i="18"/>
  <c r="I34" i="18"/>
  <c r="I39" i="18"/>
  <c r="I37" i="18"/>
  <c r="I32" i="18"/>
  <c r="I31" i="18"/>
  <c r="I30" i="18"/>
  <c r="I36" i="18"/>
  <c r="I43" i="18"/>
  <c r="BN27" i="2"/>
  <c r="H26" i="7" s="1"/>
  <c r="C28" i="16" s="1"/>
  <c r="BO27" i="2"/>
  <c r="BR27" i="2" s="1"/>
  <c r="J26" i="7" s="1"/>
  <c r="E28" i="16" s="1"/>
  <c r="BC31" i="9"/>
  <c r="BC29" i="9"/>
  <c r="CM39" i="1"/>
  <c r="CP39" i="1" s="1"/>
  <c r="G38" i="7" s="1"/>
  <c r="CL38" i="1"/>
  <c r="D39" i="7"/>
  <c r="B40" i="18" s="1"/>
  <c r="D37" i="7"/>
  <c r="B38" i="18" s="1"/>
  <c r="CL39" i="1"/>
  <c r="D38" i="7"/>
  <c r="B39" i="18" s="1"/>
  <c r="CB15" i="6"/>
  <c r="CE15" i="6" s="1"/>
  <c r="M14" i="7" s="1"/>
  <c r="E16" i="17" s="1"/>
  <c r="BX14" i="6"/>
  <c r="CA14" i="6" s="1"/>
  <c r="CB13" i="6"/>
  <c r="CE13" i="6" s="1"/>
  <c r="M12" i="7" s="1"/>
  <c r="E14" i="17" s="1"/>
  <c r="CA15" i="6"/>
  <c r="BN28" i="2"/>
  <c r="H27" i="7" s="1"/>
  <c r="C29" i="16" s="1"/>
  <c r="BO26" i="2"/>
  <c r="BR26" i="2" s="1"/>
  <c r="J25" i="7" s="1"/>
  <c r="E27" i="16" s="1"/>
  <c r="CW35" i="1"/>
  <c r="CW36" i="1"/>
  <c r="CW37" i="1"/>
  <c r="BT37" i="1"/>
  <c r="F36" i="7" s="1"/>
  <c r="D37" i="18" s="1"/>
  <c r="BT36" i="1"/>
  <c r="F35" i="7" s="1"/>
  <c r="D36" i="18" s="1"/>
  <c r="BT35" i="1"/>
  <c r="F34" i="7" s="1"/>
  <c r="D35" i="18" s="1"/>
  <c r="BC37" i="1"/>
  <c r="CK37" i="1" s="1"/>
  <c r="BC36" i="1"/>
  <c r="CK36" i="1" s="1"/>
  <c r="BC35" i="1"/>
  <c r="CK35" i="1" s="1"/>
  <c r="AL37" i="1"/>
  <c r="CJ37" i="1" s="1"/>
  <c r="AL36" i="1"/>
  <c r="CJ36" i="1" s="1"/>
  <c r="AL35" i="1"/>
  <c r="CJ35" i="1" s="1"/>
  <c r="U37" i="1"/>
  <c r="CI37" i="1" s="1"/>
  <c r="U36" i="1"/>
  <c r="CI36" i="1" s="1"/>
  <c r="U35" i="1"/>
  <c r="CI35" i="1" s="1"/>
  <c r="G36" i="1"/>
  <c r="G37" i="1"/>
  <c r="G35" i="1"/>
  <c r="D34" i="7" s="1"/>
  <c r="B35" i="18" s="1"/>
  <c r="L9" i="7"/>
  <c r="D11" i="17" s="1"/>
  <c r="L10" i="7"/>
  <c r="D12" i="17" s="1"/>
  <c r="L12" i="7"/>
  <c r="D14" i="17" s="1"/>
  <c r="L13" i="7"/>
  <c r="D15" i="17" s="1"/>
  <c r="L14" i="7"/>
  <c r="D16" i="17" s="1"/>
  <c r="L15" i="7"/>
  <c r="D17" i="17" s="1"/>
  <c r="I25" i="7"/>
  <c r="D27" i="16" s="1"/>
  <c r="I26" i="7"/>
  <c r="D28" i="16" s="1"/>
  <c r="I27" i="7"/>
  <c r="D29" i="16" s="1"/>
  <c r="BF12" i="6"/>
  <c r="BZ12" i="6" s="1"/>
  <c r="BF11" i="6"/>
  <c r="BZ11" i="6" s="1"/>
  <c r="BF10" i="6"/>
  <c r="BZ10" i="6" s="1"/>
  <c r="BF9" i="6"/>
  <c r="BZ9" i="6" s="1"/>
  <c r="AN12" i="6"/>
  <c r="BY12" i="6" s="1"/>
  <c r="AN11" i="6"/>
  <c r="BY11" i="6" s="1"/>
  <c r="AN10" i="6"/>
  <c r="BY10" i="6" s="1"/>
  <c r="V12" i="6"/>
  <c r="BX12" i="6" s="1"/>
  <c r="V11" i="6"/>
  <c r="BX11" i="6" s="1"/>
  <c r="V10" i="6"/>
  <c r="BX10" i="6" s="1"/>
  <c r="G12" i="6"/>
  <c r="L11" i="7" s="1"/>
  <c r="D13" i="17" s="1"/>
  <c r="AW25" i="2"/>
  <c r="BM25" i="2" s="1"/>
  <c r="AW24" i="2"/>
  <c r="BM24" i="2" s="1"/>
  <c r="AW23" i="2"/>
  <c r="BM23" i="2" s="1"/>
  <c r="AI25" i="2"/>
  <c r="BL25" i="2" s="1"/>
  <c r="AI24" i="2"/>
  <c r="BL24" i="2" s="1"/>
  <c r="AI23" i="2"/>
  <c r="BL23" i="2" s="1"/>
  <c r="U25" i="2"/>
  <c r="BK25" i="2" s="1"/>
  <c r="U24" i="2"/>
  <c r="BK24" i="2" s="1"/>
  <c r="U23" i="2"/>
  <c r="BK23" i="2" s="1"/>
  <c r="G24" i="2"/>
  <c r="I23" i="7" s="1"/>
  <c r="D25" i="16" s="1"/>
  <c r="G25" i="2"/>
  <c r="I24" i="7" s="1"/>
  <c r="D26" i="16" s="1"/>
  <c r="G23" i="2"/>
  <c r="I22" i="7" s="1"/>
  <c r="D24" i="16" s="1"/>
  <c r="AG28" i="9"/>
  <c r="AT28" i="9" s="1"/>
  <c r="AH28" i="9"/>
  <c r="AU28" i="9" s="1"/>
  <c r="AE28" i="9"/>
  <c r="AR28" i="9" s="1"/>
  <c r="AF28" i="9"/>
  <c r="AS28" i="9" s="1"/>
  <c r="AC28" i="9"/>
  <c r="AD28" i="9"/>
  <c r="AA28" i="9"/>
  <c r="AB28" i="9"/>
  <c r="Y28" i="9"/>
  <c r="Z28" i="9"/>
  <c r="AG27" i="9"/>
  <c r="AT27" i="9" s="1"/>
  <c r="AH27" i="9"/>
  <c r="AU27" i="9" s="1"/>
  <c r="AE27" i="9"/>
  <c r="AR27" i="9" s="1"/>
  <c r="AF27" i="9"/>
  <c r="AS27" i="9" s="1"/>
  <c r="AC27" i="9"/>
  <c r="AD27" i="9"/>
  <c r="AA27" i="9"/>
  <c r="AB27" i="9"/>
  <c r="Y27" i="9"/>
  <c r="Z27" i="9"/>
  <c r="AG26" i="9"/>
  <c r="AT26" i="9" s="1"/>
  <c r="AH26" i="9"/>
  <c r="AU26" i="9" s="1"/>
  <c r="AE26" i="9"/>
  <c r="AR26" i="9" s="1"/>
  <c r="AF26" i="9"/>
  <c r="AS26" i="9" s="1"/>
  <c r="AC26" i="9"/>
  <c r="AD26" i="9"/>
  <c r="AA26" i="9"/>
  <c r="AB26" i="9"/>
  <c r="Y26" i="9"/>
  <c r="Z26" i="9"/>
  <c r="CI32" i="2"/>
  <c r="BI39" i="8"/>
  <c r="BI40" i="8"/>
  <c r="BI38" i="8"/>
  <c r="BE40" i="8"/>
  <c r="BE39" i="8"/>
  <c r="BE38" i="8"/>
  <c r="BA39" i="8"/>
  <c r="BA40" i="8"/>
  <c r="BA38" i="8"/>
  <c r="AW40" i="8"/>
  <c r="AW39" i="8"/>
  <c r="AW38" i="8"/>
  <c r="AN40" i="8"/>
  <c r="AN39" i="8"/>
  <c r="AN38" i="8"/>
  <c r="AJ39" i="8"/>
  <c r="AJ40" i="8"/>
  <c r="AJ38" i="8"/>
  <c r="AF40" i="8"/>
  <c r="AF39" i="8"/>
  <c r="AF38" i="8"/>
  <c r="AB40" i="8"/>
  <c r="AB39" i="8"/>
  <c r="AB38" i="8"/>
  <c r="V40" i="8"/>
  <c r="V39" i="8"/>
  <c r="V38" i="8"/>
  <c r="R40" i="8"/>
  <c r="R39" i="8"/>
  <c r="R38" i="8"/>
  <c r="N40" i="8"/>
  <c r="N39" i="8"/>
  <c r="N38" i="8"/>
  <c r="J40" i="8"/>
  <c r="J39" i="8"/>
  <c r="J38" i="8"/>
  <c r="F40" i="8"/>
  <c r="F39" i="8"/>
  <c r="F38" i="8"/>
  <c r="CW4" i="1"/>
  <c r="CW5" i="1"/>
  <c r="CW6" i="1"/>
  <c r="CW7" i="1"/>
  <c r="CW8" i="1"/>
  <c r="CW9" i="1"/>
  <c r="CW10" i="1"/>
  <c r="CW11" i="1"/>
  <c r="CW12" i="1"/>
  <c r="CW13" i="1"/>
  <c r="CW14" i="1"/>
  <c r="CW15" i="1"/>
  <c r="CW16" i="1"/>
  <c r="CW17" i="1"/>
  <c r="CW18" i="1"/>
  <c r="CW19" i="1"/>
  <c r="CW20" i="1"/>
  <c r="CW21" i="1"/>
  <c r="CW22" i="1"/>
  <c r="CW23" i="1"/>
  <c r="CW24" i="1"/>
  <c r="CW25" i="1"/>
  <c r="CW26" i="1"/>
  <c r="CW27" i="1"/>
  <c r="CW28" i="1"/>
  <c r="CW29" i="1"/>
  <c r="CW30" i="1"/>
  <c r="CW31" i="1"/>
  <c r="CW32" i="1"/>
  <c r="CW33" i="1"/>
  <c r="CW34" i="1"/>
  <c r="CW3" i="1"/>
  <c r="K15" i="7"/>
  <c r="C17" i="17" s="1"/>
  <c r="M15" i="7"/>
  <c r="E17" i="17" s="1"/>
  <c r="BF8" i="6"/>
  <c r="BZ8" i="6" s="1"/>
  <c r="BF7" i="6"/>
  <c r="BZ7" i="6" s="1"/>
  <c r="BF6" i="6"/>
  <c r="BZ6" i="6" s="1"/>
  <c r="BF5" i="6"/>
  <c r="BZ5" i="6" s="1"/>
  <c r="BF4" i="6"/>
  <c r="BZ4" i="6" s="1"/>
  <c r="BF3" i="6"/>
  <c r="BZ3" i="6" s="1"/>
  <c r="AN9" i="6"/>
  <c r="BY9" i="6" s="1"/>
  <c r="AN8" i="6"/>
  <c r="BY8" i="6" s="1"/>
  <c r="AN7" i="6"/>
  <c r="BY7" i="6" s="1"/>
  <c r="AN6" i="6"/>
  <c r="BY6" i="6" s="1"/>
  <c r="AN5" i="6"/>
  <c r="BY5" i="6" s="1"/>
  <c r="AN4" i="6"/>
  <c r="BY4" i="6" s="1"/>
  <c r="V9" i="6"/>
  <c r="BX9" i="6" s="1"/>
  <c r="V8" i="6"/>
  <c r="BX8" i="6" s="1"/>
  <c r="V7" i="6"/>
  <c r="BX7" i="6" s="1"/>
  <c r="V6" i="6"/>
  <c r="BX6" i="6" s="1"/>
  <c r="V5" i="6"/>
  <c r="BX5" i="6" s="1"/>
  <c r="V4" i="6"/>
  <c r="BX4" i="6" s="1"/>
  <c r="V3" i="6"/>
  <c r="BX3" i="6" s="1"/>
  <c r="G8" i="6"/>
  <c r="L7" i="7" s="1"/>
  <c r="D9" i="17" s="1"/>
  <c r="G9" i="6"/>
  <c r="L8" i="7" s="1"/>
  <c r="D10" i="17" s="1"/>
  <c r="G7" i="6"/>
  <c r="L6" i="7" s="1"/>
  <c r="D8" i="17" s="1"/>
  <c r="G6" i="6"/>
  <c r="L5" i="7" s="1"/>
  <c r="D7" i="17" s="1"/>
  <c r="G4" i="6"/>
  <c r="L3" i="7" s="1"/>
  <c r="D5" i="17" s="1"/>
  <c r="G5" i="6"/>
  <c r="L4" i="7" s="1"/>
  <c r="D6" i="17" s="1"/>
  <c r="G3" i="6"/>
  <c r="L2" i="7" s="1"/>
  <c r="D4" i="17" s="1"/>
  <c r="BL21" i="2"/>
  <c r="AW22" i="2"/>
  <c r="BM22" i="2" s="1"/>
  <c r="AW21" i="2"/>
  <c r="BM21" i="2" s="1"/>
  <c r="AW20" i="2"/>
  <c r="BM20" i="2" s="1"/>
  <c r="AI22" i="2"/>
  <c r="BL22" i="2" s="1"/>
  <c r="AI21" i="2"/>
  <c r="AI20" i="2"/>
  <c r="BL20" i="2" s="1"/>
  <c r="U22" i="2"/>
  <c r="BK22" i="2" s="1"/>
  <c r="U21" i="2"/>
  <c r="BK21" i="2" s="1"/>
  <c r="U20" i="2"/>
  <c r="BK20" i="2" s="1"/>
  <c r="G22" i="2"/>
  <c r="I21" i="7" s="1"/>
  <c r="D23" i="16" s="1"/>
  <c r="G21" i="2"/>
  <c r="I20" i="7" s="1"/>
  <c r="D22" i="16" s="1"/>
  <c r="G20" i="2"/>
  <c r="I19" i="7" s="1"/>
  <c r="D21" i="16" s="1"/>
  <c r="BT34" i="1"/>
  <c r="F33" i="7" s="1"/>
  <c r="D34" i="18" s="1"/>
  <c r="BT33" i="1"/>
  <c r="F32" i="7" s="1"/>
  <c r="D33" i="18" s="1"/>
  <c r="BT32" i="1"/>
  <c r="F31" i="7" s="1"/>
  <c r="D32" i="18" s="1"/>
  <c r="BC34" i="1"/>
  <c r="CK34" i="1" s="1"/>
  <c r="BC33" i="1"/>
  <c r="CK33" i="1" s="1"/>
  <c r="BC32" i="1"/>
  <c r="CK32" i="1" s="1"/>
  <c r="AL34" i="1"/>
  <c r="CJ34" i="1" s="1"/>
  <c r="AL33" i="1"/>
  <c r="CJ33" i="1" s="1"/>
  <c r="AL32" i="1"/>
  <c r="CJ32" i="1" s="1"/>
  <c r="U34" i="1"/>
  <c r="CI34" i="1" s="1"/>
  <c r="U33" i="1"/>
  <c r="CI33" i="1" s="1"/>
  <c r="U32" i="1"/>
  <c r="CI32" i="1" s="1"/>
  <c r="G33" i="1"/>
  <c r="G34" i="1"/>
  <c r="G32" i="1"/>
  <c r="BI37" i="8"/>
  <c r="BE37" i="8"/>
  <c r="BA37" i="8"/>
  <c r="AW37" i="8"/>
  <c r="AN37" i="8"/>
  <c r="AJ37" i="8"/>
  <c r="AF37" i="8"/>
  <c r="AB37" i="8"/>
  <c r="V37" i="8"/>
  <c r="R37" i="8"/>
  <c r="N37" i="8"/>
  <c r="J37" i="8"/>
  <c r="F37" i="8"/>
  <c r="BI36" i="8"/>
  <c r="BE36" i="8"/>
  <c r="BA36" i="8"/>
  <c r="AW36" i="8"/>
  <c r="AN36" i="8"/>
  <c r="AJ36" i="8"/>
  <c r="AF36" i="8"/>
  <c r="AB36" i="8"/>
  <c r="V36" i="8"/>
  <c r="R36" i="8"/>
  <c r="N36" i="8"/>
  <c r="J36" i="8"/>
  <c r="F36" i="8"/>
  <c r="BI35" i="8"/>
  <c r="BE35" i="8"/>
  <c r="BA35" i="8"/>
  <c r="AW35" i="8"/>
  <c r="AN35" i="8"/>
  <c r="AJ35" i="8"/>
  <c r="AF35" i="8"/>
  <c r="AB35" i="8"/>
  <c r="V35" i="8"/>
  <c r="R35" i="8"/>
  <c r="N35" i="8"/>
  <c r="J35" i="8"/>
  <c r="F35" i="8"/>
  <c r="BI34" i="8"/>
  <c r="BE34" i="8"/>
  <c r="BA34" i="8"/>
  <c r="AW34" i="8"/>
  <c r="AN34" i="8"/>
  <c r="AJ34" i="8"/>
  <c r="AF34" i="8"/>
  <c r="AB34" i="8"/>
  <c r="V34" i="8"/>
  <c r="R34" i="8"/>
  <c r="N34" i="8"/>
  <c r="J34" i="8"/>
  <c r="F34" i="8"/>
  <c r="BI33" i="8"/>
  <c r="BE33" i="8"/>
  <c r="BA33" i="8"/>
  <c r="AW33" i="8"/>
  <c r="AN33" i="8"/>
  <c r="AJ33" i="8"/>
  <c r="AF33" i="8"/>
  <c r="AB33" i="8"/>
  <c r="V33" i="8"/>
  <c r="R33" i="8"/>
  <c r="N33" i="8"/>
  <c r="J33" i="8"/>
  <c r="F33" i="8"/>
  <c r="CT3" i="6"/>
  <c r="CU10" i="6"/>
  <c r="CU9" i="6"/>
  <c r="CU8" i="6"/>
  <c r="CU6" i="6"/>
  <c r="CI30" i="2"/>
  <c r="CI29" i="2"/>
  <c r="CI28" i="2"/>
  <c r="CI26" i="2"/>
  <c r="CH23" i="2"/>
  <c r="CH28" i="2" s="1"/>
  <c r="DE32" i="1"/>
  <c r="DE31" i="1"/>
  <c r="DE30" i="1"/>
  <c r="DC25" i="1"/>
  <c r="DD29" i="1" s="1"/>
  <c r="DF29" i="1" s="1"/>
  <c r="DG29" i="1" s="1"/>
  <c r="DH29" i="1" s="1"/>
  <c r="AG25" i="9"/>
  <c r="AT25" i="9" s="1"/>
  <c r="AH25" i="9"/>
  <c r="AU25" i="9" s="1"/>
  <c r="AE25" i="9"/>
  <c r="AR25" i="9" s="1"/>
  <c r="AF25" i="9"/>
  <c r="AS25" i="9" s="1"/>
  <c r="AC25" i="9"/>
  <c r="AD25" i="9"/>
  <c r="AA25" i="9"/>
  <c r="AB25" i="9"/>
  <c r="Y25" i="9"/>
  <c r="Z25" i="9"/>
  <c r="AG24" i="9"/>
  <c r="AT24" i="9" s="1"/>
  <c r="AH24" i="9"/>
  <c r="AU24" i="9" s="1"/>
  <c r="AE24" i="9"/>
  <c r="AR24" i="9" s="1"/>
  <c r="AF24" i="9"/>
  <c r="AS24" i="9" s="1"/>
  <c r="AC24" i="9"/>
  <c r="AD24" i="9"/>
  <c r="AA24" i="9"/>
  <c r="AB24" i="9"/>
  <c r="Y24" i="9"/>
  <c r="Z24" i="9"/>
  <c r="AG23" i="9"/>
  <c r="AT23" i="9" s="1"/>
  <c r="AH23" i="9"/>
  <c r="AU23" i="9" s="1"/>
  <c r="AE23" i="9"/>
  <c r="AR23" i="9" s="1"/>
  <c r="AF23" i="9"/>
  <c r="AS23" i="9" s="1"/>
  <c r="AC23" i="9"/>
  <c r="AD23" i="9"/>
  <c r="AA23" i="9"/>
  <c r="AB23" i="9"/>
  <c r="Y23" i="9"/>
  <c r="Z23" i="9"/>
  <c r="AG22" i="9"/>
  <c r="AT22" i="9" s="1"/>
  <c r="AH22" i="9"/>
  <c r="AU22" i="9" s="1"/>
  <c r="AE22" i="9"/>
  <c r="AR22" i="9" s="1"/>
  <c r="AF22" i="9"/>
  <c r="AS22" i="9" s="1"/>
  <c r="AC22" i="9"/>
  <c r="AD22" i="9"/>
  <c r="AA22" i="9"/>
  <c r="AB22" i="9"/>
  <c r="Y22" i="9"/>
  <c r="Z22" i="9"/>
  <c r="AG21" i="9"/>
  <c r="AT21" i="9" s="1"/>
  <c r="AH21" i="9"/>
  <c r="AU21" i="9" s="1"/>
  <c r="AE21" i="9"/>
  <c r="AR21" i="9" s="1"/>
  <c r="AF21" i="9"/>
  <c r="AS21" i="9" s="1"/>
  <c r="AC21" i="9"/>
  <c r="AD21" i="9"/>
  <c r="AA21" i="9"/>
  <c r="AB21" i="9"/>
  <c r="Y21" i="9"/>
  <c r="Z21" i="9"/>
  <c r="AA4" i="9"/>
  <c r="AB4" i="9"/>
  <c r="AC4" i="9"/>
  <c r="AD4" i="9"/>
  <c r="AE4" i="9"/>
  <c r="AR4" i="9" s="1"/>
  <c r="AF4" i="9"/>
  <c r="AS4" i="9" s="1"/>
  <c r="AG4" i="9"/>
  <c r="AT4" i="9" s="1"/>
  <c r="AH4" i="9"/>
  <c r="AU4" i="9" s="1"/>
  <c r="AA5" i="9"/>
  <c r="AB5" i="9"/>
  <c r="AC5" i="9"/>
  <c r="AD5" i="9"/>
  <c r="AE5" i="9"/>
  <c r="AR5" i="9" s="1"/>
  <c r="AF5" i="9"/>
  <c r="AS5" i="9" s="1"/>
  <c r="AG5" i="9"/>
  <c r="AT5" i="9" s="1"/>
  <c r="AH5" i="9"/>
  <c r="AU5" i="9" s="1"/>
  <c r="AA6" i="9"/>
  <c r="AB6" i="9"/>
  <c r="AC6" i="9"/>
  <c r="AD6" i="9"/>
  <c r="AE6" i="9"/>
  <c r="AR6" i="9" s="1"/>
  <c r="AF6" i="9"/>
  <c r="AS6" i="9" s="1"/>
  <c r="AG6" i="9"/>
  <c r="AT6" i="9" s="1"/>
  <c r="AH6" i="9"/>
  <c r="AU6" i="9" s="1"/>
  <c r="AA7" i="9"/>
  <c r="AB7" i="9"/>
  <c r="AC7" i="9"/>
  <c r="AD7" i="9"/>
  <c r="AE7" i="9"/>
  <c r="AR7" i="9" s="1"/>
  <c r="AF7" i="9"/>
  <c r="AS7" i="9" s="1"/>
  <c r="AG7" i="9"/>
  <c r="AT7" i="9" s="1"/>
  <c r="AH7" i="9"/>
  <c r="AU7" i="9" s="1"/>
  <c r="AA8" i="9"/>
  <c r="AB8" i="9"/>
  <c r="AC8" i="9"/>
  <c r="AD8" i="9"/>
  <c r="AE8" i="9"/>
  <c r="AR8" i="9" s="1"/>
  <c r="AF8" i="9"/>
  <c r="AS8" i="9" s="1"/>
  <c r="AG8" i="9"/>
  <c r="AT8" i="9" s="1"/>
  <c r="AH8" i="9"/>
  <c r="AU8" i="9" s="1"/>
  <c r="AA9" i="9"/>
  <c r="AB9" i="9"/>
  <c r="AC9" i="9"/>
  <c r="AD9" i="9"/>
  <c r="AE9" i="9"/>
  <c r="AR9" i="9" s="1"/>
  <c r="AF9" i="9"/>
  <c r="AS9" i="9" s="1"/>
  <c r="AG9" i="9"/>
  <c r="AT9" i="9" s="1"/>
  <c r="AH9" i="9"/>
  <c r="AU9" i="9" s="1"/>
  <c r="AA10" i="9"/>
  <c r="AB10" i="9"/>
  <c r="AC10" i="9"/>
  <c r="AD10" i="9"/>
  <c r="AE10" i="9"/>
  <c r="AR10" i="9" s="1"/>
  <c r="AF10" i="9"/>
  <c r="AS10" i="9" s="1"/>
  <c r="AG10" i="9"/>
  <c r="AT10" i="9" s="1"/>
  <c r="AH10" i="9"/>
  <c r="AU10" i="9" s="1"/>
  <c r="AA11" i="9"/>
  <c r="AB11" i="9"/>
  <c r="AC11" i="9"/>
  <c r="AD11" i="9"/>
  <c r="AE11" i="9"/>
  <c r="AR11" i="9" s="1"/>
  <c r="AF11" i="9"/>
  <c r="AS11" i="9" s="1"/>
  <c r="AG11" i="9"/>
  <c r="AT11" i="9" s="1"/>
  <c r="AH11" i="9"/>
  <c r="AU11" i="9" s="1"/>
  <c r="AA12" i="9"/>
  <c r="AB12" i="9"/>
  <c r="AC12" i="9"/>
  <c r="AD12" i="9"/>
  <c r="AE12" i="9"/>
  <c r="AR12" i="9" s="1"/>
  <c r="AF12" i="9"/>
  <c r="AS12" i="9" s="1"/>
  <c r="AG12" i="9"/>
  <c r="AT12" i="9" s="1"/>
  <c r="AH12" i="9"/>
  <c r="AU12" i="9" s="1"/>
  <c r="AA13" i="9"/>
  <c r="AB13" i="9"/>
  <c r="AC13" i="9"/>
  <c r="AD13" i="9"/>
  <c r="AE13" i="9"/>
  <c r="AR13" i="9" s="1"/>
  <c r="AF13" i="9"/>
  <c r="AS13" i="9" s="1"/>
  <c r="AG13" i="9"/>
  <c r="AT13" i="9" s="1"/>
  <c r="AH13" i="9"/>
  <c r="AU13" i="9" s="1"/>
  <c r="AA14" i="9"/>
  <c r="AB14" i="9"/>
  <c r="AC14" i="9"/>
  <c r="AD14" i="9"/>
  <c r="AE14" i="9"/>
  <c r="AR14" i="9" s="1"/>
  <c r="AF14" i="9"/>
  <c r="AS14" i="9" s="1"/>
  <c r="AG14" i="9"/>
  <c r="AT14" i="9" s="1"/>
  <c r="AH14" i="9"/>
  <c r="AU14" i="9" s="1"/>
  <c r="AA15" i="9"/>
  <c r="AB15" i="9"/>
  <c r="AC15" i="9"/>
  <c r="AD15" i="9"/>
  <c r="AE15" i="9"/>
  <c r="AR15" i="9" s="1"/>
  <c r="AF15" i="9"/>
  <c r="AS15" i="9" s="1"/>
  <c r="AG15" i="9"/>
  <c r="AT15" i="9" s="1"/>
  <c r="AH15" i="9"/>
  <c r="AU15" i="9" s="1"/>
  <c r="AA16" i="9"/>
  <c r="AB16" i="9"/>
  <c r="AC16" i="9"/>
  <c r="AD16" i="9"/>
  <c r="AE16" i="9"/>
  <c r="AR16" i="9" s="1"/>
  <c r="AF16" i="9"/>
  <c r="AS16" i="9" s="1"/>
  <c r="AG16" i="9"/>
  <c r="AT16" i="9" s="1"/>
  <c r="AH16" i="9"/>
  <c r="AU16" i="9" s="1"/>
  <c r="AA17" i="9"/>
  <c r="AB17" i="9"/>
  <c r="AC17" i="9"/>
  <c r="AD17" i="9"/>
  <c r="AE17" i="9"/>
  <c r="AR17" i="9" s="1"/>
  <c r="AF17" i="9"/>
  <c r="AS17" i="9" s="1"/>
  <c r="AG17" i="9"/>
  <c r="AT17" i="9" s="1"/>
  <c r="AH17" i="9"/>
  <c r="AU17" i="9" s="1"/>
  <c r="AA18" i="9"/>
  <c r="AB18" i="9"/>
  <c r="AC18" i="9"/>
  <c r="AD18" i="9"/>
  <c r="AE18" i="9"/>
  <c r="AR18" i="9" s="1"/>
  <c r="AF18" i="9"/>
  <c r="AS18" i="9" s="1"/>
  <c r="AG18" i="9"/>
  <c r="AT18" i="9" s="1"/>
  <c r="AH18" i="9"/>
  <c r="AU18" i="9" s="1"/>
  <c r="AA19" i="9"/>
  <c r="AB19" i="9"/>
  <c r="AC19" i="9"/>
  <c r="AD19" i="9"/>
  <c r="AE19" i="9"/>
  <c r="AR19" i="9" s="1"/>
  <c r="AF19" i="9"/>
  <c r="AS19" i="9" s="1"/>
  <c r="AG19" i="9"/>
  <c r="AT19" i="9" s="1"/>
  <c r="AH19" i="9"/>
  <c r="AU19" i="9" s="1"/>
  <c r="AA20" i="9"/>
  <c r="AB20" i="9"/>
  <c r="AC20" i="9"/>
  <c r="AD20" i="9"/>
  <c r="AE20" i="9"/>
  <c r="AR20" i="9" s="1"/>
  <c r="AF20" i="9"/>
  <c r="AS20" i="9" s="1"/>
  <c r="AG20" i="9"/>
  <c r="AT20" i="9" s="1"/>
  <c r="AH20" i="9"/>
  <c r="AU20" i="9" s="1"/>
  <c r="AU3" i="9"/>
  <c r="AT3" i="9"/>
  <c r="AS3" i="9"/>
  <c r="AR3" i="9"/>
  <c r="Y4" i="9"/>
  <c r="Z4" i="9"/>
  <c r="Y5" i="9"/>
  <c r="Z5" i="9"/>
  <c r="Y6" i="9"/>
  <c r="Z6" i="9"/>
  <c r="Y7" i="9"/>
  <c r="Z7" i="9"/>
  <c r="Y8" i="9"/>
  <c r="Z8" i="9"/>
  <c r="Y9" i="9"/>
  <c r="Z9" i="9"/>
  <c r="Y10" i="9"/>
  <c r="Z10" i="9"/>
  <c r="Y11" i="9"/>
  <c r="Z11" i="9"/>
  <c r="Y12" i="9"/>
  <c r="Z12" i="9"/>
  <c r="Y13" i="9"/>
  <c r="Z13" i="9"/>
  <c r="Y14" i="9"/>
  <c r="Z14" i="9"/>
  <c r="Y15" i="9"/>
  <c r="Z15" i="9"/>
  <c r="Y16" i="9"/>
  <c r="Z16" i="9"/>
  <c r="Y17" i="9"/>
  <c r="Z17" i="9"/>
  <c r="Y18" i="9"/>
  <c r="Z18" i="9"/>
  <c r="Y19" i="9"/>
  <c r="Z19" i="9"/>
  <c r="Y20" i="9"/>
  <c r="Z20" i="9"/>
  <c r="BI32" i="8"/>
  <c r="BI31" i="8"/>
  <c r="BI30" i="8"/>
  <c r="BI29" i="8"/>
  <c r="BE32" i="8"/>
  <c r="BE31" i="8"/>
  <c r="BE30" i="8"/>
  <c r="BE29" i="8"/>
  <c r="F91" i="8" s="1"/>
  <c r="H91" i="8" s="1"/>
  <c r="I91" i="8" s="1"/>
  <c r="BA32" i="8"/>
  <c r="BA31" i="8"/>
  <c r="BA30" i="8"/>
  <c r="BA29" i="8"/>
  <c r="AW32" i="8"/>
  <c r="AW31" i="8"/>
  <c r="AW30" i="8"/>
  <c r="AW29" i="8"/>
  <c r="F89" i="8" s="1"/>
  <c r="H89" i="8" s="1"/>
  <c r="I89" i="8" s="1"/>
  <c r="AN32" i="8"/>
  <c r="AN31" i="8"/>
  <c r="AN30" i="8"/>
  <c r="AN29" i="8"/>
  <c r="AN27" i="8"/>
  <c r="AN26" i="8"/>
  <c r="AN25" i="8"/>
  <c r="AN24" i="8"/>
  <c r="AN23" i="8"/>
  <c r="AN22" i="8"/>
  <c r="AJ32" i="8"/>
  <c r="AJ31" i="8"/>
  <c r="AJ30" i="8"/>
  <c r="AJ29" i="8"/>
  <c r="AJ27" i="8"/>
  <c r="AJ26" i="8"/>
  <c r="AJ25" i="8"/>
  <c r="AJ24" i="8"/>
  <c r="AJ23" i="8"/>
  <c r="AJ22" i="8"/>
  <c r="AF32" i="8"/>
  <c r="AF31" i="8"/>
  <c r="AF30" i="8"/>
  <c r="AF29" i="8"/>
  <c r="AF27" i="8"/>
  <c r="AF26" i="8"/>
  <c r="AF25" i="8"/>
  <c r="AF24" i="8"/>
  <c r="AF23" i="8"/>
  <c r="AF22" i="8"/>
  <c r="AB32" i="8"/>
  <c r="AB31" i="8"/>
  <c r="AB30" i="8"/>
  <c r="AB29" i="8"/>
  <c r="AB27" i="8"/>
  <c r="AB26" i="8"/>
  <c r="AB25" i="8"/>
  <c r="AB24" i="8"/>
  <c r="AB23" i="8"/>
  <c r="AB22" i="8"/>
  <c r="F84" i="8" s="1"/>
  <c r="H84" i="8" s="1"/>
  <c r="I84" i="8" s="1"/>
  <c r="V32" i="8"/>
  <c r="V31" i="8"/>
  <c r="V30" i="8"/>
  <c r="V29" i="8"/>
  <c r="V27" i="8"/>
  <c r="V26" i="8"/>
  <c r="V25" i="8"/>
  <c r="V24" i="8"/>
  <c r="V23" i="8"/>
  <c r="V22" i="8"/>
  <c r="R32" i="8"/>
  <c r="R31" i="8"/>
  <c r="R30" i="8"/>
  <c r="R29" i="8"/>
  <c r="R27" i="8"/>
  <c r="R26" i="8"/>
  <c r="R25" i="8"/>
  <c r="R24" i="8"/>
  <c r="R23" i="8"/>
  <c r="R22" i="8"/>
  <c r="N32" i="8"/>
  <c r="N31" i="8"/>
  <c r="N30" i="8"/>
  <c r="N29" i="8"/>
  <c r="N27" i="8"/>
  <c r="N26" i="8"/>
  <c r="N25" i="8"/>
  <c r="N24" i="8"/>
  <c r="N23" i="8"/>
  <c r="N22" i="8"/>
  <c r="J32" i="8"/>
  <c r="J31" i="8"/>
  <c r="J30" i="8"/>
  <c r="J29" i="8"/>
  <c r="J27" i="8"/>
  <c r="J26" i="8"/>
  <c r="J25" i="8"/>
  <c r="J24" i="8"/>
  <c r="J23" i="8"/>
  <c r="J22" i="8"/>
  <c r="F23" i="8"/>
  <c r="F24" i="8"/>
  <c r="F25" i="8"/>
  <c r="F26" i="8"/>
  <c r="F27" i="8"/>
  <c r="F29" i="8"/>
  <c r="F30" i="8"/>
  <c r="F31" i="8"/>
  <c r="F32" i="8"/>
  <c r="F22" i="8"/>
  <c r="B8" i="7"/>
  <c r="B7" i="7"/>
  <c r="B6" i="7"/>
  <c r="B5" i="7"/>
  <c r="B4" i="7"/>
  <c r="B3" i="7"/>
  <c r="B2" i="7"/>
  <c r="A20" i="7"/>
  <c r="A19" i="7"/>
  <c r="A18" i="7"/>
  <c r="A17" i="7"/>
  <c r="A16" i="7"/>
  <c r="A15" i="7"/>
  <c r="A14" i="7"/>
  <c r="A13" i="7"/>
  <c r="A12" i="7"/>
  <c r="A11" i="7"/>
  <c r="A10" i="7"/>
  <c r="A9" i="7"/>
  <c r="A8" i="7"/>
  <c r="A7" i="7"/>
  <c r="A6" i="7"/>
  <c r="A5" i="7"/>
  <c r="A4" i="7"/>
  <c r="A3" i="7"/>
  <c r="A2" i="7"/>
  <c r="BY3" i="6"/>
  <c r="AH28" i="3"/>
  <c r="AJ28" i="3" s="1"/>
  <c r="AM28" i="3" s="1"/>
  <c r="AH27" i="3"/>
  <c r="AJ27" i="3" s="1"/>
  <c r="AM27" i="3" s="1"/>
  <c r="AH26" i="3"/>
  <c r="AJ26" i="3" s="1"/>
  <c r="AM26" i="3" s="1"/>
  <c r="AH25" i="3"/>
  <c r="AJ25" i="3" s="1"/>
  <c r="AM25" i="3" s="1"/>
  <c r="AJ24" i="3"/>
  <c r="AM24" i="3" s="1"/>
  <c r="AE28" i="3"/>
  <c r="AD28" i="3"/>
  <c r="AD27" i="3"/>
  <c r="AF27" i="3" s="1"/>
  <c r="AL27" i="3" s="1"/>
  <c r="AD26" i="3"/>
  <c r="AF26" i="3" s="1"/>
  <c r="AL26" i="3" s="1"/>
  <c r="AE25" i="3"/>
  <c r="AD25" i="3"/>
  <c r="AD24" i="3"/>
  <c r="AF24" i="3" s="1"/>
  <c r="AL24" i="3" s="1"/>
  <c r="AA28" i="3"/>
  <c r="Z28" i="3"/>
  <c r="AA27" i="3"/>
  <c r="Z27" i="3"/>
  <c r="AA26" i="3"/>
  <c r="Z26" i="3"/>
  <c r="AA25" i="3"/>
  <c r="Z25" i="3"/>
  <c r="AA24" i="3"/>
  <c r="Z24" i="3"/>
  <c r="AW19" i="2"/>
  <c r="BM19" i="2" s="1"/>
  <c r="AW18" i="2"/>
  <c r="BM18" i="2" s="1"/>
  <c r="AW17" i="2"/>
  <c r="BM17" i="2" s="1"/>
  <c r="AW16" i="2"/>
  <c r="BM16" i="2" s="1"/>
  <c r="AW15" i="2"/>
  <c r="BM15" i="2" s="1"/>
  <c r="AI19" i="2"/>
  <c r="BL19" i="2" s="1"/>
  <c r="AI18" i="2"/>
  <c r="BL18" i="2" s="1"/>
  <c r="AI17" i="2"/>
  <c r="BL17" i="2" s="1"/>
  <c r="AI16" i="2"/>
  <c r="BL16" i="2" s="1"/>
  <c r="AI15" i="2"/>
  <c r="BL15" i="2" s="1"/>
  <c r="U19" i="2"/>
  <c r="BK19" i="2" s="1"/>
  <c r="U18" i="2"/>
  <c r="BK18" i="2" s="1"/>
  <c r="U17" i="2"/>
  <c r="BK17" i="2" s="1"/>
  <c r="U16" i="2"/>
  <c r="BK16" i="2" s="1"/>
  <c r="U15" i="2"/>
  <c r="BK15" i="2" s="1"/>
  <c r="G19" i="2"/>
  <c r="G18" i="2"/>
  <c r="G17" i="2"/>
  <c r="G16" i="2"/>
  <c r="G15" i="2"/>
  <c r="BT31" i="1"/>
  <c r="BT30" i="1"/>
  <c r="BT29" i="1"/>
  <c r="BT28" i="1"/>
  <c r="BT27" i="1"/>
  <c r="BC31" i="1"/>
  <c r="CK31" i="1" s="1"/>
  <c r="BC30" i="1"/>
  <c r="CK30" i="1" s="1"/>
  <c r="BC29" i="1"/>
  <c r="CK29" i="1" s="1"/>
  <c r="BC28" i="1"/>
  <c r="CK28" i="1" s="1"/>
  <c r="BC27" i="1"/>
  <c r="CK27" i="1" s="1"/>
  <c r="AL31" i="1"/>
  <c r="CJ31" i="1" s="1"/>
  <c r="AL30" i="1"/>
  <c r="CJ30" i="1" s="1"/>
  <c r="AL29" i="1"/>
  <c r="CJ29" i="1" s="1"/>
  <c r="AL28" i="1"/>
  <c r="CJ28" i="1" s="1"/>
  <c r="AL27" i="1"/>
  <c r="CJ27" i="1" s="1"/>
  <c r="U31" i="1"/>
  <c r="CI31" i="1" s="1"/>
  <c r="U30" i="1"/>
  <c r="U29" i="1"/>
  <c r="CI29" i="1" s="1"/>
  <c r="U28" i="1"/>
  <c r="CI28" i="1" s="1"/>
  <c r="U27" i="1"/>
  <c r="G31" i="1"/>
  <c r="G30" i="1"/>
  <c r="G28" i="1"/>
  <c r="G29" i="1"/>
  <c r="G27" i="1"/>
  <c r="BT23" i="1"/>
  <c r="BT22" i="1"/>
  <c r="BT21" i="1"/>
  <c r="BT20" i="1"/>
  <c r="BT19" i="1"/>
  <c r="BT18" i="1"/>
  <c r="BT17" i="1"/>
  <c r="BT16" i="1"/>
  <c r="BT4" i="1"/>
  <c r="BT3" i="1"/>
  <c r="C9" i="2"/>
  <c r="C8" i="2"/>
  <c r="C7" i="2"/>
  <c r="C21" i="1"/>
  <c r="C20" i="1"/>
  <c r="C19" i="1"/>
  <c r="G14" i="2"/>
  <c r="G13" i="2"/>
  <c r="G12" i="2"/>
  <c r="G11" i="2"/>
  <c r="G10" i="2"/>
  <c r="G9" i="2"/>
  <c r="G8" i="2"/>
  <c r="G7" i="2"/>
  <c r="G6" i="2"/>
  <c r="G5" i="2"/>
  <c r="G4" i="2"/>
  <c r="AW3" i="2"/>
  <c r="BM3" i="2" s="1"/>
  <c r="AI3" i="2"/>
  <c r="BL3" i="2" s="1"/>
  <c r="U3" i="2"/>
  <c r="BK3" i="2" s="1"/>
  <c r="AW14" i="2"/>
  <c r="BM14" i="2" s="1"/>
  <c r="AW13" i="2"/>
  <c r="BM13" i="2" s="1"/>
  <c r="AW12" i="2"/>
  <c r="BM12" i="2" s="1"/>
  <c r="AW11" i="2"/>
  <c r="BM11" i="2" s="1"/>
  <c r="AW10" i="2"/>
  <c r="BM10" i="2" s="1"/>
  <c r="AW9" i="2"/>
  <c r="BM9" i="2" s="1"/>
  <c r="AW8" i="2"/>
  <c r="BM8" i="2" s="1"/>
  <c r="AW7" i="2"/>
  <c r="BM7" i="2" s="1"/>
  <c r="AW6" i="2"/>
  <c r="BM6" i="2" s="1"/>
  <c r="AW5" i="2"/>
  <c r="BM5" i="2" s="1"/>
  <c r="AW4" i="2"/>
  <c r="BM4" i="2" s="1"/>
  <c r="AI14" i="2"/>
  <c r="BL14" i="2" s="1"/>
  <c r="AI13" i="2"/>
  <c r="BL13" i="2" s="1"/>
  <c r="AI12" i="2"/>
  <c r="BL12" i="2" s="1"/>
  <c r="AI11" i="2"/>
  <c r="BL11" i="2" s="1"/>
  <c r="AI10" i="2"/>
  <c r="BL10" i="2" s="1"/>
  <c r="AI9" i="2"/>
  <c r="BL9" i="2" s="1"/>
  <c r="AI8" i="2"/>
  <c r="BL8" i="2" s="1"/>
  <c r="AI7" i="2"/>
  <c r="BL7" i="2" s="1"/>
  <c r="AI6" i="2"/>
  <c r="BL6" i="2" s="1"/>
  <c r="AI5" i="2"/>
  <c r="BL5" i="2" s="1"/>
  <c r="AI4" i="2"/>
  <c r="BL4" i="2" s="1"/>
  <c r="U14" i="2"/>
  <c r="BK14" i="2" s="1"/>
  <c r="U13" i="2"/>
  <c r="BK13" i="2" s="1"/>
  <c r="U12" i="2"/>
  <c r="BK12" i="2" s="1"/>
  <c r="U11" i="2"/>
  <c r="BK11" i="2" s="1"/>
  <c r="U10" i="2"/>
  <c r="BK10" i="2" s="1"/>
  <c r="U9" i="2"/>
  <c r="BK9" i="2" s="1"/>
  <c r="U8" i="2"/>
  <c r="BK8" i="2" s="1"/>
  <c r="U7" i="2"/>
  <c r="BK7" i="2" s="1"/>
  <c r="U6" i="2"/>
  <c r="BK6" i="2" s="1"/>
  <c r="U5" i="2"/>
  <c r="BK5" i="2" s="1"/>
  <c r="U4" i="2"/>
  <c r="BK4" i="2" s="1"/>
  <c r="BC26" i="1"/>
  <c r="CK26" i="1" s="1"/>
  <c r="BC25" i="1"/>
  <c r="CK25" i="1" s="1"/>
  <c r="BC24" i="1"/>
  <c r="CK24" i="1" s="1"/>
  <c r="BC23" i="1"/>
  <c r="CK23" i="1" s="1"/>
  <c r="BC22" i="1"/>
  <c r="CK22" i="1" s="1"/>
  <c r="BC21" i="1"/>
  <c r="CK21" i="1" s="1"/>
  <c r="BC20" i="1"/>
  <c r="CK20" i="1" s="1"/>
  <c r="BC19" i="1"/>
  <c r="CK19" i="1" s="1"/>
  <c r="BC18" i="1"/>
  <c r="CK18" i="1" s="1"/>
  <c r="BC17" i="1"/>
  <c r="CK17" i="1" s="1"/>
  <c r="BC16" i="1"/>
  <c r="CK16" i="1" s="1"/>
  <c r="AL26" i="1"/>
  <c r="CJ26" i="1" s="1"/>
  <c r="AL25" i="1"/>
  <c r="CJ25" i="1" s="1"/>
  <c r="AL24" i="1"/>
  <c r="CJ24" i="1" s="1"/>
  <c r="AL23" i="1"/>
  <c r="CJ23" i="1" s="1"/>
  <c r="AL22" i="1"/>
  <c r="CJ22" i="1" s="1"/>
  <c r="AL21" i="1"/>
  <c r="CJ21" i="1" s="1"/>
  <c r="AL20" i="1"/>
  <c r="CJ20" i="1" s="1"/>
  <c r="AL19" i="1"/>
  <c r="CJ19" i="1" s="1"/>
  <c r="AL18" i="1"/>
  <c r="CJ18" i="1" s="1"/>
  <c r="AL17" i="1"/>
  <c r="CJ17" i="1" s="1"/>
  <c r="AL16" i="1"/>
  <c r="CJ16" i="1" s="1"/>
  <c r="U26" i="1"/>
  <c r="CI26" i="1" s="1"/>
  <c r="U25" i="1"/>
  <c r="CI25" i="1" s="1"/>
  <c r="U24" i="1"/>
  <c r="U23" i="1"/>
  <c r="CI23" i="1" s="1"/>
  <c r="U22" i="1"/>
  <c r="CI22" i="1" s="1"/>
  <c r="U21" i="1"/>
  <c r="CI21" i="1" s="1"/>
  <c r="U20" i="1"/>
  <c r="CI20" i="1" s="1"/>
  <c r="U19" i="1"/>
  <c r="CI19" i="1" s="1"/>
  <c r="U18" i="1"/>
  <c r="CI18" i="1" s="1"/>
  <c r="U17" i="1"/>
  <c r="U16" i="1"/>
  <c r="G25" i="1"/>
  <c r="G26" i="1"/>
  <c r="G24" i="1"/>
  <c r="G21" i="1"/>
  <c r="G22" i="1"/>
  <c r="G23" i="1"/>
  <c r="G20" i="1"/>
  <c r="G17" i="1"/>
  <c r="G18" i="1"/>
  <c r="G19" i="1"/>
  <c r="G16" i="1"/>
  <c r="CB13" i="5"/>
  <c r="CB12" i="5"/>
  <c r="CB11" i="5"/>
  <c r="CB10" i="5"/>
  <c r="BL5" i="5"/>
  <c r="BL6" i="5"/>
  <c r="BL7" i="5"/>
  <c r="BL8" i="5"/>
  <c r="BL9" i="5"/>
  <c r="BL10" i="5"/>
  <c r="BL11" i="5"/>
  <c r="BL12" i="5"/>
  <c r="BL13" i="5"/>
  <c r="AV13" i="5"/>
  <c r="AV12" i="5"/>
  <c r="AV11" i="5"/>
  <c r="AV10" i="5"/>
  <c r="AV9" i="5"/>
  <c r="AV8" i="5"/>
  <c r="AV7" i="5"/>
  <c r="AV6" i="5"/>
  <c r="AF4" i="5"/>
  <c r="AF5" i="5"/>
  <c r="AF6" i="5"/>
  <c r="AF7" i="5"/>
  <c r="AF8" i="5"/>
  <c r="AF9" i="5"/>
  <c r="AF10" i="5"/>
  <c r="AF11" i="5"/>
  <c r="AF12" i="5"/>
  <c r="AF13" i="5"/>
  <c r="AF3" i="5"/>
  <c r="P4" i="5"/>
  <c r="P5" i="5"/>
  <c r="P6" i="5"/>
  <c r="P7" i="5"/>
  <c r="P8" i="5"/>
  <c r="P9" i="5"/>
  <c r="P10" i="5"/>
  <c r="P11" i="5"/>
  <c r="P12" i="5"/>
  <c r="P13" i="5"/>
  <c r="BC15" i="1"/>
  <c r="CK15" i="1" s="1"/>
  <c r="BC14" i="1"/>
  <c r="CK14" i="1" s="1"/>
  <c r="BC13" i="1"/>
  <c r="CK13" i="1" s="1"/>
  <c r="BC12" i="1"/>
  <c r="CK12" i="1" s="1"/>
  <c r="BC11" i="1"/>
  <c r="CK11" i="1" s="1"/>
  <c r="BC10" i="1"/>
  <c r="CK10" i="1" s="1"/>
  <c r="BC9" i="1"/>
  <c r="CK9" i="1" s="1"/>
  <c r="BC8" i="1"/>
  <c r="CK8" i="1" s="1"/>
  <c r="BC7" i="1"/>
  <c r="CK7" i="1" s="1"/>
  <c r="BC6" i="1"/>
  <c r="CK6" i="1" s="1"/>
  <c r="BC5" i="1"/>
  <c r="CK5" i="1" s="1"/>
  <c r="BC4" i="1"/>
  <c r="CK4" i="1" s="1"/>
  <c r="BC3" i="1"/>
  <c r="CK3" i="1" s="1"/>
  <c r="AL15" i="1"/>
  <c r="CJ15" i="1" s="1"/>
  <c r="AL14" i="1"/>
  <c r="CJ14" i="1" s="1"/>
  <c r="AL13" i="1"/>
  <c r="CJ13" i="1" s="1"/>
  <c r="AL12" i="1"/>
  <c r="CJ12" i="1" s="1"/>
  <c r="AL11" i="1"/>
  <c r="AL10" i="1"/>
  <c r="AL9" i="1"/>
  <c r="CJ9" i="1" s="1"/>
  <c r="AL8" i="1"/>
  <c r="CJ8" i="1" s="1"/>
  <c r="AL7" i="1"/>
  <c r="CJ7" i="1" s="1"/>
  <c r="AL6" i="1"/>
  <c r="CJ6" i="1" s="1"/>
  <c r="AL5" i="1"/>
  <c r="CJ5" i="1" s="1"/>
  <c r="AL4" i="1"/>
  <c r="CJ4" i="1" s="1"/>
  <c r="AL3" i="1"/>
  <c r="CJ3" i="1" s="1"/>
  <c r="U15" i="1"/>
  <c r="CI15" i="1" s="1"/>
  <c r="U14" i="1"/>
  <c r="CI14" i="1" s="1"/>
  <c r="U13" i="1"/>
  <c r="CI13" i="1" s="1"/>
  <c r="U12" i="1"/>
  <c r="CI12" i="1" s="1"/>
  <c r="U11" i="1"/>
  <c r="CI11" i="1" s="1"/>
  <c r="U10" i="1"/>
  <c r="CI10" i="1" s="1"/>
  <c r="U9" i="1"/>
  <c r="CI9" i="1" s="1"/>
  <c r="U8" i="1"/>
  <c r="U7" i="1"/>
  <c r="CI7" i="1" s="1"/>
  <c r="U6" i="1"/>
  <c r="CI6" i="1" s="1"/>
  <c r="U5" i="1"/>
  <c r="CI5" i="1" s="1"/>
  <c r="U4" i="1"/>
  <c r="CI4" i="1" s="1"/>
  <c r="U3" i="1"/>
  <c r="CI3" i="1" s="1"/>
  <c r="G11" i="1"/>
  <c r="G12" i="1"/>
  <c r="G13" i="1"/>
  <c r="G14" i="1"/>
  <c r="G15" i="1"/>
  <c r="G10" i="1"/>
  <c r="G4" i="1"/>
  <c r="G5" i="1"/>
  <c r="G6" i="1"/>
  <c r="G7" i="1"/>
  <c r="G8" i="1"/>
  <c r="G9" i="1"/>
  <c r="G3" i="1"/>
  <c r="J34" i="16" l="1"/>
  <c r="I41" i="18"/>
  <c r="I40" i="18"/>
  <c r="J31" i="16"/>
  <c r="J26" i="16"/>
  <c r="I38" i="18"/>
  <c r="J24" i="16"/>
  <c r="J19" i="16"/>
  <c r="I42" i="18"/>
  <c r="J25" i="16"/>
  <c r="J20" i="16"/>
  <c r="J21" i="16"/>
  <c r="I44" i="18"/>
  <c r="J29" i="16"/>
  <c r="FX35" i="5"/>
  <c r="GA35" i="5"/>
  <c r="GB36" i="5"/>
  <c r="GB35" i="5"/>
  <c r="GE36" i="5"/>
  <c r="GE35" i="5"/>
  <c r="GC36" i="5"/>
  <c r="GC35" i="5"/>
  <c r="FW36" i="5"/>
  <c r="FW35" i="5"/>
  <c r="GD36" i="5"/>
  <c r="GD35" i="5"/>
  <c r="FY36" i="5"/>
  <c r="FY35" i="5"/>
  <c r="CX11" i="22"/>
  <c r="CT12" i="22"/>
  <c r="CV12" i="22" s="1"/>
  <c r="CW12" i="22" s="1"/>
  <c r="ET10" i="23"/>
  <c r="EP11" i="23"/>
  <c r="ER11" i="23" s="1"/>
  <c r="ES11" i="23" s="1"/>
  <c r="CT10" i="6"/>
  <c r="CT8" i="6"/>
  <c r="CT7" i="6"/>
  <c r="CV7" i="6" s="1"/>
  <c r="CW7" i="6" s="1"/>
  <c r="CX7" i="6" s="1"/>
  <c r="CT9" i="6"/>
  <c r="E39" i="7"/>
  <c r="C40" i="18" s="1"/>
  <c r="J30" i="16"/>
  <c r="J28" i="16"/>
  <c r="J27" i="16"/>
  <c r="J23" i="16"/>
  <c r="J22" i="16"/>
  <c r="J33" i="16"/>
  <c r="J32" i="16"/>
  <c r="F81" i="8"/>
  <c r="H81" i="8" s="1"/>
  <c r="I81" i="8" s="1"/>
  <c r="F80" i="8"/>
  <c r="H80" i="8" s="1"/>
  <c r="I80" i="8" s="1"/>
  <c r="F85" i="8"/>
  <c r="H85" i="8" s="1"/>
  <c r="I85" i="8" s="1"/>
  <c r="F82" i="8"/>
  <c r="H82" i="8" s="1"/>
  <c r="I82" i="8" s="1"/>
  <c r="F86" i="8"/>
  <c r="H86" i="8" s="1"/>
  <c r="I86" i="8" s="1"/>
  <c r="F90" i="8"/>
  <c r="H90" i="8" s="1"/>
  <c r="I90" i="8" s="1"/>
  <c r="F92" i="8"/>
  <c r="H92" i="8" s="1"/>
  <c r="I92" i="8" s="1"/>
  <c r="F79" i="8"/>
  <c r="H79" i="8" s="1"/>
  <c r="I79" i="8" s="1"/>
  <c r="F83" i="8"/>
  <c r="H83" i="8" s="1"/>
  <c r="I83" i="8" s="1"/>
  <c r="F87" i="8"/>
  <c r="H87" i="8" s="1"/>
  <c r="I87" i="8" s="1"/>
  <c r="CC10" i="21"/>
  <c r="BY11" i="21"/>
  <c r="CA11" i="21" s="1"/>
  <c r="CB11" i="21" s="1"/>
  <c r="CN10" i="20"/>
  <c r="CJ11" i="20"/>
  <c r="CL11" i="20" s="1"/>
  <c r="CM11" i="20" s="1"/>
  <c r="BH39" i="9"/>
  <c r="BH41" i="9"/>
  <c r="AN21" i="9"/>
  <c r="O22" i="16"/>
  <c r="AL22" i="9"/>
  <c r="BG22" i="9" s="1"/>
  <c r="K23" i="16"/>
  <c r="AP24" i="9"/>
  <c r="Q25" i="16"/>
  <c r="AN25" i="9"/>
  <c r="O26" i="16"/>
  <c r="AL26" i="9"/>
  <c r="BF26" i="9" s="1"/>
  <c r="K27" i="16"/>
  <c r="AP28" i="9"/>
  <c r="Q29" i="16"/>
  <c r="AM17" i="9"/>
  <c r="BA17" i="9" s="1"/>
  <c r="L18" i="16"/>
  <c r="AQ18" i="9"/>
  <c r="R19" i="16"/>
  <c r="AQ15" i="9"/>
  <c r="R16" i="16"/>
  <c r="AQ14" i="9"/>
  <c r="R15" i="16"/>
  <c r="AQ13" i="9"/>
  <c r="R14" i="16"/>
  <c r="AQ6" i="9"/>
  <c r="R7" i="16"/>
  <c r="AQ5" i="9"/>
  <c r="R6" i="16"/>
  <c r="AQ4" i="9"/>
  <c r="R5" i="16"/>
  <c r="AQ21" i="9"/>
  <c r="R22" i="16"/>
  <c r="AO22" i="9"/>
  <c r="P23" i="16"/>
  <c r="AM23" i="9"/>
  <c r="BA23" i="9" s="1"/>
  <c r="L24" i="16"/>
  <c r="AQ25" i="9"/>
  <c r="R26" i="16"/>
  <c r="AO26" i="9"/>
  <c r="P27" i="16"/>
  <c r="AM27" i="9"/>
  <c r="BB27" i="9" s="1"/>
  <c r="L28" i="16"/>
  <c r="AL18" i="9"/>
  <c r="BF18" i="9" s="1"/>
  <c r="K19" i="16"/>
  <c r="AM9" i="9"/>
  <c r="BB9" i="9" s="1"/>
  <c r="L10" i="16"/>
  <c r="AQ16" i="9"/>
  <c r="R17" i="16"/>
  <c r="AQ12" i="9"/>
  <c r="R13" i="16"/>
  <c r="AM3" i="9"/>
  <c r="BB3" i="9" s="1"/>
  <c r="L4" i="16"/>
  <c r="AL17" i="9"/>
  <c r="BG17" i="9" s="1"/>
  <c r="K18" i="16"/>
  <c r="AL13" i="9"/>
  <c r="BG13" i="9" s="1"/>
  <c r="K14" i="16"/>
  <c r="AL9" i="9"/>
  <c r="BF9" i="9" s="1"/>
  <c r="K10" i="16"/>
  <c r="AL5" i="9"/>
  <c r="BF5" i="9" s="1"/>
  <c r="K6" i="16"/>
  <c r="AP20" i="9"/>
  <c r="Q21" i="16"/>
  <c r="AP19" i="9"/>
  <c r="Q20" i="16"/>
  <c r="AP18" i="9"/>
  <c r="Q19" i="16"/>
  <c r="AP17" i="9"/>
  <c r="Q18" i="16"/>
  <c r="AP16" i="9"/>
  <c r="Q17" i="16"/>
  <c r="AP15" i="9"/>
  <c r="Q16" i="16"/>
  <c r="AP14" i="9"/>
  <c r="Q15" i="16"/>
  <c r="AP13" i="9"/>
  <c r="Q14" i="16"/>
  <c r="AP12" i="9"/>
  <c r="Q13" i="16"/>
  <c r="AP11" i="9"/>
  <c r="Q12" i="16"/>
  <c r="AP10" i="9"/>
  <c r="Q11" i="16"/>
  <c r="AP9" i="9"/>
  <c r="Q10" i="16"/>
  <c r="AP8" i="9"/>
  <c r="Q9" i="16"/>
  <c r="AP7" i="9"/>
  <c r="Q8" i="16"/>
  <c r="AP6" i="9"/>
  <c r="Q7" i="16"/>
  <c r="AP5" i="9"/>
  <c r="BE5" i="9" s="1"/>
  <c r="Q6" i="16"/>
  <c r="AP4" i="9"/>
  <c r="Q5" i="16"/>
  <c r="AP21" i="9"/>
  <c r="Q22" i="16"/>
  <c r="AN22" i="9"/>
  <c r="O23" i="16"/>
  <c r="AL23" i="9"/>
  <c r="BG23" i="9" s="1"/>
  <c r="K24" i="16"/>
  <c r="AP25" i="9"/>
  <c r="Q26" i="16"/>
  <c r="AN26" i="9"/>
  <c r="O27" i="16"/>
  <c r="AL27" i="9"/>
  <c r="BG27" i="9" s="1"/>
  <c r="K28" i="16"/>
  <c r="AL3" i="9"/>
  <c r="BG3" i="9" s="1"/>
  <c r="K4" i="16"/>
  <c r="AM13" i="9"/>
  <c r="BB13" i="9" s="1"/>
  <c r="L14" i="16"/>
  <c r="AQ17" i="9"/>
  <c r="AZ17" i="9" s="1"/>
  <c r="R18" i="16"/>
  <c r="AQ11" i="9"/>
  <c r="R12" i="16"/>
  <c r="AM20" i="9"/>
  <c r="L21" i="16"/>
  <c r="AM12" i="9"/>
  <c r="BA12" i="9" s="1"/>
  <c r="L13" i="16"/>
  <c r="AM4" i="9"/>
  <c r="BA4" i="9" s="1"/>
  <c r="L5" i="16"/>
  <c r="AO20" i="9"/>
  <c r="P21" i="16"/>
  <c r="AO18" i="9"/>
  <c r="AY18" i="9" s="1"/>
  <c r="P19" i="16"/>
  <c r="AO17" i="9"/>
  <c r="P18" i="16"/>
  <c r="AO15" i="9"/>
  <c r="P16" i="16"/>
  <c r="AO13" i="9"/>
  <c r="P14" i="16"/>
  <c r="AO11" i="9"/>
  <c r="P12" i="16"/>
  <c r="AO10" i="9"/>
  <c r="P11" i="16"/>
  <c r="AO9" i="9"/>
  <c r="P10" i="16"/>
  <c r="AO8" i="9"/>
  <c r="P9" i="16"/>
  <c r="AO7" i="9"/>
  <c r="P8" i="16"/>
  <c r="AO6" i="9"/>
  <c r="P7" i="16"/>
  <c r="AO5" i="9"/>
  <c r="P6" i="16"/>
  <c r="AQ22" i="9"/>
  <c r="R23" i="16"/>
  <c r="AO23" i="9"/>
  <c r="AY23" i="9" s="1"/>
  <c r="P24" i="16"/>
  <c r="AM24" i="9"/>
  <c r="BB24" i="9" s="1"/>
  <c r="L25" i="16"/>
  <c r="AQ26" i="9"/>
  <c r="R27" i="16"/>
  <c r="AO27" i="9"/>
  <c r="AY27" i="9" s="1"/>
  <c r="P28" i="16"/>
  <c r="AM28" i="9"/>
  <c r="L29" i="16"/>
  <c r="AL6" i="9"/>
  <c r="BF6" i="9" s="1"/>
  <c r="K7" i="16"/>
  <c r="AQ19" i="9"/>
  <c r="R20" i="16"/>
  <c r="AQ8" i="9"/>
  <c r="R9" i="16"/>
  <c r="AM16" i="9"/>
  <c r="L17" i="16"/>
  <c r="AM8" i="9"/>
  <c r="BB8" i="9" s="1"/>
  <c r="L9" i="16"/>
  <c r="AO19" i="9"/>
  <c r="P20" i="16"/>
  <c r="AO16" i="9"/>
  <c r="P17" i="16"/>
  <c r="AO14" i="9"/>
  <c r="P15" i="16"/>
  <c r="AO12" i="9"/>
  <c r="P13" i="16"/>
  <c r="AO4" i="9"/>
  <c r="AY4" i="9" s="1"/>
  <c r="P5" i="16"/>
  <c r="AL20" i="9"/>
  <c r="BF20" i="9" s="1"/>
  <c r="K21" i="16"/>
  <c r="AL16" i="9"/>
  <c r="BG16" i="9" s="1"/>
  <c r="K17" i="16"/>
  <c r="AL12" i="9"/>
  <c r="BF12" i="9" s="1"/>
  <c r="K13" i="16"/>
  <c r="AL8" i="9"/>
  <c r="BF8" i="9" s="1"/>
  <c r="K9" i="16"/>
  <c r="AL4" i="9"/>
  <c r="K5" i="16"/>
  <c r="AN20" i="9"/>
  <c r="O21" i="16"/>
  <c r="AN19" i="9"/>
  <c r="O20" i="16"/>
  <c r="AN18" i="9"/>
  <c r="O19" i="16"/>
  <c r="AN17" i="9"/>
  <c r="O18" i="16"/>
  <c r="AN16" i="9"/>
  <c r="BD16" i="9" s="1"/>
  <c r="O17" i="16"/>
  <c r="AN15" i="9"/>
  <c r="O16" i="16"/>
  <c r="AN14" i="9"/>
  <c r="O15" i="16"/>
  <c r="AN13" i="9"/>
  <c r="O14" i="16"/>
  <c r="AN12" i="9"/>
  <c r="O13" i="16"/>
  <c r="AN11" i="9"/>
  <c r="O12" i="16"/>
  <c r="AN10" i="9"/>
  <c r="O11" i="16"/>
  <c r="AN9" i="9"/>
  <c r="BD9" i="9" s="1"/>
  <c r="O10" i="16"/>
  <c r="AN8" i="9"/>
  <c r="O9" i="16"/>
  <c r="AN7" i="9"/>
  <c r="O8" i="16"/>
  <c r="AN6" i="9"/>
  <c r="O7" i="16"/>
  <c r="AN5" i="9"/>
  <c r="O6" i="16"/>
  <c r="AN4" i="9"/>
  <c r="O5" i="16"/>
  <c r="AP22" i="9"/>
  <c r="BE22" i="9" s="1"/>
  <c r="Q23" i="16"/>
  <c r="AN23" i="9"/>
  <c r="O24" i="16"/>
  <c r="AL24" i="9"/>
  <c r="BF24" i="9" s="1"/>
  <c r="K25" i="16"/>
  <c r="AP26" i="9"/>
  <c r="Q27" i="16"/>
  <c r="AN27" i="9"/>
  <c r="O28" i="16"/>
  <c r="AL28" i="9"/>
  <c r="BF28" i="9" s="1"/>
  <c r="K29" i="16"/>
  <c r="AL14" i="9"/>
  <c r="BF14" i="9" s="1"/>
  <c r="K15" i="16"/>
  <c r="AM5" i="9"/>
  <c r="BB5" i="9" s="1"/>
  <c r="L6" i="16"/>
  <c r="AQ10" i="9"/>
  <c r="R11" i="16"/>
  <c r="AM15" i="9"/>
  <c r="BA15" i="9" s="1"/>
  <c r="L16" i="16"/>
  <c r="AM11" i="9"/>
  <c r="BA11" i="9" s="1"/>
  <c r="L12" i="16"/>
  <c r="AM7" i="9"/>
  <c r="BA7" i="9" s="1"/>
  <c r="L8" i="16"/>
  <c r="AN3" i="9"/>
  <c r="O4" i="16"/>
  <c r="AM21" i="9"/>
  <c r="AZ21" i="9" s="1"/>
  <c r="L22" i="16"/>
  <c r="AQ23" i="9"/>
  <c r="R24" i="16"/>
  <c r="AO24" i="9"/>
  <c r="P25" i="16"/>
  <c r="AM25" i="9"/>
  <c r="BA25" i="9" s="1"/>
  <c r="L26" i="16"/>
  <c r="AQ27" i="9"/>
  <c r="AZ27" i="9" s="1"/>
  <c r="R28" i="16"/>
  <c r="AO28" i="9"/>
  <c r="P29" i="16"/>
  <c r="AQ3" i="9"/>
  <c r="R4" i="16"/>
  <c r="AQ9" i="9"/>
  <c r="R10" i="16"/>
  <c r="AL19" i="9"/>
  <c r="BF19" i="9" s="1"/>
  <c r="K20" i="16"/>
  <c r="AL11" i="9"/>
  <c r="BF11" i="9" s="1"/>
  <c r="K12" i="16"/>
  <c r="AL7" i="9"/>
  <c r="BF7" i="9" s="1"/>
  <c r="K8" i="16"/>
  <c r="AO3" i="9"/>
  <c r="P4" i="16"/>
  <c r="AL21" i="9"/>
  <c r="BF21" i="9" s="1"/>
  <c r="K22" i="16"/>
  <c r="AP23" i="9"/>
  <c r="Q24" i="16"/>
  <c r="AN24" i="9"/>
  <c r="O25" i="16"/>
  <c r="AL25" i="9"/>
  <c r="BF25" i="9" s="1"/>
  <c r="K26" i="16"/>
  <c r="AP27" i="9"/>
  <c r="Q28" i="16"/>
  <c r="AN28" i="9"/>
  <c r="O29" i="16"/>
  <c r="AL10" i="9"/>
  <c r="BF10" i="9" s="1"/>
  <c r="K11" i="16"/>
  <c r="BF13" i="9"/>
  <c r="AQ20" i="9"/>
  <c r="R21" i="16"/>
  <c r="AQ7" i="9"/>
  <c r="R8" i="16"/>
  <c r="AM19" i="9"/>
  <c r="L20" i="16"/>
  <c r="AL15" i="9"/>
  <c r="BF15" i="9" s="1"/>
  <c r="K16" i="16"/>
  <c r="AM18" i="9"/>
  <c r="BB18" i="9" s="1"/>
  <c r="L19" i="16"/>
  <c r="AM14" i="9"/>
  <c r="BA14" i="9" s="1"/>
  <c r="L15" i="16"/>
  <c r="AM10" i="9"/>
  <c r="BA10" i="9" s="1"/>
  <c r="L11" i="16"/>
  <c r="AM6" i="9"/>
  <c r="BA6" i="9" s="1"/>
  <c r="L7" i="16"/>
  <c r="AP3" i="9"/>
  <c r="Q4" i="16"/>
  <c r="AO21" i="9"/>
  <c r="P22" i="16"/>
  <c r="AM22" i="9"/>
  <c r="BB22" i="9" s="1"/>
  <c r="L23" i="16"/>
  <c r="AQ24" i="9"/>
  <c r="R25" i="16"/>
  <c r="AO25" i="9"/>
  <c r="P26" i="16"/>
  <c r="AM26" i="9"/>
  <c r="L27" i="16"/>
  <c r="AQ28" i="9"/>
  <c r="R29" i="16"/>
  <c r="E39" i="18"/>
  <c r="E38" i="18"/>
  <c r="DS20" i="1"/>
  <c r="DS21" i="1"/>
  <c r="E40" i="18"/>
  <c r="DS19" i="1"/>
  <c r="BO7" i="2"/>
  <c r="BR7" i="2" s="1"/>
  <c r="CH26" i="2"/>
  <c r="CJ26" i="2" s="1"/>
  <c r="CK26" i="2" s="1"/>
  <c r="CL26" i="2" s="1"/>
  <c r="CJ28" i="2"/>
  <c r="CK28" i="2" s="1"/>
  <c r="CL28" i="2" s="1"/>
  <c r="BN17" i="2"/>
  <c r="BO9" i="2"/>
  <c r="BR9" i="2" s="1"/>
  <c r="BN9" i="2"/>
  <c r="BO23" i="2"/>
  <c r="BR23" i="2" s="1"/>
  <c r="J22" i="7" s="1"/>
  <c r="E24" i="16" s="1"/>
  <c r="BN23" i="2"/>
  <c r="BN24" i="2"/>
  <c r="BN20" i="2"/>
  <c r="K12" i="7"/>
  <c r="C14" i="17" s="1"/>
  <c r="AB24" i="3"/>
  <c r="AK24" i="3" s="1"/>
  <c r="AB28" i="3"/>
  <c r="AK28" i="3" s="1"/>
  <c r="CM37" i="1"/>
  <c r="CP37" i="1" s="1"/>
  <c r="G36" i="7" s="1"/>
  <c r="D35" i="7"/>
  <c r="B36" i="18" s="1"/>
  <c r="AS19" i="14"/>
  <c r="AT19" i="14" s="1"/>
  <c r="AU19" i="14" s="1"/>
  <c r="AF25" i="3"/>
  <c r="AL25" i="3" s="1"/>
  <c r="AB25" i="3"/>
  <c r="AK25" i="3" s="1"/>
  <c r="BN12" i="2"/>
  <c r="BO12" i="2"/>
  <c r="BR12" i="2" s="1"/>
  <c r="BN15" i="2"/>
  <c r="BN13" i="2"/>
  <c r="BO13" i="2"/>
  <c r="BR13" i="2" s="1"/>
  <c r="BO25" i="2"/>
  <c r="BR25" i="2" s="1"/>
  <c r="J24" i="7" s="1"/>
  <c r="E26" i="16" s="1"/>
  <c r="BN25" i="2"/>
  <c r="BO14" i="2"/>
  <c r="BR14" i="2" s="1"/>
  <c r="BN14" i="2"/>
  <c r="BN5" i="2"/>
  <c r="BO5" i="2"/>
  <c r="BR5" i="2" s="1"/>
  <c r="BN4" i="2"/>
  <c r="BO4" i="2"/>
  <c r="BR4" i="2" s="1"/>
  <c r="BO8" i="2"/>
  <c r="BR8" i="2" s="1"/>
  <c r="BN8" i="2"/>
  <c r="BN10" i="2"/>
  <c r="BO10" i="2"/>
  <c r="BR10" i="2" s="1"/>
  <c r="BO3" i="2"/>
  <c r="BR3" i="2" s="1"/>
  <c r="BN3" i="2"/>
  <c r="BO6" i="2"/>
  <c r="BR6" i="2" s="1"/>
  <c r="BN6" i="2"/>
  <c r="BN19" i="2"/>
  <c r="BO18" i="2"/>
  <c r="BR18" i="2" s="1"/>
  <c r="BN11" i="2"/>
  <c r="BO11" i="2"/>
  <c r="BR11" i="2" s="1"/>
  <c r="BO17" i="2"/>
  <c r="BR17" i="2" s="1"/>
  <c r="BN18" i="2"/>
  <c r="CH29" i="2"/>
  <c r="CJ29" i="2" s="1"/>
  <c r="CK29" i="2" s="1"/>
  <c r="CL29" i="2" s="1"/>
  <c r="BN16" i="2"/>
  <c r="CH30" i="2"/>
  <c r="CH27" i="2"/>
  <c r="CJ27" i="2" s="1"/>
  <c r="CK27" i="2" s="1"/>
  <c r="CL27" i="2" s="1"/>
  <c r="BN7" i="2"/>
  <c r="H19" i="7"/>
  <c r="C21" i="16" s="1"/>
  <c r="BB17" i="9"/>
  <c r="BB16" i="9"/>
  <c r="BA5" i="9"/>
  <c r="BB4" i="9"/>
  <c r="BB11" i="9"/>
  <c r="AZ20" i="9"/>
  <c r="AZ5" i="9"/>
  <c r="BA3" i="9"/>
  <c r="BB28" i="9"/>
  <c r="AZ23" i="9"/>
  <c r="BA16" i="9"/>
  <c r="BB23" i="9"/>
  <c r="BA26" i="9"/>
  <c r="CM35" i="1"/>
  <c r="CP35" i="1" s="1"/>
  <c r="G34" i="7" s="1"/>
  <c r="CM36" i="1"/>
  <c r="CP36" i="1" s="1"/>
  <c r="G35" i="7" s="1"/>
  <c r="E38" i="7"/>
  <c r="C39" i="18" s="1"/>
  <c r="CL36" i="1"/>
  <c r="CU36" i="1" s="1"/>
  <c r="CL35" i="1"/>
  <c r="CL32" i="1"/>
  <c r="CT32" i="1" s="1"/>
  <c r="CL37" i="1"/>
  <c r="CT37" i="1" s="1"/>
  <c r="E37" i="7"/>
  <c r="C38" i="18" s="1"/>
  <c r="D36" i="7"/>
  <c r="B37" i="18" s="1"/>
  <c r="CA9" i="6"/>
  <c r="K8" i="7" s="1"/>
  <c r="C10" i="17" s="1"/>
  <c r="CV8" i="6"/>
  <c r="CW8" i="6" s="1"/>
  <c r="CX8" i="6" s="1"/>
  <c r="CB10" i="6"/>
  <c r="CE10" i="6" s="1"/>
  <c r="M9" i="7" s="1"/>
  <c r="E11" i="17" s="1"/>
  <c r="CA10" i="6"/>
  <c r="CA11" i="6"/>
  <c r="CB11" i="6"/>
  <c r="CE11" i="6" s="1"/>
  <c r="M10" i="7" s="1"/>
  <c r="E12" i="17" s="1"/>
  <c r="CA12" i="6"/>
  <c r="CB12" i="6"/>
  <c r="CE12" i="6" s="1"/>
  <c r="M11" i="7" s="1"/>
  <c r="E13" i="17" s="1"/>
  <c r="CV10" i="6"/>
  <c r="CW10" i="6" s="1"/>
  <c r="K13" i="7"/>
  <c r="C15" i="17" s="1"/>
  <c r="CB14" i="6"/>
  <c r="CE14" i="6" s="1"/>
  <c r="M13" i="7" s="1"/>
  <c r="E15" i="17" s="1"/>
  <c r="K14" i="7"/>
  <c r="C16" i="17" s="1"/>
  <c r="J27" i="7"/>
  <c r="E29" i="16" s="1"/>
  <c r="BO24" i="2"/>
  <c r="BR24" i="2" s="1"/>
  <c r="J23" i="7" s="1"/>
  <c r="E25" i="16" s="1"/>
  <c r="CB7" i="6"/>
  <c r="CE7" i="6" s="1"/>
  <c r="M6" i="7" s="1"/>
  <c r="E8" i="17" s="1"/>
  <c r="BN21" i="2"/>
  <c r="BN22" i="2"/>
  <c r="H22" i="7"/>
  <c r="C24" i="16" s="1"/>
  <c r="BO21" i="2"/>
  <c r="BR21" i="2" s="1"/>
  <c r="J20" i="7" s="1"/>
  <c r="E22" i="16" s="1"/>
  <c r="CR10" i="1"/>
  <c r="CS10" i="1" s="1"/>
  <c r="CR26" i="1"/>
  <c r="CS26" i="1" s="1"/>
  <c r="CR18" i="1"/>
  <c r="CS18" i="1" s="1"/>
  <c r="CR25" i="1"/>
  <c r="CS25" i="1" s="1"/>
  <c r="CR29" i="1"/>
  <c r="CS29" i="1" s="1"/>
  <c r="DD30" i="1"/>
  <c r="DF30" i="1" s="1"/>
  <c r="DG30" i="1" s="1"/>
  <c r="DH30" i="1" s="1"/>
  <c r="CR7" i="1"/>
  <c r="CS7" i="1" s="1"/>
  <c r="CR23" i="1"/>
  <c r="CS23" i="1" s="1"/>
  <c r="CR9" i="1"/>
  <c r="CS9" i="1" s="1"/>
  <c r="CR17" i="1"/>
  <c r="CS17" i="1" s="1"/>
  <c r="CR24" i="1"/>
  <c r="CS24" i="1" s="1"/>
  <c r="CR16" i="1"/>
  <c r="CS16" i="1" s="1"/>
  <c r="CR8" i="1"/>
  <c r="CS8" i="1" s="1"/>
  <c r="CR15" i="1"/>
  <c r="CS15" i="1" s="1"/>
  <c r="CM32" i="1"/>
  <c r="CP32" i="1" s="1"/>
  <c r="CR22" i="1"/>
  <c r="CS22" i="1" s="1"/>
  <c r="CR14" i="1"/>
  <c r="CS14" i="1" s="1"/>
  <c r="CR6" i="1"/>
  <c r="CS6" i="1" s="1"/>
  <c r="CR3" i="1"/>
  <c r="CS3" i="1" s="1"/>
  <c r="CR21" i="1"/>
  <c r="CS21" i="1" s="1"/>
  <c r="CR13" i="1"/>
  <c r="CS13" i="1" s="1"/>
  <c r="CR5" i="1"/>
  <c r="CS5" i="1" s="1"/>
  <c r="DD28" i="1"/>
  <c r="DF28" i="1" s="1"/>
  <c r="DG28" i="1" s="1"/>
  <c r="DH28" i="1" s="1"/>
  <c r="DD31" i="1"/>
  <c r="DF31" i="1" s="1"/>
  <c r="DG31" i="1" s="1"/>
  <c r="DH31" i="1" s="1"/>
  <c r="DD32" i="1"/>
  <c r="CL33" i="1"/>
  <c r="CR28" i="1"/>
  <c r="CS28" i="1" s="1"/>
  <c r="CR20" i="1"/>
  <c r="CS20" i="1" s="1"/>
  <c r="CR12" i="1"/>
  <c r="CS12" i="1" s="1"/>
  <c r="CR4" i="1"/>
  <c r="CS4" i="1" s="1"/>
  <c r="CR27" i="1"/>
  <c r="CS27" i="1" s="1"/>
  <c r="CR19" i="1"/>
  <c r="CS19" i="1" s="1"/>
  <c r="CR11" i="1"/>
  <c r="CS11" i="1" s="1"/>
  <c r="CB6" i="6"/>
  <c r="CE6" i="6" s="1"/>
  <c r="M5" i="7" s="1"/>
  <c r="E7" i="17" s="1"/>
  <c r="CA5" i="6"/>
  <c r="CA7" i="6"/>
  <c r="CB9" i="6"/>
  <c r="CE9" i="6" s="1"/>
  <c r="M8" i="7" s="1"/>
  <c r="E10" i="17" s="1"/>
  <c r="CA8" i="6"/>
  <c r="CB3" i="6"/>
  <c r="CE3" i="6" s="1"/>
  <c r="M2" i="7" s="1"/>
  <c r="E4" i="17" s="1"/>
  <c r="CA3" i="6"/>
  <c r="CA4" i="6"/>
  <c r="CA6" i="6"/>
  <c r="CB8" i="6"/>
  <c r="CE8" i="6" s="1"/>
  <c r="M7" i="7" s="1"/>
  <c r="E9" i="17" s="1"/>
  <c r="BO22" i="2"/>
  <c r="BR22" i="2" s="1"/>
  <c r="J21" i="7" s="1"/>
  <c r="E23" i="16" s="1"/>
  <c r="CM33" i="1"/>
  <c r="CP33" i="1" s="1"/>
  <c r="CL34" i="1"/>
  <c r="CM34" i="1"/>
  <c r="CP34" i="1" s="1"/>
  <c r="CV9" i="6"/>
  <c r="CW9" i="6" s="1"/>
  <c r="CX9" i="6" s="1"/>
  <c r="CT6" i="6"/>
  <c r="CV6" i="6" s="1"/>
  <c r="CW6" i="6" s="1"/>
  <c r="CX6" i="6" s="1"/>
  <c r="CM29" i="1"/>
  <c r="CP29" i="1" s="1"/>
  <c r="CM19" i="1"/>
  <c r="CP19" i="1" s="1"/>
  <c r="CL30" i="1"/>
  <c r="CM20" i="1"/>
  <c r="CP20" i="1" s="1"/>
  <c r="CM31" i="1"/>
  <c r="CP31" i="1" s="1"/>
  <c r="CM12" i="1"/>
  <c r="CP12" i="1" s="1"/>
  <c r="CM4" i="1"/>
  <c r="CP4" i="1" s="1"/>
  <c r="CM9" i="1"/>
  <c r="CP9" i="1" s="1"/>
  <c r="CI30" i="1"/>
  <c r="CL16" i="1"/>
  <c r="CL24" i="1"/>
  <c r="CL8" i="1"/>
  <c r="CL11" i="1"/>
  <c r="CL17" i="1"/>
  <c r="CL25" i="1"/>
  <c r="CL27" i="1"/>
  <c r="CI17" i="1"/>
  <c r="CL3" i="1"/>
  <c r="CM3" i="1"/>
  <c r="CP3" i="1" s="1"/>
  <c r="CM5" i="1"/>
  <c r="CP5" i="1" s="1"/>
  <c r="CM6" i="1"/>
  <c r="CP6" i="1" s="1"/>
  <c r="CM14" i="1"/>
  <c r="CP14" i="1" s="1"/>
  <c r="CM23" i="1"/>
  <c r="CP23" i="1" s="1"/>
  <c r="CM21" i="1"/>
  <c r="CP21" i="1" s="1"/>
  <c r="CM13" i="1"/>
  <c r="CP13" i="1" s="1"/>
  <c r="CM7" i="1"/>
  <c r="CP7" i="1" s="1"/>
  <c r="CM25" i="1"/>
  <c r="CP25" i="1" s="1"/>
  <c r="CM22" i="1"/>
  <c r="CP22" i="1" s="1"/>
  <c r="CM15" i="1"/>
  <c r="CP15" i="1" s="1"/>
  <c r="CM18" i="1"/>
  <c r="CP18" i="1" s="1"/>
  <c r="CM26" i="1"/>
  <c r="CP26" i="1" s="1"/>
  <c r="CM28" i="1"/>
  <c r="CP28" i="1" s="1"/>
  <c r="CI27" i="1"/>
  <c r="CI24" i="1"/>
  <c r="CI16" i="1"/>
  <c r="CI8" i="1"/>
  <c r="CL31" i="1"/>
  <c r="CL29" i="1"/>
  <c r="CL7" i="1"/>
  <c r="CL15" i="1"/>
  <c r="CL10" i="1"/>
  <c r="CL18" i="1"/>
  <c r="CL26" i="1"/>
  <c r="CJ11" i="1"/>
  <c r="CM11" i="1" s="1"/>
  <c r="CP11" i="1" s="1"/>
  <c r="CJ10" i="1"/>
  <c r="CM10" i="1" s="1"/>
  <c r="CP10" i="1" s="1"/>
  <c r="CL28" i="1"/>
  <c r="CB4" i="6"/>
  <c r="CE4" i="6" s="1"/>
  <c r="M3" i="7" s="1"/>
  <c r="E5" i="17" s="1"/>
  <c r="CB5" i="6"/>
  <c r="CE5" i="6" s="1"/>
  <c r="M4" i="7" s="1"/>
  <c r="E6" i="17" s="1"/>
  <c r="BO19" i="2"/>
  <c r="BR19" i="2" s="1"/>
  <c r="BO15" i="2"/>
  <c r="BR15" i="2" s="1"/>
  <c r="BO20" i="2"/>
  <c r="BR20" i="2" s="1"/>
  <c r="J19" i="7" s="1"/>
  <c r="E21" i="16" s="1"/>
  <c r="BO16" i="2"/>
  <c r="BR16" i="2" s="1"/>
  <c r="AF28" i="3"/>
  <c r="AL28" i="3" s="1"/>
  <c r="AB27" i="3"/>
  <c r="AK27" i="3" s="1"/>
  <c r="AB26" i="3"/>
  <c r="AK26" i="3" s="1"/>
  <c r="CL4" i="1"/>
  <c r="CL12" i="1"/>
  <c r="CL21" i="1"/>
  <c r="CL5" i="1"/>
  <c r="CL13" i="1"/>
  <c r="CL22" i="1"/>
  <c r="CL19" i="1"/>
  <c r="CL6" i="1"/>
  <c r="CL14" i="1"/>
  <c r="CL9" i="1"/>
  <c r="CL23" i="1"/>
  <c r="CL20" i="1"/>
  <c r="C18" i="1"/>
  <c r="C17" i="1"/>
  <c r="C6" i="2"/>
  <c r="C5" i="2"/>
  <c r="C4" i="2"/>
  <c r="C3" i="2"/>
  <c r="C16" i="1"/>
  <c r="C15" i="1"/>
  <c r="C14" i="1"/>
  <c r="C13" i="1"/>
  <c r="C12" i="1"/>
  <c r="C11" i="1"/>
  <c r="C10" i="1"/>
  <c r="C9" i="1"/>
  <c r="C8" i="1"/>
  <c r="C7" i="1"/>
  <c r="C6" i="1"/>
  <c r="C5" i="1"/>
  <c r="C4" i="1"/>
  <c r="C3" i="1"/>
  <c r="J18" i="16" l="1"/>
  <c r="I18" i="16"/>
  <c r="AY9" i="9"/>
  <c r="BA22" i="9"/>
  <c r="AY16" i="9"/>
  <c r="AZ13" i="9"/>
  <c r="BB7" i="9"/>
  <c r="CX12" i="22"/>
  <c r="CT13" i="22"/>
  <c r="CV13" i="22" s="1"/>
  <c r="CW13" i="22" s="1"/>
  <c r="CX13" i="22" s="1"/>
  <c r="EP12" i="23"/>
  <c r="ER12" i="23" s="1"/>
  <c r="ES12" i="23" s="1"/>
  <c r="ET12" i="23" s="1"/>
  <c r="ET11" i="23"/>
  <c r="CX10" i="6"/>
  <c r="CT11" i="6"/>
  <c r="CV11" i="6" s="1"/>
  <c r="CW11" i="6" s="1"/>
  <c r="AY3" i="9"/>
  <c r="CC11" i="21"/>
  <c r="BY12" i="21"/>
  <c r="CA12" i="21" s="1"/>
  <c r="CB12" i="21" s="1"/>
  <c r="CN11" i="20"/>
  <c r="CJ12" i="20"/>
  <c r="CL12" i="20" s="1"/>
  <c r="CM12" i="20" s="1"/>
  <c r="BG19" i="9"/>
  <c r="AY17" i="9"/>
  <c r="AZ25" i="9"/>
  <c r="BA9" i="9"/>
  <c r="AY26" i="9"/>
  <c r="AY10" i="9"/>
  <c r="AZ4" i="9"/>
  <c r="BC4" i="9" s="1"/>
  <c r="BB10" i="9"/>
  <c r="BG8" i="9"/>
  <c r="BG28" i="9"/>
  <c r="BD13" i="9"/>
  <c r="BD17" i="9"/>
  <c r="AZ22" i="9"/>
  <c r="AZ11" i="9"/>
  <c r="BD22" i="9"/>
  <c r="AY15" i="9"/>
  <c r="BC5" i="9"/>
  <c r="BG6" i="9"/>
  <c r="AZ9" i="9"/>
  <c r="BA27" i="9"/>
  <c r="AY5" i="9"/>
  <c r="AZ24" i="9"/>
  <c r="BC24" i="9" s="1"/>
  <c r="BG7" i="9"/>
  <c r="BA21" i="9"/>
  <c r="BB25" i="9"/>
  <c r="BA18" i="9"/>
  <c r="AZ19" i="9"/>
  <c r="BG9" i="9"/>
  <c r="BF17" i="9"/>
  <c r="BD28" i="9"/>
  <c r="BD8" i="9"/>
  <c r="AY14" i="9"/>
  <c r="AZ16" i="9"/>
  <c r="AY28" i="9"/>
  <c r="AY7" i="9"/>
  <c r="AY11" i="9"/>
  <c r="BE9" i="9"/>
  <c r="BE13" i="9"/>
  <c r="BH13" i="9" s="1"/>
  <c r="BE17" i="9"/>
  <c r="BH17" i="9" s="1"/>
  <c r="AY21" i="9"/>
  <c r="AZ7" i="9"/>
  <c r="BF22" i="9"/>
  <c r="BB12" i="9"/>
  <c r="BG14" i="9"/>
  <c r="BD26" i="9"/>
  <c r="BG15" i="9"/>
  <c r="AY6" i="9"/>
  <c r="AZ6" i="9"/>
  <c r="BC6" i="9" s="1"/>
  <c r="BB19" i="9"/>
  <c r="AY19" i="9"/>
  <c r="BE26" i="9"/>
  <c r="BH26" i="9" s="1"/>
  <c r="BE12" i="9"/>
  <c r="BD24" i="9"/>
  <c r="BG24" i="9"/>
  <c r="BD12" i="9"/>
  <c r="BD20" i="9"/>
  <c r="AY20" i="9"/>
  <c r="BG26" i="9"/>
  <c r="BB6" i="9"/>
  <c r="AZ12" i="9"/>
  <c r="BA19" i="9"/>
  <c r="AZ3" i="9"/>
  <c r="BC3" i="9" s="1"/>
  <c r="AZ15" i="9"/>
  <c r="BG11" i="9"/>
  <c r="BA13" i="9"/>
  <c r="BG12" i="9"/>
  <c r="BF3" i="9"/>
  <c r="BD3" i="9"/>
  <c r="AZ10" i="9"/>
  <c r="BE10" i="9"/>
  <c r="BE14" i="9"/>
  <c r="BH14" i="9" s="1"/>
  <c r="AY22" i="9"/>
  <c r="AZ18" i="9"/>
  <c r="AY25" i="9"/>
  <c r="BE3" i="9"/>
  <c r="BH3" i="9" s="1"/>
  <c r="BD14" i="9"/>
  <c r="BH9" i="9"/>
  <c r="BE28" i="9"/>
  <c r="BH28" i="9" s="1"/>
  <c r="BE24" i="9"/>
  <c r="BF27" i="9"/>
  <c r="BF23" i="9"/>
  <c r="AY8" i="9"/>
  <c r="BE27" i="9"/>
  <c r="BE23" i="9"/>
  <c r="BE6" i="9"/>
  <c r="BH6" i="9" s="1"/>
  <c r="BE18" i="9"/>
  <c r="BB21" i="9"/>
  <c r="AZ14" i="9"/>
  <c r="BF16" i="9"/>
  <c r="AY24" i="9"/>
  <c r="AY13" i="9"/>
  <c r="BD5" i="9"/>
  <c r="BA28" i="9"/>
  <c r="AY12" i="9"/>
  <c r="BA20" i="9"/>
  <c r="BB20" i="9"/>
  <c r="BB14" i="9"/>
  <c r="BG25" i="9"/>
  <c r="BG21" i="9"/>
  <c r="BG10" i="9"/>
  <c r="BG18" i="9"/>
  <c r="BD27" i="9"/>
  <c r="BD23" i="9"/>
  <c r="BE25" i="9"/>
  <c r="BE21" i="9"/>
  <c r="BE7" i="9"/>
  <c r="BE11" i="9"/>
  <c r="BE15" i="9"/>
  <c r="BE19" i="9"/>
  <c r="BH19" i="9" s="1"/>
  <c r="BC16" i="9"/>
  <c r="X50" i="16"/>
  <c r="Y50" i="16"/>
  <c r="BA8" i="9"/>
  <c r="BB26" i="9"/>
  <c r="AZ8" i="9"/>
  <c r="AZ28" i="9"/>
  <c r="AZ26" i="9"/>
  <c r="BD6" i="9"/>
  <c r="BD10" i="9"/>
  <c r="BD18" i="9"/>
  <c r="BA24" i="9"/>
  <c r="BB15" i="9"/>
  <c r="BG20" i="9"/>
  <c r="BH22" i="9"/>
  <c r="BE8" i="9"/>
  <c r="BH8" i="9" s="1"/>
  <c r="BE16" i="9"/>
  <c r="BE20" i="9"/>
  <c r="BD25" i="9"/>
  <c r="BD21" i="9"/>
  <c r="BG5" i="9"/>
  <c r="BH5" i="9" s="1"/>
  <c r="BD7" i="9"/>
  <c r="BD11" i="9"/>
  <c r="BD15" i="9"/>
  <c r="BD19" i="9"/>
  <c r="DS16" i="1"/>
  <c r="DS10" i="1"/>
  <c r="DS8" i="1"/>
  <c r="DS3" i="1"/>
  <c r="DV3" i="1"/>
  <c r="DW3" i="1" s="1"/>
  <c r="DX3" i="1" s="1"/>
  <c r="E37" i="18"/>
  <c r="DS9" i="1"/>
  <c r="DS5" i="1"/>
  <c r="DS13" i="1"/>
  <c r="DS17" i="1"/>
  <c r="E36" i="18"/>
  <c r="DS4" i="1"/>
  <c r="DS12" i="1"/>
  <c r="DS6" i="1"/>
  <c r="DS14" i="1"/>
  <c r="DS18" i="1"/>
  <c r="DV18" i="1"/>
  <c r="DW18" i="1" s="1"/>
  <c r="DX18" i="1" s="1"/>
  <c r="E35" i="18"/>
  <c r="DS11" i="1"/>
  <c r="DS7" i="1"/>
  <c r="DS15" i="1"/>
  <c r="H23" i="7"/>
  <c r="C25" i="16" s="1"/>
  <c r="AS20" i="14"/>
  <c r="AT20" i="14" s="1"/>
  <c r="AU20" i="14" s="1"/>
  <c r="H24" i="7"/>
  <c r="C26" i="16" s="1"/>
  <c r="H20" i="7"/>
  <c r="C22" i="16" s="1"/>
  <c r="CJ31" i="2"/>
  <c r="CK31" i="2" s="1"/>
  <c r="CL31" i="2" s="1"/>
  <c r="H21" i="7"/>
  <c r="C23" i="16" s="1"/>
  <c r="CJ30" i="2"/>
  <c r="CK30" i="2" s="1"/>
  <c r="CL30" i="2" s="1"/>
  <c r="BC22" i="9"/>
  <c r="BC11" i="9"/>
  <c r="BC19" i="9"/>
  <c r="BC13" i="9"/>
  <c r="BC9" i="9"/>
  <c r="BC17" i="9"/>
  <c r="BC25" i="9"/>
  <c r="BC27" i="9"/>
  <c r="BC23" i="9"/>
  <c r="BC18" i="9"/>
  <c r="DF32" i="1"/>
  <c r="DG32" i="1" s="1"/>
  <c r="CU22" i="1"/>
  <c r="E36" i="7"/>
  <c r="C37" i="18" s="1"/>
  <c r="CU37" i="1"/>
  <c r="CU34" i="1"/>
  <c r="CU32" i="1"/>
  <c r="CU26" i="1"/>
  <c r="CU30" i="1"/>
  <c r="E34" i="7"/>
  <c r="C35" i="18" s="1"/>
  <c r="CU35" i="1"/>
  <c r="CT6" i="1"/>
  <c r="CT36" i="1"/>
  <c r="E35" i="7"/>
  <c r="C36" i="18" s="1"/>
  <c r="CU23" i="1"/>
  <c r="CU10" i="1"/>
  <c r="CU18" i="1"/>
  <c r="CU9" i="1"/>
  <c r="CU33" i="1"/>
  <c r="CT35" i="1"/>
  <c r="K4" i="7"/>
  <c r="C6" i="17" s="1"/>
  <c r="K9" i="7"/>
  <c r="C11" i="17" s="1"/>
  <c r="K10" i="7"/>
  <c r="C12" i="17" s="1"/>
  <c r="K5" i="7"/>
  <c r="C7" i="17" s="1"/>
  <c r="K6" i="7"/>
  <c r="C8" i="17" s="1"/>
  <c r="K3" i="7"/>
  <c r="C5" i="17" s="1"/>
  <c r="K2" i="7"/>
  <c r="C4" i="17" s="1"/>
  <c r="K7" i="7"/>
  <c r="C9" i="17" s="1"/>
  <c r="K11" i="7"/>
  <c r="C13" i="17" s="1"/>
  <c r="CU20" i="1"/>
  <c r="CU21" i="1"/>
  <c r="CU3" i="1"/>
  <c r="CU12" i="1"/>
  <c r="CU8" i="1"/>
  <c r="CU16" i="1"/>
  <c r="CU25" i="1"/>
  <c r="CU29" i="1"/>
  <c r="CU7" i="1"/>
  <c r="CT29" i="1"/>
  <c r="CU5" i="1"/>
  <c r="CU24" i="1"/>
  <c r="CT9" i="1"/>
  <c r="CT12" i="1"/>
  <c r="CU17" i="1"/>
  <c r="CT11" i="1"/>
  <c r="CT18" i="1"/>
  <c r="CU4" i="1"/>
  <c r="CT4" i="1"/>
  <c r="CT25" i="1"/>
  <c r="CU13" i="1"/>
  <c r="CS30" i="1"/>
  <c r="CS31" i="1" s="1"/>
  <c r="CM8" i="1"/>
  <c r="CP8" i="1" s="1"/>
  <c r="CT8" i="1"/>
  <c r="CT34" i="1"/>
  <c r="CM16" i="1"/>
  <c r="CP16" i="1" s="1"/>
  <c r="CT16" i="1"/>
  <c r="CM30" i="1"/>
  <c r="CP30" i="1" s="1"/>
  <c r="CT30" i="1"/>
  <c r="CT13" i="1"/>
  <c r="CM24" i="1"/>
  <c r="CP24" i="1" s="1"/>
  <c r="CT24" i="1"/>
  <c r="CU14" i="1"/>
  <c r="CU6" i="1"/>
  <c r="CT33" i="1"/>
  <c r="CT10" i="1"/>
  <c r="CT7" i="1"/>
  <c r="CT20" i="1"/>
  <c r="CT5" i="1"/>
  <c r="CM27" i="1"/>
  <c r="CP27" i="1" s="1"/>
  <c r="CT27" i="1"/>
  <c r="CM17" i="1"/>
  <c r="CP17" i="1" s="1"/>
  <c r="CT17" i="1"/>
  <c r="CT23" i="1"/>
  <c r="CU15" i="1"/>
  <c r="CU27" i="1"/>
  <c r="CT3" i="1"/>
  <c r="CT15" i="1"/>
  <c r="CU19" i="1"/>
  <c r="CU28" i="1"/>
  <c r="CT21" i="1"/>
  <c r="CT19" i="1"/>
  <c r="CT14" i="1"/>
  <c r="CT28" i="1"/>
  <c r="CU31" i="1"/>
  <c r="CT31" i="1"/>
  <c r="CU11" i="1"/>
  <c r="CT26" i="1"/>
  <c r="CT22" i="1"/>
  <c r="BC21" i="9" l="1"/>
  <c r="BH12" i="9"/>
  <c r="BC7" i="9"/>
  <c r="CX11" i="6"/>
  <c r="CT12" i="6"/>
  <c r="CV12" i="6" s="1"/>
  <c r="CW12" i="6" s="1"/>
  <c r="CV10" i="1"/>
  <c r="CV9" i="1"/>
  <c r="DH32" i="1"/>
  <c r="DD33" i="1"/>
  <c r="BY13" i="21"/>
  <c r="CA13" i="21" s="1"/>
  <c r="CB13" i="21" s="1"/>
  <c r="CC13" i="21" s="1"/>
  <c r="CC12" i="21"/>
  <c r="CJ13" i="20"/>
  <c r="CL13" i="20" s="1"/>
  <c r="CM13" i="20" s="1"/>
  <c r="CN13" i="20" s="1"/>
  <c r="CN12" i="20"/>
  <c r="BH15" i="9"/>
  <c r="BC12" i="9"/>
  <c r="BC15" i="9"/>
  <c r="BC10" i="9"/>
  <c r="BH16" i="9"/>
  <c r="BH7" i="9"/>
  <c r="BH24" i="9"/>
  <c r="BC26" i="9"/>
  <c r="BC28" i="9"/>
  <c r="BH18" i="9"/>
  <c r="BH10" i="9"/>
  <c r="BC8" i="9"/>
  <c r="BH11" i="9"/>
  <c r="BH25" i="9"/>
  <c r="BC20" i="9"/>
  <c r="BC14" i="9"/>
  <c r="BH20" i="9"/>
  <c r="BH23" i="9"/>
  <c r="BH21" i="9"/>
  <c r="BH27" i="9"/>
  <c r="CV23" i="1"/>
  <c r="CV21" i="1"/>
  <c r="CV18" i="1"/>
  <c r="CV22" i="1"/>
  <c r="CV24" i="1"/>
  <c r="CV30" i="1"/>
  <c r="CV26" i="1"/>
  <c r="CV6" i="1"/>
  <c r="AS21" i="14"/>
  <c r="AT21" i="14" s="1"/>
  <c r="AU21" i="14" s="1"/>
  <c r="CJ32" i="2"/>
  <c r="CK32" i="2" s="1"/>
  <c r="CL32" i="2" s="1"/>
  <c r="CV8" i="1"/>
  <c r="CV29" i="1"/>
  <c r="DF33" i="1"/>
  <c r="DG33" i="1" s="1"/>
  <c r="CV20" i="1"/>
  <c r="CV25" i="1"/>
  <c r="CV19" i="1"/>
  <c r="CV16" i="1"/>
  <c r="CV3" i="1"/>
  <c r="CV5" i="1"/>
  <c r="CV12" i="1"/>
  <c r="CV11" i="1"/>
  <c r="CV17" i="1"/>
  <c r="CV4" i="1"/>
  <c r="CV7" i="1"/>
  <c r="CV13" i="1"/>
  <c r="CS32" i="1"/>
  <c r="CS33" i="1" s="1"/>
  <c r="CV33" i="1" s="1"/>
  <c r="CV14" i="1"/>
  <c r="CV27" i="1"/>
  <c r="CV15" i="1"/>
  <c r="CV31" i="1"/>
  <c r="CV28" i="1"/>
  <c r="CX12" i="6" l="1"/>
  <c r="CT13" i="6"/>
  <c r="CV13" i="6" s="1"/>
  <c r="CW13" i="6" s="1"/>
  <c r="DH33" i="1"/>
  <c r="DD35" i="1"/>
  <c r="DF35" i="1" s="1"/>
  <c r="DG35" i="1" s="1"/>
  <c r="DH35" i="1" s="1"/>
  <c r="DD34" i="1"/>
  <c r="DF34" i="1" s="1"/>
  <c r="DG34" i="1" s="1"/>
  <c r="AS22" i="14"/>
  <c r="AT22" i="14" s="1"/>
  <c r="AU22" i="14" s="1"/>
  <c r="CJ33" i="2"/>
  <c r="CK33" i="2" s="1"/>
  <c r="CL33" i="2" s="1"/>
  <c r="CS34" i="1"/>
  <c r="CV32" i="1"/>
  <c r="CX13" i="6" l="1"/>
  <c r="CT14" i="6"/>
  <c r="CV14" i="6" s="1"/>
  <c r="CW14" i="6" s="1"/>
  <c r="DH34" i="1"/>
  <c r="DD36" i="1"/>
  <c r="AS23" i="14"/>
  <c r="AT23" i="14" s="1"/>
  <c r="AU23" i="14" s="1"/>
  <c r="CJ34" i="2"/>
  <c r="CK34" i="2" s="1"/>
  <c r="CL34" i="2" s="1"/>
  <c r="DF36" i="1"/>
  <c r="DG36" i="1" s="1"/>
  <c r="CV34" i="1"/>
  <c r="CS35" i="1"/>
  <c r="CX14" i="6" l="1"/>
  <c r="CT15" i="6"/>
  <c r="CV15" i="6" s="1"/>
  <c r="CW15" i="6" s="1"/>
  <c r="DH36" i="1"/>
  <c r="DD37" i="1"/>
  <c r="AS24" i="14"/>
  <c r="AT24" i="14" s="1"/>
  <c r="AU24" i="14" s="1"/>
  <c r="CJ35" i="2"/>
  <c r="CK35" i="2" s="1"/>
  <c r="CL35" i="2" s="1"/>
  <c r="CS36" i="1"/>
  <c r="CV36" i="1" s="1"/>
  <c r="CV35" i="1"/>
  <c r="DF37" i="1"/>
  <c r="DG37" i="1" s="1"/>
  <c r="CX15" i="6" l="1"/>
  <c r="CT16" i="6"/>
  <c r="CV16" i="6" s="1"/>
  <c r="CW16" i="6" s="1"/>
  <c r="DH37" i="1"/>
  <c r="DD38" i="1"/>
  <c r="DF38" i="1" s="1"/>
  <c r="DG38" i="1" s="1"/>
  <c r="CS37" i="1"/>
  <c r="CV37" i="1" s="1"/>
  <c r="AS25" i="14"/>
  <c r="AT25" i="14" s="1"/>
  <c r="AU25" i="14" s="1"/>
  <c r="CJ36" i="2"/>
  <c r="CK36" i="2" s="1"/>
  <c r="CL36" i="2" s="1"/>
  <c r="CX16" i="6" l="1"/>
  <c r="CT17" i="6"/>
  <c r="CV17" i="6" s="1"/>
  <c r="CW17" i="6" s="1"/>
  <c r="DH38" i="1"/>
  <c r="DD39" i="1"/>
  <c r="DF39" i="1" s="1"/>
  <c r="DG39" i="1" s="1"/>
  <c r="AS26" i="14"/>
  <c r="AT26" i="14" s="1"/>
  <c r="AU26" i="14" s="1"/>
  <c r="CJ37" i="2"/>
  <c r="CK37" i="2" s="1"/>
  <c r="CL37" i="2" s="1"/>
  <c r="CX17" i="6" l="1"/>
  <c r="CT18" i="6"/>
  <c r="CV18" i="6" s="1"/>
  <c r="CW18" i="6" s="1"/>
  <c r="DH39" i="1"/>
  <c r="DD40" i="1"/>
  <c r="DF40" i="1" s="1"/>
  <c r="DG40" i="1" s="1"/>
  <c r="AS27" i="14"/>
  <c r="AT27" i="14" s="1"/>
  <c r="AU27" i="14" s="1"/>
  <c r="CJ38" i="2"/>
  <c r="CK38" i="2" s="1"/>
  <c r="CL38" i="2" s="1"/>
  <c r="CX18" i="6" l="1"/>
  <c r="CT19" i="6"/>
  <c r="CV19" i="6" s="1"/>
  <c r="CW19" i="6" s="1"/>
  <c r="DH40" i="1"/>
  <c r="DD41" i="1"/>
  <c r="DF41" i="1" s="1"/>
  <c r="DG41" i="1" s="1"/>
  <c r="AS28" i="14"/>
  <c r="AT28" i="14" s="1"/>
  <c r="AU28" i="14" s="1"/>
  <c r="CJ39" i="2"/>
  <c r="CK39" i="2" s="1"/>
  <c r="CL39" i="2" s="1"/>
  <c r="CX19" i="6" l="1"/>
  <c r="CT20" i="6"/>
  <c r="CV20" i="6" s="1"/>
  <c r="CW20" i="6" s="1"/>
  <c r="DH41" i="1"/>
  <c r="DD42" i="1"/>
  <c r="DF42" i="1" s="1"/>
  <c r="DG42" i="1" s="1"/>
  <c r="AY31" i="14"/>
  <c r="AS29" i="14"/>
  <c r="AT29" i="14" s="1"/>
  <c r="AU29" i="14" s="1"/>
  <c r="CJ40" i="2"/>
  <c r="CK40" i="2" s="1"/>
  <c r="CL40" i="2" s="1"/>
  <c r="CX20" i="6" l="1"/>
  <c r="CT21" i="6"/>
  <c r="CV21" i="6" s="1"/>
  <c r="CW21" i="6" s="1"/>
  <c r="DH42" i="1"/>
  <c r="DD43" i="1"/>
  <c r="DF43" i="1" s="1"/>
  <c r="DG43" i="1" s="1"/>
  <c r="CJ41" i="2"/>
  <c r="CK41" i="2" s="1"/>
  <c r="CL41" i="2" s="1"/>
  <c r="AS30" i="14"/>
  <c r="AT30" i="14" s="1"/>
  <c r="AU30" i="14" s="1"/>
  <c r="CX21" i="6" l="1"/>
  <c r="CT22" i="6"/>
  <c r="CV22" i="6" s="1"/>
  <c r="CW22" i="6" s="1"/>
  <c r="DH43" i="1"/>
  <c r="DD44" i="1"/>
  <c r="DF44" i="1" s="1"/>
  <c r="DG44" i="1" s="1"/>
  <c r="CJ42" i="2"/>
  <c r="CK42" i="2" s="1"/>
  <c r="CL42" i="2" s="1"/>
  <c r="AS31" i="14"/>
  <c r="AT31" i="14" s="1"/>
  <c r="AU31" i="14" s="1"/>
  <c r="CX22" i="6" l="1"/>
  <c r="CT23" i="6"/>
  <c r="CV23" i="6" s="1"/>
  <c r="CW23" i="6" s="1"/>
  <c r="DH44" i="1"/>
  <c r="DD45" i="1"/>
  <c r="DF45" i="1" s="1"/>
  <c r="DG45" i="1" s="1"/>
  <c r="CJ43" i="2"/>
  <c r="CK43" i="2" s="1"/>
  <c r="CL43" i="2" s="1"/>
  <c r="AS32" i="14"/>
  <c r="AT32" i="14" s="1"/>
  <c r="AU32" i="14" s="1"/>
  <c r="CX23" i="6" l="1"/>
  <c r="CT24" i="6"/>
  <c r="CV24" i="6" s="1"/>
  <c r="CW24" i="6" s="1"/>
  <c r="DH45" i="1"/>
  <c r="DD46" i="1"/>
  <c r="DF46" i="1" s="1"/>
  <c r="DG46" i="1" s="1"/>
  <c r="CJ44" i="2"/>
  <c r="CK44" i="2" s="1"/>
  <c r="CL44" i="2" s="1"/>
  <c r="AS33" i="14"/>
  <c r="AT33" i="14" s="1"/>
  <c r="AU33" i="14" s="1"/>
  <c r="CX24" i="6" l="1"/>
  <c r="CT25" i="6"/>
  <c r="CV25" i="6" s="1"/>
  <c r="CW25" i="6" s="1"/>
  <c r="DH46" i="1"/>
  <c r="DD47" i="1"/>
  <c r="DF47" i="1" s="1"/>
  <c r="DG47" i="1" s="1"/>
  <c r="AS34" i="14"/>
  <c r="AT34" i="14" s="1"/>
  <c r="AU34" i="14" s="1"/>
  <c r="CJ45" i="2"/>
  <c r="CK45" i="2" s="1"/>
  <c r="CL45" i="2" s="1"/>
  <c r="CX25" i="6" l="1"/>
  <c r="CT26" i="6"/>
  <c r="CV26" i="6" s="1"/>
  <c r="CW26" i="6" s="1"/>
  <c r="DH47" i="1"/>
  <c r="DD48" i="1"/>
  <c r="DF48" i="1" s="1"/>
  <c r="DG48" i="1" s="1"/>
  <c r="AS35" i="14"/>
  <c r="AT35" i="14" s="1"/>
  <c r="AU35" i="14" s="1"/>
  <c r="CJ46" i="2"/>
  <c r="CK46" i="2" s="1"/>
  <c r="CL46" i="2" s="1"/>
  <c r="CX26" i="6" l="1"/>
  <c r="CT27" i="6"/>
  <c r="CV27" i="6" s="1"/>
  <c r="CW27" i="6" s="1"/>
  <c r="DH48" i="1"/>
  <c r="DD49" i="1"/>
  <c r="DF49" i="1" s="1"/>
  <c r="DG49" i="1" s="1"/>
  <c r="AS36" i="14"/>
  <c r="AT36" i="14" s="1"/>
  <c r="AU36" i="14" s="1"/>
  <c r="CJ47" i="2"/>
  <c r="CK47" i="2" s="1"/>
  <c r="CL47" i="2" s="1"/>
  <c r="CX27" i="6" l="1"/>
  <c r="CT28" i="6"/>
  <c r="CV28" i="6" s="1"/>
  <c r="CW28" i="6" s="1"/>
  <c r="DH49" i="1"/>
  <c r="DD50" i="1"/>
  <c r="DF50" i="1" s="1"/>
  <c r="DG50" i="1" s="1"/>
  <c r="AS37" i="14"/>
  <c r="AT37" i="14" s="1"/>
  <c r="AU37" i="14" s="1"/>
  <c r="CJ48" i="2"/>
  <c r="CK48" i="2" s="1"/>
  <c r="CL48" i="2" s="1"/>
  <c r="CX28" i="6" l="1"/>
  <c r="CT29" i="6"/>
  <c r="CV29" i="6" s="1"/>
  <c r="CW29" i="6" s="1"/>
  <c r="DH50" i="1"/>
  <c r="DD51" i="1"/>
  <c r="DF51" i="1" s="1"/>
  <c r="DG51" i="1" s="1"/>
  <c r="AS38" i="14"/>
  <c r="AT38" i="14" s="1"/>
  <c r="AU38" i="14" s="1"/>
  <c r="CJ49" i="2"/>
  <c r="CK49" i="2" s="1"/>
  <c r="CL49" i="2" s="1"/>
  <c r="CX29" i="6" l="1"/>
  <c r="CT30" i="6"/>
  <c r="CV30" i="6" s="1"/>
  <c r="CW30" i="6" s="1"/>
  <c r="DH51" i="1"/>
  <c r="DD52" i="1"/>
  <c r="DF52" i="1" s="1"/>
  <c r="DG52" i="1" s="1"/>
  <c r="AS40" i="14"/>
  <c r="AT40" i="14" s="1"/>
  <c r="AU40" i="14" s="1"/>
  <c r="AS39" i="14"/>
  <c r="AT39" i="14" s="1"/>
  <c r="AU39" i="14" s="1"/>
  <c r="CJ50" i="2"/>
  <c r="CK50" i="2" s="1"/>
  <c r="CL50" i="2" s="1"/>
  <c r="CX30" i="6" l="1"/>
  <c r="CT31" i="6"/>
  <c r="CV31" i="6" s="1"/>
  <c r="CW31" i="6" s="1"/>
  <c r="DH52" i="1"/>
  <c r="DD53" i="1"/>
  <c r="DF53" i="1" s="1"/>
  <c r="DG53" i="1" s="1"/>
  <c r="DH53" i="1" s="1"/>
  <c r="CJ52" i="2"/>
  <c r="CK52" i="2" s="1"/>
  <c r="CL52" i="2" s="1"/>
  <c r="CJ51" i="2"/>
  <c r="CK51" i="2" s="1"/>
  <c r="CL51" i="2" s="1"/>
  <c r="CX31" i="6" l="1"/>
  <c r="CT32" i="6"/>
  <c r="CV32" i="6" s="1"/>
  <c r="CW32" i="6" s="1"/>
  <c r="CX32" i="6" l="1"/>
  <c r="CT33" i="6"/>
  <c r="CV33" i="6" l="1"/>
  <c r="CW33" i="6" s="1"/>
  <c r="CX33" i="6" l="1"/>
  <c r="CT34" i="6"/>
  <c r="CV34" i="6" s="1"/>
  <c r="CW34" i="6" s="1"/>
  <c r="CX34" i="6" l="1"/>
  <c r="CT35" i="6"/>
  <c r="CV35" i="6" s="1"/>
  <c r="CW35" i="6" s="1"/>
  <c r="CX35" i="6" l="1"/>
  <c r="CT36" i="6"/>
  <c r="CV36" i="6" s="1"/>
  <c r="CW36" i="6" s="1"/>
  <c r="CX36" i="6" l="1"/>
  <c r="CT37" i="6"/>
  <c r="CV37" i="6" s="1"/>
  <c r="CW37" i="6" s="1"/>
  <c r="CX37" i="6" l="1"/>
  <c r="CT38" i="6"/>
  <c r="CV38" i="6" s="1"/>
  <c r="CW38" i="6" s="1"/>
  <c r="CX38" i="6" l="1"/>
  <c r="CT39" i="6"/>
  <c r="CV39" i="6" s="1"/>
  <c r="CW39" i="6" s="1"/>
  <c r="CX39" i="6" l="1"/>
  <c r="CT40" i="6"/>
  <c r="CV40" i="6" s="1"/>
  <c r="CW40" i="6" s="1"/>
  <c r="CX40" i="6" l="1"/>
  <c r="CT41" i="6"/>
  <c r="CV41" i="6" s="1"/>
  <c r="CW41" i="6" s="1"/>
  <c r="CX41" i="6" l="1"/>
  <c r="CT42" i="6"/>
  <c r="CV42" i="6" s="1"/>
  <c r="CW42" i="6" s="1"/>
  <c r="CX42" i="6" l="1"/>
  <c r="CT43" i="6"/>
  <c r="CV43" i="6" s="1"/>
  <c r="CW43" i="6" s="1"/>
  <c r="CX43" i="6" l="1"/>
  <c r="CT44" i="6"/>
  <c r="CV44" i="6" s="1"/>
  <c r="CW44" i="6" s="1"/>
  <c r="CX44" i="6" s="1"/>
  <c r="J19" i="26"/>
  <c r="K19" i="26" s="1"/>
  <c r="L19" i="26" s="1"/>
</calcChain>
</file>

<file path=xl/sharedStrings.xml><?xml version="1.0" encoding="utf-8"?>
<sst xmlns="http://schemas.openxmlformats.org/spreadsheetml/2006/main" count="7757" uniqueCount="1878">
  <si>
    <t>Sample Name</t>
  </si>
  <si>
    <t>Time</t>
  </si>
  <si>
    <t>Retention Time</t>
  </si>
  <si>
    <t>Height</t>
  </si>
  <si>
    <t>Area</t>
  </si>
  <si>
    <t>Column 0</t>
  </si>
  <si>
    <t>Column 1A</t>
  </si>
  <si>
    <t>Column 1 Control</t>
  </si>
  <si>
    <t>Column 1C</t>
  </si>
  <si>
    <t>Column 1B</t>
  </si>
  <si>
    <t>IC File Name</t>
  </si>
  <si>
    <t>Column 2Control</t>
  </si>
  <si>
    <t>Column 2A</t>
  </si>
  <si>
    <t>Column 2B</t>
  </si>
  <si>
    <t>Column 2C</t>
  </si>
  <si>
    <t>Standard Name</t>
  </si>
  <si>
    <t>Standard Value</t>
  </si>
  <si>
    <t>Peak Height</t>
  </si>
  <si>
    <t>Peak Area</t>
  </si>
  <si>
    <t>Blank Slot 1</t>
  </si>
  <si>
    <t>Blank Slot 2</t>
  </si>
  <si>
    <t>0.5 ppm F</t>
  </si>
  <si>
    <t>1 ppm F</t>
  </si>
  <si>
    <t>1.5 ppm F</t>
  </si>
  <si>
    <t>2 ppm F</t>
  </si>
  <si>
    <t>2.5 ppm F</t>
  </si>
  <si>
    <t>3 ppm F</t>
  </si>
  <si>
    <t>5 ppm F</t>
  </si>
  <si>
    <t>Initial</t>
  </si>
  <si>
    <t>10 min</t>
  </si>
  <si>
    <t>20 min</t>
  </si>
  <si>
    <t>25 min</t>
  </si>
  <si>
    <t>30 min</t>
  </si>
  <si>
    <t>35 min</t>
  </si>
  <si>
    <t>40 min</t>
  </si>
  <si>
    <t>45 min</t>
  </si>
  <si>
    <t>50 min</t>
  </si>
  <si>
    <t>55 min</t>
  </si>
  <si>
    <t>60 min</t>
  </si>
  <si>
    <t>Time (min)</t>
  </si>
  <si>
    <t>Time (hours)</t>
  </si>
  <si>
    <t>1 9 21</t>
  </si>
  <si>
    <t>QC   2ppm F</t>
  </si>
  <si>
    <t>Blank slot 4</t>
  </si>
  <si>
    <t>Blank Slot 27</t>
  </si>
  <si>
    <t>Blank Slot 39</t>
  </si>
  <si>
    <t>no data</t>
  </si>
  <si>
    <t>baseline lost it</t>
  </si>
  <si>
    <t>bump here not integrated</t>
  </si>
  <si>
    <t>lump, unintegrated</t>
  </si>
  <si>
    <t>lump not integrated</t>
  </si>
  <si>
    <t>3 9 21</t>
  </si>
  <si>
    <t>Blank slot 15</t>
  </si>
  <si>
    <t>QC   2.5ppm F</t>
  </si>
  <si>
    <t>8 9 21</t>
  </si>
  <si>
    <t>0.1 Br Std</t>
  </si>
  <si>
    <t>1.0 Br std</t>
  </si>
  <si>
    <t>5.0 Br std</t>
  </si>
  <si>
    <t>10.0 Br std</t>
  </si>
  <si>
    <t>QC 0.5 Br std</t>
  </si>
  <si>
    <t>QC 1.0 Br std</t>
  </si>
  <si>
    <t>QC 2.5 Br std</t>
  </si>
  <si>
    <t>Blank slot 2</t>
  </si>
  <si>
    <t>Blank Slot 18</t>
  </si>
  <si>
    <t>Blank Slot 31</t>
  </si>
  <si>
    <t>Blank Slot 44</t>
  </si>
  <si>
    <t>0.1 Br std</t>
  </si>
  <si>
    <t>0.5 Br std</t>
  </si>
  <si>
    <t>2.5 Br std</t>
  </si>
  <si>
    <t>QC 7.5 Br std</t>
  </si>
  <si>
    <t>Blank slot 1</t>
  </si>
  <si>
    <t>9 9 21</t>
  </si>
  <si>
    <t>8 9 21 OR 9 9 21</t>
  </si>
  <si>
    <t>no peaks juts a weird baseline</t>
  </si>
  <si>
    <t>34.27.11</t>
  </si>
  <si>
    <t>x=(y+1.3588)/2.7414</t>
  </si>
  <si>
    <t>x=(y+1.0236)/3.1008</t>
  </si>
  <si>
    <t>x=(y+7.3523)/109.72</t>
  </si>
  <si>
    <t>[F-] ppm</t>
  </si>
  <si>
    <t>0-1B</t>
  </si>
  <si>
    <t>1C + 1Control</t>
  </si>
  <si>
    <t>x=(y+14.394)/109.55</t>
  </si>
  <si>
    <t>14 9 21</t>
  </si>
  <si>
    <t xml:space="preserve">QC   </t>
  </si>
  <si>
    <t>Blank slot 19</t>
  </si>
  <si>
    <t>[Br-] mM</t>
  </si>
  <si>
    <t>pH</t>
  </si>
  <si>
    <t>16 9 21</t>
  </si>
  <si>
    <t>21 9 21</t>
  </si>
  <si>
    <t>x=(y-0.3254)/3.2261</t>
  </si>
  <si>
    <t>x=(y+0.0699)/3.3142</t>
  </si>
  <si>
    <t>x=(y+0.036)/3.3113</t>
  </si>
  <si>
    <t>[F-}</t>
  </si>
  <si>
    <t>[F-]</t>
  </si>
  <si>
    <t>[F-]??</t>
  </si>
  <si>
    <t>Average [F-] Set 1</t>
  </si>
  <si>
    <t>[F-] 1A</t>
  </si>
  <si>
    <t>[F-] 1B</t>
  </si>
  <si>
    <t>[F-] 1C</t>
  </si>
  <si>
    <t>Standard Deviation</t>
  </si>
  <si>
    <t>Number of Measurements</t>
  </si>
  <si>
    <t>t value</t>
  </si>
  <si>
    <t xml:space="preserve">getting this stats method from the PDF on my desktop; the "standards error" box is the 95% confidence interval </t>
  </si>
  <si>
    <t>Standard Error (+/- this value)</t>
  </si>
  <si>
    <t>[F-] 2A</t>
  </si>
  <si>
    <t>[F-] 2B</t>
  </si>
  <si>
    <t>[F-] 2C</t>
  </si>
  <si>
    <t>27 9 21</t>
  </si>
  <si>
    <t>28 9 21</t>
  </si>
  <si>
    <t>Blank slot 38</t>
  </si>
  <si>
    <t>ACF 1.5 Std</t>
  </si>
  <si>
    <t>AcF 2.5 Std</t>
  </si>
  <si>
    <t>AcF 3.0 Std</t>
  </si>
  <si>
    <t>x=(y+.0373)/3.2894</t>
  </si>
  <si>
    <t>x=(y+.006)/3.3476</t>
  </si>
  <si>
    <t>Column 3Control</t>
  </si>
  <si>
    <t>Column 3A</t>
  </si>
  <si>
    <t>Column 3B</t>
  </si>
  <si>
    <t>Column 3C</t>
  </si>
  <si>
    <t>28 9 21 AcF test</t>
  </si>
  <si>
    <t>AcF 0.5 Stnd</t>
  </si>
  <si>
    <t>AcF 1.5 Stnd</t>
  </si>
  <si>
    <t>AcF 2.5 Stnd</t>
  </si>
  <si>
    <t>AcF 3.0 Stnd</t>
  </si>
  <si>
    <t>AcF 5.0 Stnd</t>
  </si>
  <si>
    <t>Blank DI</t>
  </si>
  <si>
    <t>[F-] 3A</t>
  </si>
  <si>
    <t>[F-] 3B</t>
  </si>
  <si>
    <t>[F-] 3C</t>
  </si>
  <si>
    <t>Tank 1 Start Time</t>
  </si>
  <si>
    <t>Tank 2 Start Time</t>
  </si>
  <si>
    <t>Tank 3 Start Time</t>
  </si>
  <si>
    <t>September 2 2021</t>
  </si>
  <si>
    <t>August 16 2021</t>
  </si>
  <si>
    <t>September 23 2021</t>
  </si>
  <si>
    <t>Tank 3</t>
  </si>
  <si>
    <t>Sample 1B</t>
  </si>
  <si>
    <t>Tank 1 Day</t>
  </si>
  <si>
    <t>Aug 31 is Day 15</t>
  </si>
  <si>
    <t>a44</t>
  </si>
  <si>
    <t>Hours</t>
  </si>
  <si>
    <t>Minutes</t>
  </si>
  <si>
    <t>Total</t>
  </si>
  <si>
    <t>Tank 2 Day</t>
  </si>
  <si>
    <t>Tank 3 Day</t>
  </si>
  <si>
    <t>Set 1 Hours</t>
  </si>
  <si>
    <t>Set 2 Hours</t>
  </si>
  <si>
    <t>Set 3 Hours</t>
  </si>
  <si>
    <t>Set 1</t>
  </si>
  <si>
    <t>Control 1</t>
  </si>
  <si>
    <t>Set 1 Error</t>
  </si>
  <si>
    <t>Set 2</t>
  </si>
  <si>
    <t>Control 2</t>
  </si>
  <si>
    <t>Set 2 Error</t>
  </si>
  <si>
    <t>Set 3</t>
  </si>
  <si>
    <t>Control 3</t>
  </si>
  <si>
    <t>Set 3 Error</t>
  </si>
  <si>
    <t>Time Set 1</t>
  </si>
  <si>
    <t>Time Set 2</t>
  </si>
  <si>
    <t>Time Set 3</t>
  </si>
  <si>
    <t>Date</t>
  </si>
  <si>
    <t>Flow</t>
  </si>
  <si>
    <t>Volume</t>
  </si>
  <si>
    <t>1A</t>
  </si>
  <si>
    <t>1B</t>
  </si>
  <si>
    <t>1C</t>
  </si>
  <si>
    <t>1Control</t>
  </si>
  <si>
    <t>2Control</t>
  </si>
  <si>
    <t>2A</t>
  </si>
  <si>
    <t>2B</t>
  </si>
  <si>
    <t>2C</t>
  </si>
  <si>
    <t>3Control</t>
  </si>
  <si>
    <t>3A</t>
  </si>
  <si>
    <t>3B</t>
  </si>
  <si>
    <t>3C</t>
  </si>
  <si>
    <t>page</t>
  </si>
  <si>
    <t>Tank 3 pH</t>
  </si>
  <si>
    <t>Tank 1</t>
  </si>
  <si>
    <t>Tank 2</t>
  </si>
  <si>
    <t>Phen mL</t>
  </si>
  <si>
    <t>Tot mL</t>
  </si>
  <si>
    <t>Start mL</t>
  </si>
  <si>
    <t>nm</t>
  </si>
  <si>
    <t>Tank</t>
  </si>
  <si>
    <t>Control</t>
  </si>
  <si>
    <t>Tot Alk (as CaCO3)</t>
  </si>
  <si>
    <t>Phen Alk (as CaCO3)</t>
  </si>
  <si>
    <t>Tot Alk (as NaHCO3)</t>
  </si>
  <si>
    <t>Phen Alk (as NaHCO3)</t>
  </si>
  <si>
    <t>4 10 21</t>
  </si>
  <si>
    <t>x=(y+.0847)/3.2319</t>
  </si>
  <si>
    <t>minutes</t>
  </si>
  <si>
    <t>total min</t>
  </si>
  <si>
    <t>so 10:04 on the 29th is 1056.87 hours</t>
  </si>
  <si>
    <t>total hours</t>
  </si>
  <si>
    <t>11 10 21</t>
  </si>
  <si>
    <t>minutes alone</t>
  </si>
  <si>
    <t>hoursalone</t>
  </si>
  <si>
    <t>on 9/29 at 10:04</t>
  </si>
  <si>
    <t>Control DI Tank</t>
  </si>
  <si>
    <t>REMEMBER X5</t>
  </si>
  <si>
    <t>unpaired t-test</t>
  </si>
  <si>
    <t>s ExControl</t>
  </si>
  <si>
    <t>Xmean All</t>
  </si>
  <si>
    <t>s Set</t>
  </si>
  <si>
    <t>X-X</t>
  </si>
  <si>
    <t>t</t>
  </si>
  <si>
    <t>df</t>
  </si>
  <si>
    <t>n1</t>
  </si>
  <si>
    <t>n2</t>
  </si>
  <si>
    <t>Table t value- is it lower than our measured t value? If so they're different within 95% confidence interval P.05</t>
  </si>
  <si>
    <t>no</t>
  </si>
  <si>
    <t>x=(y+.0883)/3.2883</t>
  </si>
  <si>
    <t>File Name</t>
  </si>
  <si>
    <t>Total Carbon</t>
  </si>
  <si>
    <t>Inorganic Carbon</t>
  </si>
  <si>
    <t>Column 1Control</t>
  </si>
  <si>
    <t>Column 2 Control</t>
  </si>
  <si>
    <t>2021_10_01_Alexandra</t>
  </si>
  <si>
    <t>TOC (mg/L)</t>
  </si>
  <si>
    <t>2021_10_13_Alexandra</t>
  </si>
  <si>
    <t>20 10 21</t>
  </si>
  <si>
    <t>QC 2.5</t>
  </si>
  <si>
    <t>Blank DI (no date just each run)</t>
  </si>
  <si>
    <t>x=(y-.0995)/3.2569</t>
  </si>
  <si>
    <t>b</t>
  </si>
  <si>
    <t>c</t>
  </si>
  <si>
    <t>Average</t>
  </si>
  <si>
    <t>A</t>
  </si>
  <si>
    <t>B</t>
  </si>
  <si>
    <t>C</t>
  </si>
  <si>
    <t>1a</t>
  </si>
  <si>
    <t>cntrl</t>
  </si>
  <si>
    <t>0 mL/min</t>
  </si>
  <si>
    <t>0 mg/L</t>
  </si>
  <si>
    <t>0 L/min</t>
  </si>
  <si>
    <t>0 mg/min</t>
  </si>
  <si>
    <t>0 g/day</t>
  </si>
  <si>
    <t>yeah we're really not running out of fluoride its just really slow to release we got plenty</t>
  </si>
  <si>
    <t>25 10 21</t>
  </si>
  <si>
    <t>x=(y-.1061)/3.191</t>
  </si>
  <si>
    <t>this is pure fluoride, no CaF</t>
  </si>
  <si>
    <t>original CaF mass in column</t>
  </si>
  <si>
    <t>MW CaF2</t>
  </si>
  <si>
    <t>g</t>
  </si>
  <si>
    <t>mols CaF2</t>
  </si>
  <si>
    <t>mols F</t>
  </si>
  <si>
    <t>MW F</t>
  </si>
  <si>
    <t>original mass F in column</t>
  </si>
  <si>
    <t>F left in column as of the 27th</t>
  </si>
  <si>
    <t>4 11 21</t>
  </si>
  <si>
    <t>Blank slot 20</t>
  </si>
  <si>
    <t>x=(y+.0848)/3.3937</t>
  </si>
  <si>
    <t>Column 2 0</t>
  </si>
  <si>
    <t>Column 3 0</t>
  </si>
  <si>
    <t>TC 5ppm</t>
  </si>
  <si>
    <t>IC 5ppm</t>
  </si>
  <si>
    <t>TC 25 ppm</t>
  </si>
  <si>
    <t>IC 25 ppm</t>
  </si>
  <si>
    <t>Check Calibrations (no date just each run)</t>
  </si>
  <si>
    <t>start</t>
  </si>
  <si>
    <t>Time 20&amp;30</t>
  </si>
  <si>
    <t>Column 30</t>
  </si>
  <si>
    <t>2 0</t>
  </si>
  <si>
    <t>3 0</t>
  </si>
  <si>
    <t>10:55-11:26</t>
  </si>
  <si>
    <t>11:08-11:47</t>
  </si>
  <si>
    <t>9:58-10:36</t>
  </si>
  <si>
    <t>11:08-11:37</t>
  </si>
  <si>
    <t>9:58-10:28</t>
  </si>
  <si>
    <t>2:16-2:34</t>
  </si>
  <si>
    <t>2:16-2:49</t>
  </si>
  <si>
    <t>11:13-11:46</t>
  </si>
  <si>
    <t>11:22-11:38</t>
  </si>
  <si>
    <t>11:16-11:28</t>
  </si>
  <si>
    <t>10:38-11:08</t>
  </si>
  <si>
    <t>2:12-2:37</t>
  </si>
  <si>
    <t>11:22-11:52</t>
  </si>
  <si>
    <t>11:16-11:43</t>
  </si>
  <si>
    <t>10:38-11:25</t>
  </si>
  <si>
    <t>2:12-2:47</t>
  </si>
  <si>
    <t>11:22-12:02</t>
  </si>
  <si>
    <t>1 mg/L Cl SO4</t>
  </si>
  <si>
    <t>5 mg/L Cl SO4</t>
  </si>
  <si>
    <t>10 mg/L Cl SO4</t>
  </si>
  <si>
    <t>20 mg/L Cl SO4</t>
  </si>
  <si>
    <t>40 mg/L Cl SO4</t>
  </si>
  <si>
    <t>60 mg/L Cl SO4</t>
  </si>
  <si>
    <t>80 mg/L Cl SO4</t>
  </si>
  <si>
    <t>Jug 2</t>
  </si>
  <si>
    <t>Jug 3</t>
  </si>
  <si>
    <t>11:04-11:36</t>
  </si>
  <si>
    <t>10:59-11:30</t>
  </si>
  <si>
    <t>Chloride</t>
  </si>
  <si>
    <t>Sulphate</t>
  </si>
  <si>
    <t>x=(y+2.5896)/2.9069</t>
  </si>
  <si>
    <t>x=(y+2.6686)/1.9555</t>
  </si>
  <si>
    <t>Column 3 Control</t>
  </si>
  <si>
    <t>[Cl-] mg/L</t>
  </si>
  <si>
    <t>[SO42-] mg/L</t>
  </si>
  <si>
    <t>x=(y-.0742)/3.3092</t>
  </si>
  <si>
    <t>1 0</t>
  </si>
  <si>
    <t>Set 3 Experiment Avg</t>
  </si>
  <si>
    <t>[Cl]</t>
  </si>
  <si>
    <t>[SO4]</t>
  </si>
  <si>
    <t>Time 20</t>
  </si>
  <si>
    <t>Fluoride Data</t>
  </si>
  <si>
    <t>TOC Data</t>
  </si>
  <si>
    <t>Alkalinity Data</t>
  </si>
  <si>
    <t>Tot Alk</t>
  </si>
  <si>
    <t>Phen Alk</t>
  </si>
  <si>
    <t>Time 30</t>
  </si>
  <si>
    <t>Salinity Data</t>
  </si>
  <si>
    <t>Fluoride</t>
  </si>
  <si>
    <t>Column 1 0</t>
  </si>
  <si>
    <t>11:11-11:41</t>
  </si>
  <si>
    <t>11:11-12:03</t>
  </si>
  <si>
    <t>10 11 21</t>
  </si>
  <si>
    <t>messy data</t>
  </si>
  <si>
    <t>messy</t>
  </si>
  <si>
    <t>no peak</t>
  </si>
  <si>
    <t>no clear peak</t>
  </si>
  <si>
    <t>9:14-9:54</t>
  </si>
  <si>
    <t>4:14-4:51</t>
  </si>
  <si>
    <t>4:14-4:37</t>
  </si>
  <si>
    <t>19 11 21</t>
  </si>
  <si>
    <t>20 11 21</t>
  </si>
  <si>
    <t>Blank slot 45</t>
  </si>
  <si>
    <t>Blank slot 44</t>
  </si>
  <si>
    <t>Blank slot 43</t>
  </si>
  <si>
    <t>x=(y+.3104)/3.4039</t>
  </si>
  <si>
    <t>Cl</t>
  </si>
  <si>
    <t>x=(y+1.1392)/2.8986</t>
  </si>
  <si>
    <t>SO4</t>
  </si>
  <si>
    <t>x=(y+1.6493)/1.9034</t>
  </si>
  <si>
    <t>25 11 21</t>
  </si>
  <si>
    <t>F</t>
  </si>
  <si>
    <t>H</t>
  </si>
  <si>
    <t>NaCO3</t>
  </si>
  <si>
    <t>NaCl</t>
  </si>
  <si>
    <t>NaSO4</t>
  </si>
  <si>
    <t>T1</t>
  </si>
  <si>
    <t>T2</t>
  </si>
  <si>
    <t>J2</t>
  </si>
  <si>
    <t>T3</t>
  </si>
  <si>
    <t>J3</t>
  </si>
  <si>
    <t>2021_11_04_Alexandra</t>
  </si>
  <si>
    <t>this is above no 11/3</t>
  </si>
  <si>
    <t>2021_11_24_Alexandra</t>
  </si>
  <si>
    <t>x=(y-.0771)/3.304</t>
  </si>
  <si>
    <t>4:14-4:45</t>
  </si>
  <si>
    <t>1:38-1:54</t>
  </si>
  <si>
    <t>4:14-4:36</t>
  </si>
  <si>
    <t>% of tank value</t>
  </si>
  <si>
    <t>TOC % of Tank Data</t>
  </si>
  <si>
    <t>pH &amp; Alk Time</t>
  </si>
  <si>
    <t>pH time</t>
  </si>
  <si>
    <t>6 12 21</t>
  </si>
  <si>
    <t>no data after this point this sample; power cut</t>
  </si>
  <si>
    <t>6.551 / 7.815</t>
  </si>
  <si>
    <t>4.3675 / 2.0041</t>
  </si>
  <si>
    <t>22.0659 /8.2944</t>
  </si>
  <si>
    <t>6.551 / 7.811</t>
  </si>
  <si>
    <t>4.5089 1.4084</t>
  </si>
  <si>
    <t>22.8186 / 5.6784</t>
  </si>
  <si>
    <t>6.548 / 7.811</t>
  </si>
  <si>
    <t>4.4186 / 1.6327</t>
  </si>
  <si>
    <t>22.3236 / 6.6783</t>
  </si>
  <si>
    <t>6.548 / 7.808</t>
  </si>
  <si>
    <t>4.2062 / 1.2488</t>
  </si>
  <si>
    <t>22.0221 / 5.3673</t>
  </si>
  <si>
    <t>6.544 / 7.804</t>
  </si>
  <si>
    <t>3.1482 / .619</t>
  </si>
  <si>
    <t>14.2899 / 2.7455</t>
  </si>
  <si>
    <t>6.541 / 7.801</t>
  </si>
  <si>
    <t>3.2066 / .5003</t>
  </si>
  <si>
    <t>14.5415 / 2.2177</t>
  </si>
  <si>
    <t>6.541 / 7.805</t>
  </si>
  <si>
    <t>3.0608 / .3748</t>
  </si>
  <si>
    <t>13.7821 / 1.6636</t>
  </si>
  <si>
    <t>6.544 / 7.801</t>
  </si>
  <si>
    <t>2.9151 / .2115</t>
  </si>
  <si>
    <t>14.0209 / .519</t>
  </si>
  <si>
    <t>6.604 / 7.817</t>
  </si>
  <si>
    <t>6.5501 / .5224</t>
  </si>
  <si>
    <t>33.8774 / 1.8875</t>
  </si>
  <si>
    <t>6.605 / 7.818</t>
  </si>
  <si>
    <t>6.8613 / .4831</t>
  </si>
  <si>
    <t>34.8451 / 1.5577</t>
  </si>
  <si>
    <t>5.018 / 6.661</t>
  </si>
  <si>
    <t>0.1634 / 104.0382</t>
  </si>
  <si>
    <t>0.213 / 409.1047</t>
  </si>
  <si>
    <t>6.521 / 7.798</t>
  </si>
  <si>
    <t>0.4725 / .0529</t>
  </si>
  <si>
    <t>1.9013 / .2407</t>
  </si>
  <si>
    <t>6.538 / 7.798</t>
  </si>
  <si>
    <t>1.8386 / .2166</t>
  </si>
  <si>
    <t>7.1151 / .9649</t>
  </si>
  <si>
    <t>NPOC</t>
  </si>
  <si>
    <t>3 Control</t>
  </si>
  <si>
    <t>Blank</t>
  </si>
  <si>
    <t>Tc 10ppm</t>
  </si>
  <si>
    <t>6.535 / 7.798</t>
  </si>
  <si>
    <t>2.0407 / .1787</t>
  </si>
  <si>
    <t>7.3937 / .7955</t>
  </si>
  <si>
    <t>6.531 / 7.791</t>
  </si>
  <si>
    <t>1.5568 / .1715</t>
  </si>
  <si>
    <t>7.2295 / .7594</t>
  </si>
  <si>
    <t>6.594 / 7.811</t>
  </si>
  <si>
    <t>3.9625 / .4273</t>
  </si>
  <si>
    <t>17.6414 / 1.8518</t>
  </si>
  <si>
    <t>6.591 / 7.811</t>
  </si>
  <si>
    <t>3.9593 / .4099</t>
  </si>
  <si>
    <t>18.0304 / 1.2799</t>
  </si>
  <si>
    <t>6.591/ 7.808</t>
  </si>
  <si>
    <t>3.7831 / .2644</t>
  </si>
  <si>
    <t>16.9058 / .6785</t>
  </si>
  <si>
    <t>6.591 / 7.814</t>
  </si>
  <si>
    <t>3.8037 / .9989</t>
  </si>
  <si>
    <t>17.0356 / 3.707</t>
  </si>
  <si>
    <t>6.598 / 7.811</t>
  </si>
  <si>
    <t>6.262 / .2232</t>
  </si>
  <si>
    <t>30.9703 / .5106</t>
  </si>
  <si>
    <t>calculated 101121</t>
  </si>
  <si>
    <t>x=(y+.0454)/3.3186</t>
  </si>
  <si>
    <t>11:04-11:46</t>
  </si>
  <si>
    <t>10:47-11:15</t>
  </si>
  <si>
    <t>10:08-10:40</t>
  </si>
  <si>
    <t>broken</t>
  </si>
  <si>
    <t>10 12 21</t>
  </si>
  <si>
    <t>1 ppm Cl SO4</t>
  </si>
  <si>
    <t>5ppm Cl SO4</t>
  </si>
  <si>
    <t>10ppm Cl SO4</t>
  </si>
  <si>
    <t>Blank Slot 43</t>
  </si>
  <si>
    <t>16.1981 / 13.6088</t>
  </si>
  <si>
    <t>6.544 / 7.744</t>
  </si>
  <si>
    <t>2.3451 / .2193</t>
  </si>
  <si>
    <t>9.4983 / .6233</t>
  </si>
  <si>
    <t>2.6621 / .421</t>
  </si>
  <si>
    <t>10.2525 / .8248</t>
  </si>
  <si>
    <t>6.541 / 7.745</t>
  </si>
  <si>
    <t>2.8116 / .1749</t>
  </si>
  <si>
    <t>9.5566 / .7756</t>
  </si>
  <si>
    <t>12.2981 / 20.2739</t>
  </si>
  <si>
    <t>6.538 / 7.738</t>
  </si>
  <si>
    <t>1.9316 / .1772</t>
  </si>
  <si>
    <t>7.0361 / .4385</t>
  </si>
  <si>
    <t>6.541 / 7.741</t>
  </si>
  <si>
    <t>2.3875 / .1453</t>
  </si>
  <si>
    <t>6.9287 / .6495</t>
  </si>
  <si>
    <t>x=(y+.0666)/3.3637</t>
  </si>
  <si>
    <t>DOM Marker Set 1 20 ppm</t>
  </si>
  <si>
    <t>DOM Set 2 20ppm</t>
  </si>
  <si>
    <t>DOM Set1 5ppm</t>
  </si>
  <si>
    <t>DOM Set 2 5ppm</t>
  </si>
  <si>
    <t>DOM Set 3 5ppm</t>
  </si>
  <si>
    <t>Time 3 0</t>
  </si>
  <si>
    <t>F 3 0</t>
  </si>
  <si>
    <t>16 12 21</t>
  </si>
  <si>
    <t>6.515/ 7.818</t>
  </si>
  <si>
    <t>0.6317/ .1073</t>
  </si>
  <si>
    <t>2.4075/ .4833</t>
  </si>
  <si>
    <t>14.9851/ 7.019</t>
  </si>
  <si>
    <t>6.558/ 7.811</t>
  </si>
  <si>
    <t>1.5007/ .1118</t>
  </si>
  <si>
    <t>3.5441/ .5038</t>
  </si>
  <si>
    <t>6.554/ 7.814</t>
  </si>
  <si>
    <t>0.7364 /.3626</t>
  </si>
  <si>
    <t>2.8085/ .5481</t>
  </si>
  <si>
    <t>1.4811/ .0897</t>
  </si>
  <si>
    <t>4.3441/ .4053</t>
  </si>
  <si>
    <t>0.8269/ .2114</t>
  </si>
  <si>
    <t>3.0036/ .8604</t>
  </si>
  <si>
    <t>6.614/ 7.828</t>
  </si>
  <si>
    <t>1.9205/ .2453</t>
  </si>
  <si>
    <t>7.0279/ .6966</t>
  </si>
  <si>
    <t>6.618/ 7.828</t>
  </si>
  <si>
    <t>2.1194/ .1141</t>
  </si>
  <si>
    <t>6.245/ .5039</t>
  </si>
  <si>
    <t>2.1935/ .1554</t>
  </si>
  <si>
    <t>5.7113/ .6841</t>
  </si>
  <si>
    <t>2.577/ .1614</t>
  </si>
  <si>
    <t>7.9361/ .708</t>
  </si>
  <si>
    <t>3.5961/ .3124</t>
  </si>
  <si>
    <t>15.6054/ .7851</t>
  </si>
  <si>
    <t>6.614/ 7.818</t>
  </si>
  <si>
    <t>2.9009/ .1923</t>
  </si>
  <si>
    <t>11.732/ .3587</t>
  </si>
  <si>
    <t>18 01 22</t>
  </si>
  <si>
    <t>Bromine Conservative Tracer</t>
  </si>
  <si>
    <t>0.5 Br</t>
  </si>
  <si>
    <t>1 Br</t>
  </si>
  <si>
    <t>2.5 Br</t>
  </si>
  <si>
    <t>5 Br</t>
  </si>
  <si>
    <t>10 Br</t>
  </si>
  <si>
    <t>0.1 Br mM</t>
  </si>
  <si>
    <t>2022_01_18_Alexanddra</t>
  </si>
  <si>
    <t>6.501/ 7.735</t>
  </si>
  <si>
    <t>1.0742/ .1641</t>
  </si>
  <si>
    <t>3.8606/ .341</t>
  </si>
  <si>
    <t>6.498/ 7.731</t>
  </si>
  <si>
    <t>6.495/ 7.731</t>
  </si>
  <si>
    <t>6.481/ 7.728</t>
  </si>
  <si>
    <t>6.431/7.738</t>
  </si>
  <si>
    <t>6.438/7.721</t>
  </si>
  <si>
    <t>6.484/ 7.724</t>
  </si>
  <si>
    <t>6.494/ 7.724</t>
  </si>
  <si>
    <t>6.501/ 7.724</t>
  </si>
  <si>
    <t>6.505/ 7.721</t>
  </si>
  <si>
    <t>6.505/ 7.728</t>
  </si>
  <si>
    <t>6.504/7.724</t>
  </si>
  <si>
    <t>6.501/ 7.728</t>
  </si>
  <si>
    <t>6.498/ 7.728</t>
  </si>
  <si>
    <t>0.9054/ .1381</t>
  </si>
  <si>
    <t>1.0181/ .1156</t>
  </si>
  <si>
    <t>0.889/ .1068</t>
  </si>
  <si>
    <t>0.7714/ .0926</t>
  </si>
  <si>
    <t>0.8278/ .1045</t>
  </si>
  <si>
    <t>0.8098/ .0249</t>
  </si>
  <si>
    <t>0.8655/ .119</t>
  </si>
  <si>
    <t>0.477/ .1165</t>
  </si>
  <si>
    <t>0.4003/ .1118</t>
  </si>
  <si>
    <t>0.4249/ .1127</t>
  </si>
  <si>
    <t>0.3779/ .1173</t>
  </si>
  <si>
    <t>0.7134/ .1108</t>
  </si>
  <si>
    <t>0.7579/ .0206</t>
  </si>
  <si>
    <t>3.0144/ .2402</t>
  </si>
  <si>
    <t>3.6101/ .2162</t>
  </si>
  <si>
    <t>2.6072/ .1991</t>
  </si>
  <si>
    <t>1.9165/ .1685</t>
  </si>
  <si>
    <t>2.0732/ .1878</t>
  </si>
  <si>
    <t>1.8208/ .1033</t>
  </si>
  <si>
    <t>2.5382/ .2299</t>
  </si>
  <si>
    <t>1.8968/ .2127</t>
  </si>
  <si>
    <t>1.5845/ .209</t>
  </si>
  <si>
    <t>1.6971/ .2034</t>
  </si>
  <si>
    <t>1.4657/ .2166</t>
  </si>
  <si>
    <t>2.1048/ .1982</t>
  </si>
  <si>
    <t>1.8583/ .0968</t>
  </si>
  <si>
    <t>4.474/ 5.054</t>
  </si>
  <si>
    <t>4.475/ 5.055</t>
  </si>
  <si>
    <t>4.465/ 5.048</t>
  </si>
  <si>
    <t>4.445/ 5.015</t>
  </si>
  <si>
    <t>4.435/ 5.005</t>
  </si>
  <si>
    <t>4.438/ 5.008</t>
  </si>
  <si>
    <t>4.434/ 5.001</t>
  </si>
  <si>
    <t>4.434/ 4.974</t>
  </si>
  <si>
    <t>4.428/ 4.988</t>
  </si>
  <si>
    <t>5.16/ 5.7822</t>
  </si>
  <si>
    <t>5.3095/ 5.6211</t>
  </si>
  <si>
    <t>4.8155/ 5.5005</t>
  </si>
  <si>
    <t>3.7804/ 4.0817</t>
  </si>
  <si>
    <t>3.5054/ 2.4658</t>
  </si>
  <si>
    <t>3.4798/ 1.955</t>
  </si>
  <si>
    <t>3.5887/ 1.513</t>
  </si>
  <si>
    <t>4.7989/ .0596</t>
  </si>
  <si>
    <t>4.6963/ .1085</t>
  </si>
  <si>
    <t>13.4327/ 22.5783</t>
  </si>
  <si>
    <t>13.8507/ 21.8137</t>
  </si>
  <si>
    <t>12.4543/ 21.0940</t>
  </si>
  <si>
    <t>9.6218/ 12.689</t>
  </si>
  <si>
    <t>8.9404/ 7.6759</t>
  </si>
  <si>
    <t>8.9684/ 5.7788</t>
  </si>
  <si>
    <t>9.3555/ 4.0033</t>
  </si>
  <si>
    <t>9.6889/ .3705</t>
  </si>
  <si>
    <t>9.4681/ .7134</t>
  </si>
  <si>
    <r>
      <t>4.</t>
    </r>
    <r>
      <rPr>
        <sz val="12"/>
        <color theme="1"/>
        <rFont val="414"/>
      </rPr>
      <t>4.14</t>
    </r>
  </si>
  <si>
    <t>4.464/ 5.5051</t>
  </si>
  <si>
    <t>4.464/ 5.058</t>
  </si>
  <si>
    <t>4.478/ 5.054</t>
  </si>
  <si>
    <t>4.434/ 5.011</t>
  </si>
  <si>
    <t>4.425/ 4.998</t>
  </si>
  <si>
    <t>4.428/ 5.005</t>
  </si>
  <si>
    <t>4.424/ 4.998</t>
  </si>
  <si>
    <t>4.421/ 5.001</t>
  </si>
  <si>
    <t>4.418/ 4.991</t>
  </si>
  <si>
    <t>4.7887/ 5.2946</t>
  </si>
  <si>
    <t>5.4029/ 6.4856</t>
  </si>
  <si>
    <t>6.5177/ 5.7432</t>
  </si>
  <si>
    <t>4.455/ 5.031</t>
  </si>
  <si>
    <t>5.1666/ 5.2104</t>
  </si>
  <si>
    <t>4.438/ 5.018</t>
  </si>
  <si>
    <t>4.396/3.7024</t>
  </si>
  <si>
    <t>4.4238/ 2.6634</t>
  </si>
  <si>
    <t>4.4396/ 1.6556</t>
  </si>
  <si>
    <t>4.4222/ 1.7106</t>
  </si>
  <si>
    <t>5.4635/ .2064</t>
  </si>
  <si>
    <t>5.0841/ .317</t>
  </si>
  <si>
    <t>5.1346/ .2112</t>
  </si>
  <si>
    <t>4.803/ .1069</t>
  </si>
  <si>
    <t>13.1068/ 21.6144</t>
  </si>
  <si>
    <t>14.7162/ 25.2211</t>
  </si>
  <si>
    <t>18.1236/ 21.312</t>
  </si>
  <si>
    <t>13.7892/18.033</t>
  </si>
  <si>
    <t>11.6901/ 12.6329</t>
  </si>
  <si>
    <t>11.9321/ 8.796</t>
  </si>
  <si>
    <t>11.9805/ 4.7717</t>
  </si>
  <si>
    <t>12.2041/ 5.0876</t>
  </si>
  <si>
    <t>11.5545/ 1.3221</t>
  </si>
  <si>
    <t>11.3501/ 1.9776</t>
  </si>
  <si>
    <t>11.0851/ 1.3556</t>
  </si>
  <si>
    <t>10.9959/ .7156</t>
  </si>
  <si>
    <t>19 01 22</t>
  </si>
  <si>
    <t>x=(y+.105)/3.3338</t>
  </si>
  <si>
    <t>x=(y+.0143)/3.4405</t>
  </si>
  <si>
    <t>20 01 22</t>
  </si>
  <si>
    <t>x=(y+4.6928)/112.03</t>
  </si>
  <si>
    <t>4.468/ 5.025</t>
  </si>
  <si>
    <t>6.3958/ 4.5835</t>
  </si>
  <si>
    <t>17.4643/ 17.6645</t>
  </si>
  <si>
    <t>6.478/ 7.681</t>
  </si>
  <si>
    <t>1.4703/ .1213</t>
  </si>
  <si>
    <t>4.6713/ .5527</t>
  </si>
  <si>
    <t>4.471/ 5.034</t>
  </si>
  <si>
    <t>6.4055/ 5.4166</t>
  </si>
  <si>
    <t>17.4381/ 19.9178</t>
  </si>
  <si>
    <t>6.481/ 7.684</t>
  </si>
  <si>
    <t>0.6971/ .2332</t>
  </si>
  <si>
    <t>2.8092/ .6068</t>
  </si>
  <si>
    <t>4.471/ 5.031</t>
  </si>
  <si>
    <t>6.6482/ 5.204</t>
  </si>
  <si>
    <t>18.134/ 18.8668</t>
  </si>
  <si>
    <t>4.441/ 5.007</t>
  </si>
  <si>
    <t>4.8691/ 3.6966</t>
  </si>
  <si>
    <t>13.0148/ 14.035</t>
  </si>
  <si>
    <t>6.477/ 7.681</t>
  </si>
  <si>
    <t>0.7301/ .0895</t>
  </si>
  <si>
    <t>2.3765/ .3694</t>
  </si>
  <si>
    <t>4.431/ 4.994</t>
  </si>
  <si>
    <t>4.5357/ 3.1363</t>
  </si>
  <si>
    <t>12.2442/ 10.3525</t>
  </si>
  <si>
    <t>4.424/ 4.988</t>
  </si>
  <si>
    <t>4.5923/ 2.5208</t>
  </si>
  <si>
    <t>12.4885/ 7.7781</t>
  </si>
  <si>
    <t>4.418/ 4.984</t>
  </si>
  <si>
    <t>4.5868/ 1.9934</t>
  </si>
  <si>
    <t>12.6272/ 5.9268</t>
  </si>
  <si>
    <t>4.468/ 5.121</t>
  </si>
  <si>
    <t>3.7989/ .2834</t>
  </si>
  <si>
    <t>11.9243/ 1.1507</t>
  </si>
  <si>
    <t>0.9013/ .0824</t>
  </si>
  <si>
    <t>3.4667/ .3351</t>
  </si>
  <si>
    <t>4.475/ 5.005</t>
  </si>
  <si>
    <t>4.0246/ 1.3658</t>
  </si>
  <si>
    <t>13.4595/ 5.2606</t>
  </si>
  <si>
    <t>6.481/ 7.681</t>
  </si>
  <si>
    <t>1.0379/ .0965</t>
  </si>
  <si>
    <t>4.6888/ .4343</t>
  </si>
  <si>
    <t>4.461/ 4.998</t>
  </si>
  <si>
    <t>2.6062/ .8501</t>
  </si>
  <si>
    <t>8.3249/ 3.4658</t>
  </si>
  <si>
    <t>0.8453/ .0596</t>
  </si>
  <si>
    <t>3.2201/ .2708</t>
  </si>
  <si>
    <t>4.451/ 5.014</t>
  </si>
  <si>
    <t>1.6223/ 2.5818</t>
  </si>
  <si>
    <t>4.6272/ 11.2935</t>
  </si>
  <si>
    <t>6.478/ 7.678</t>
  </si>
  <si>
    <t>1.082/ .0604</t>
  </si>
  <si>
    <t>2.9647/ .2744</t>
  </si>
  <si>
    <t>0.9145/ .0825</t>
  </si>
  <si>
    <t>3.5377/ .3201</t>
  </si>
  <si>
    <t>4.444/ 4.998</t>
  </si>
  <si>
    <t>0.7952/ .5174</t>
  </si>
  <si>
    <t>2.8762/ 3.1095</t>
  </si>
  <si>
    <t>0.9218/ .0795</t>
  </si>
  <si>
    <t>3.5531/ .308</t>
  </si>
  <si>
    <t>4.631/ 5.011</t>
  </si>
  <si>
    <t>0.2821/ 2.5388</t>
  </si>
  <si>
    <t>0.7808/ 9.6028</t>
  </si>
  <si>
    <t>10.671/ 15.554</t>
  </si>
  <si>
    <t>0.5552/ .0533</t>
  </si>
  <si>
    <t>1.9568/ .111</t>
  </si>
  <si>
    <t>17.748/ 23.401</t>
  </si>
  <si>
    <t>1.0409/ .0324</t>
  </si>
  <si>
    <t>2.0462/ .0499</t>
  </si>
  <si>
    <t>no sample</t>
  </si>
  <si>
    <t>4.634/ 4.994</t>
  </si>
  <si>
    <t>0.1873/ 1.4626</t>
  </si>
  <si>
    <t>0.55/ 5.6647</t>
  </si>
  <si>
    <t>6.471/ 7.681</t>
  </si>
  <si>
    <t>1.1566/ .0863</t>
  </si>
  <si>
    <t>4.0696/ .2875</t>
  </si>
  <si>
    <t>15.568/ 17.751</t>
  </si>
  <si>
    <t>0.0562/ .7187</t>
  </si>
  <si>
    <t>0.1129/ 1.4258</t>
  </si>
  <si>
    <t>4.644/ 4.988</t>
  </si>
  <si>
    <t>0.0392/ 1.0682</t>
  </si>
  <si>
    <t>0.2391/ 3.6061</t>
  </si>
  <si>
    <t>15.578/ 17.764</t>
  </si>
  <si>
    <t>0.1476/ .4272</t>
  </si>
  <si>
    <t>0.3013/ .8594</t>
  </si>
  <si>
    <t>6.541/ 7.698</t>
  </si>
  <si>
    <t>2.1084/ .187</t>
  </si>
  <si>
    <t>7.0849/ .4031</t>
  </si>
  <si>
    <t>6.541/ 7.695</t>
  </si>
  <si>
    <t>2.0406/ .1955</t>
  </si>
  <si>
    <t>6.9594/ .4469</t>
  </si>
  <si>
    <t>6.538/ 7.695</t>
  </si>
  <si>
    <t>1.9714/ .2306</t>
  </si>
  <si>
    <t>6.8701/ .5907</t>
  </si>
  <si>
    <t>6.534/ 7.698</t>
  </si>
  <si>
    <t>1.9586/ .5289</t>
  </si>
  <si>
    <t>6.9416/ 1.8278</t>
  </si>
  <si>
    <t>6.531/ 7.691</t>
  </si>
  <si>
    <t>2.0613/ .227</t>
  </si>
  <si>
    <t>6.1244/ .9988</t>
  </si>
  <si>
    <t>6.534/ 7.697</t>
  </si>
  <si>
    <t>2.0754/ .2408</t>
  </si>
  <si>
    <t>6.285/ 1.056</t>
  </si>
  <si>
    <t>6.518/ 7.678</t>
  </si>
  <si>
    <t>1.141/ .1435</t>
  </si>
  <si>
    <t>3.2816/ .2809</t>
  </si>
  <si>
    <t>21 01 22</t>
  </si>
  <si>
    <t>10, 1A, 1B</t>
  </si>
  <si>
    <t>1C, 1Cntrl, 2Cntrl</t>
  </si>
  <si>
    <t>2A, 2B, 2C</t>
  </si>
  <si>
    <t>6.411/ 6.874</t>
  </si>
  <si>
    <t>0.299/ .218</t>
  </si>
  <si>
    <t>0.4619/ .2589</t>
  </si>
  <si>
    <t>6.411/ 6.875</t>
  </si>
  <si>
    <t>0.2633/ .21</t>
  </si>
  <si>
    <t>0.2521/ .2549</t>
  </si>
  <si>
    <t>6.405/ 6.875</t>
  </si>
  <si>
    <t>0.408/ .2135</t>
  </si>
  <si>
    <t>0.2615/ .25</t>
  </si>
  <si>
    <t>6.384/ 6.908</t>
  </si>
  <si>
    <t>0.1164/ .0382</t>
  </si>
  <si>
    <t>0.2527/ .1095</t>
  </si>
  <si>
    <t>6.378/ 6.958</t>
  </si>
  <si>
    <t>0.2888/ .0838</t>
  </si>
  <si>
    <t>1.0654/ .1224</t>
  </si>
  <si>
    <t>15.494/ 17.584</t>
  </si>
  <si>
    <t>0.3555/ .1333</t>
  </si>
  <si>
    <t>0.7535/ .2682</t>
  </si>
  <si>
    <t>6.348/ 7.105</t>
  </si>
  <si>
    <t>0.5064/ .1683</t>
  </si>
  <si>
    <t>0.7037/ .1824</t>
  </si>
  <si>
    <t>6.518/ 7.671</t>
  </si>
  <si>
    <t>2.4564/ .2268</t>
  </si>
  <si>
    <t>8.768/ 1.0041</t>
  </si>
  <si>
    <t>x=(y+.6241)/99.524</t>
  </si>
  <si>
    <t>x=(y+4.2577)/113.81</t>
  </si>
  <si>
    <t>6.525/ 7.675</t>
  </si>
  <si>
    <t>2.9997/ .2414</t>
  </si>
  <si>
    <t>11.8387/ 1.0707</t>
  </si>
  <si>
    <t>6.524/ 7.678</t>
  </si>
  <si>
    <t>3.2447/ .3752</t>
  </si>
  <si>
    <t>11.6274/ 1.6427</t>
  </si>
  <si>
    <t>6.514/ 7.671</t>
  </si>
  <si>
    <t>1.8243/ .2425</t>
  </si>
  <si>
    <t>5.3698/ 1.0374</t>
  </si>
  <si>
    <t>6.511/ 7.668</t>
  </si>
  <si>
    <t>1.9474/ .2182</t>
  </si>
  <si>
    <t>6.0512/ .8767</t>
  </si>
  <si>
    <t>6.508/ 7.664</t>
  </si>
  <si>
    <t>1.6507/ .1829</t>
  </si>
  <si>
    <t>4.7361/ .7035</t>
  </si>
  <si>
    <t>6.504/ 7.661</t>
  </si>
  <si>
    <t>2.07/ .1638</t>
  </si>
  <si>
    <t>6.5959/ .6265</t>
  </si>
  <si>
    <t>6.498/ 7.654</t>
  </si>
  <si>
    <t>2.726/ .1651</t>
  </si>
  <si>
    <t>8.1899/ .642</t>
  </si>
  <si>
    <t>6.498/ 7.658</t>
  </si>
  <si>
    <t>1.5591/ .1702</t>
  </si>
  <si>
    <t>4.512/ .6788</t>
  </si>
  <si>
    <t>6.491/ 7.655</t>
  </si>
  <si>
    <t>1.2022/ .2941</t>
  </si>
  <si>
    <t>3.5654/ .874</t>
  </si>
  <si>
    <t>6.488/ 7.655</t>
  </si>
  <si>
    <t>1.0579/ .2898</t>
  </si>
  <si>
    <t>3.0064/ .8705</t>
  </si>
  <si>
    <t>6.481/ 7.648</t>
  </si>
  <si>
    <t>1.1037/ .1254</t>
  </si>
  <si>
    <t>2.8174/ .5429</t>
  </si>
  <si>
    <t>6.474/ 7.654</t>
  </si>
  <si>
    <t>1.0577/ .2534</t>
  </si>
  <si>
    <t>4.2045/ .5267</t>
  </si>
  <si>
    <t>6.465/ 7.648</t>
  </si>
  <si>
    <t>1.2459/ .2617</t>
  </si>
  <si>
    <t>5.2193/ .4824</t>
  </si>
  <si>
    <t>0.8096/ .411</t>
  </si>
  <si>
    <t>3.1556/ .5425</t>
  </si>
  <si>
    <t>6.458/ 7.641</t>
  </si>
  <si>
    <t>0.6476/ .4092</t>
  </si>
  <si>
    <t>2.3715/ .4883</t>
  </si>
  <si>
    <t>6.515/ 7.668</t>
  </si>
  <si>
    <t>2.1434/ .1667</t>
  </si>
  <si>
    <t>6.9488/ .7359</t>
  </si>
  <si>
    <t>2.0685/ .1737</t>
  </si>
  <si>
    <t>6.5362/ .7693</t>
  </si>
  <si>
    <t>6.515/ 7.671</t>
  </si>
  <si>
    <t>1.9887/ .1899</t>
  </si>
  <si>
    <t>5.5546/ .8382</t>
  </si>
  <si>
    <t>6.508/ 7.665</t>
  </si>
  <si>
    <t>1.9265/ .1807</t>
  </si>
  <si>
    <t>6.0461/ .7541</t>
  </si>
  <si>
    <t>6.508/ 7.661</t>
  </si>
  <si>
    <t>1.5447/ .1537</t>
  </si>
  <si>
    <t>4.1979/ .5983</t>
  </si>
  <si>
    <t>6.501/ 7.654</t>
  </si>
  <si>
    <t>1.867/ .1229</t>
  </si>
  <si>
    <t>4.6662/ .475</t>
  </si>
  <si>
    <t>6.498/ 7.651</t>
  </si>
  <si>
    <t>1.385/ .1092</t>
  </si>
  <si>
    <t>3.7537/ .4299</t>
  </si>
  <si>
    <t>6.495/ 7.651</t>
  </si>
  <si>
    <t>1.6654/ .1177</t>
  </si>
  <si>
    <t>5.0562/ .4731</t>
  </si>
  <si>
    <t>6.491/ 7.651</t>
  </si>
  <si>
    <t>1.6074/ .1069</t>
  </si>
  <si>
    <t>4.9195/ .4421</t>
  </si>
  <si>
    <t>6.488/ 7.651</t>
  </si>
  <si>
    <t>1.0831/ .0931</t>
  </si>
  <si>
    <t>2.7217/ .3946</t>
  </si>
  <si>
    <t>1.0064/ .0761</t>
  </si>
  <si>
    <t>2.4551/ .3277</t>
  </si>
  <si>
    <t>6.468/ 7.648</t>
  </si>
  <si>
    <t>1.956/ .1887</t>
  </si>
  <si>
    <t>7.1925/ .4694</t>
  </si>
  <si>
    <t>6.471/ 7.648</t>
  </si>
  <si>
    <t>0.6713/ .3914</t>
  </si>
  <si>
    <t>2.387/ .6153</t>
  </si>
  <si>
    <t>0.6741/ .2256</t>
  </si>
  <si>
    <t>2.4398/ .5507</t>
  </si>
  <si>
    <t>6.458/ 7.644</t>
  </si>
  <si>
    <t>3.0231/ .2501</t>
  </si>
  <si>
    <t>12.4933/ .5552</t>
  </si>
  <si>
    <t>0.9035/ .0795</t>
  </si>
  <si>
    <t>2.0279/ .3571</t>
  </si>
  <si>
    <t>6.511/ 7.665</t>
  </si>
  <si>
    <t>2.0662/ .2333</t>
  </si>
  <si>
    <t>6.7352/ 1.0214</t>
  </si>
  <si>
    <t>2.0017/ .2131</t>
  </si>
  <si>
    <t>6.26/ .936</t>
  </si>
  <si>
    <t>6.521/ 7.671</t>
  </si>
  <si>
    <t>3.9294/ .5435</t>
  </si>
  <si>
    <t>17.5907/ 1.2099</t>
  </si>
  <si>
    <t>1.8687/ .1922</t>
  </si>
  <si>
    <t>5.8036/ .7706</t>
  </si>
  <si>
    <t>2.2418/ .3794</t>
  </si>
  <si>
    <t>7.3266/ .7132</t>
  </si>
  <si>
    <t>6.501/ 7.651</t>
  </si>
  <si>
    <t>1.7746/ .1077</t>
  </si>
  <si>
    <t>4.1253/ .4021</t>
  </si>
  <si>
    <t>6.491/ 7.648</t>
  </si>
  <si>
    <t>1.5128/ .114</t>
  </si>
  <si>
    <t>4.3397/ .4403</t>
  </si>
  <si>
    <t>6.484/ 7.641</t>
  </si>
  <si>
    <t>1.2653/ .0981</t>
  </si>
  <si>
    <t>3.4375/ .3962</t>
  </si>
  <si>
    <t>6.474/ 7.641</t>
  </si>
  <si>
    <t>1.5317/ .0852</t>
  </si>
  <si>
    <t>4.6783/ .3576</t>
  </si>
  <si>
    <t>6.475/ 7.641</t>
  </si>
  <si>
    <t>1.0711/ .0748</t>
  </si>
  <si>
    <t>2.7223/ .3249</t>
  </si>
  <si>
    <t>6.471/ 7.641</t>
  </si>
  <si>
    <t>1.0493/ .0765</t>
  </si>
  <si>
    <t>2.7153/ .3317</t>
  </si>
  <si>
    <t>6.465/ 7.641</t>
  </si>
  <si>
    <t>0.7252/ .1882</t>
  </si>
  <si>
    <t>2.682/ .4718</t>
  </si>
  <si>
    <t>6.461/ 7.641</t>
  </si>
  <si>
    <t>0.7029/ .1919</t>
  </si>
  <si>
    <t>2.6071/ .4852</t>
  </si>
  <si>
    <t>1.2066/ .0741</t>
  </si>
  <si>
    <t>2.2382/ .3306</t>
  </si>
  <si>
    <t>0.8757/ .0639</t>
  </si>
  <si>
    <t>1.9654/ .287</t>
  </si>
  <si>
    <t>6.451/ 7.641</t>
  </si>
  <si>
    <t>0.8223/ .1741</t>
  </si>
  <si>
    <t>3.1781/ .4193</t>
  </si>
  <si>
    <t>11:19-11:49</t>
  </si>
  <si>
    <t>10:13-10:40</t>
  </si>
  <si>
    <t>pumped stopped at 12pm</t>
  </si>
  <si>
    <t>pump started 1/17 12:04 pm</t>
  </si>
  <si>
    <t>1:33-2:05</t>
  </si>
  <si>
    <t>1:53-2:21</t>
  </si>
  <si>
    <t>10:19-10:50</t>
  </si>
  <si>
    <t>10:40-11:13</t>
  </si>
  <si>
    <t>DOM Set 3 20 ppm</t>
  </si>
  <si>
    <t>10 Height</t>
  </si>
  <si>
    <t>x=(y+1.55)/4.4716</t>
  </si>
  <si>
    <t>x=(y+.2157)/5.5778</t>
  </si>
  <si>
    <t>x=(y-1.0293)/18.758</t>
  </si>
  <si>
    <t>x=(y-1.8427)/18.998</t>
  </si>
  <si>
    <t>x=(y-4.1055)/18.68</t>
  </si>
  <si>
    <t>x=(y-2.8353)/18.697</t>
  </si>
  <si>
    <t>x=(y-2.2613)/19.778</t>
  </si>
  <si>
    <t>x=(y-2.2443)/18.837</t>
  </si>
  <si>
    <t>x=(y-1.9128)/18.746</t>
  </si>
  <si>
    <t>x=(y-1.1554)/18.091</t>
  </si>
  <si>
    <t>x=(y-.8808)/17.346</t>
  </si>
  <si>
    <t>missing data</t>
  </si>
  <si>
    <t>x=(y-.7367)/18.223</t>
  </si>
  <si>
    <t>x=(y+2.1254)/16.406</t>
  </si>
  <si>
    <t>x=(y+1.6798)/14.777</t>
  </si>
  <si>
    <t>x=(y+1.1304)/8.9343</t>
  </si>
  <si>
    <t>x=(y+1.49)/8.6182</t>
  </si>
  <si>
    <t>x=(y+1.3252)/8.7111</t>
  </si>
  <si>
    <t>ReCalc F</t>
  </si>
  <si>
    <t>[F-] control</t>
  </si>
  <si>
    <t>[F-] ppm 10</t>
  </si>
  <si>
    <t>F acording to the model fit</t>
  </si>
  <si>
    <t>26 01 22</t>
  </si>
  <si>
    <t>measured F by machine</t>
  </si>
  <si>
    <t>F measured by machine</t>
  </si>
  <si>
    <t>6.488/ 7.628</t>
  </si>
  <si>
    <t>2.8778/ .3459</t>
  </si>
  <si>
    <t>11.5801/ .5105</t>
  </si>
  <si>
    <t>F measured by machine mg/L</t>
  </si>
  <si>
    <t>6.598/ 7.264</t>
  </si>
  <si>
    <t>169.954/ .2688</t>
  </si>
  <si>
    <t>564.6848/ .407</t>
  </si>
  <si>
    <t>6.477/ 7.607</t>
  </si>
  <si>
    <t>2.8234/ .2662</t>
  </si>
  <si>
    <t>11.5522/ .2902</t>
  </si>
  <si>
    <t>please note, "12422 30" one is mislabeled as "12622 20" in the IC file because the actual samples were run in order, but the file was missing that sample. Consequently "12622 30" is run with the following IC file</t>
  </si>
  <si>
    <t>26 01 22 (all sample names off by one; "20" labeled as "3control" and so on</t>
  </si>
  <si>
    <t>26 01 22 (all sample names off by one; "3Control" labeled as "3A" and so on</t>
  </si>
  <si>
    <t>machine measured F</t>
  </si>
  <si>
    <t>x=(y-.2666)/3.1593</t>
  </si>
  <si>
    <t>Measured f corrected for dilution</t>
  </si>
  <si>
    <t>Measured F corrected for dilution</t>
  </si>
  <si>
    <t>F machine calculated</t>
  </si>
  <si>
    <t>F machine Calculated</t>
  </si>
  <si>
    <r>
      <rPr>
        <sz val="12"/>
        <color theme="1"/>
        <rFont val="Calibri (Body)"/>
      </rPr>
      <t>CO</t>
    </r>
    <r>
      <rPr>
        <vertAlign val="subscript"/>
        <sz val="12"/>
        <color theme="1"/>
        <rFont val="Calibri"/>
        <family val="2"/>
        <scheme val="minor"/>
      </rPr>
      <t xml:space="preserve">3 </t>
    </r>
    <r>
      <rPr>
        <vertAlign val="superscript"/>
        <sz val="12"/>
        <color theme="1"/>
        <rFont val="Calibri (Body)"/>
      </rPr>
      <t>2-</t>
    </r>
  </si>
  <si>
    <t>na</t>
  </si>
  <si>
    <t>Machine measured F</t>
  </si>
  <si>
    <t>so to true the value you'd:</t>
  </si>
  <si>
    <t>machine measure</t>
  </si>
  <si>
    <t>Macine measure</t>
  </si>
  <si>
    <t>machine measured</t>
  </si>
  <si>
    <t>10421 3C must be meausred with these</t>
  </si>
  <si>
    <t>machinem easured</t>
  </si>
  <si>
    <t>measured machine</t>
  </si>
  <si>
    <t>mψηινεμεασθρεδ</t>
  </si>
  <si>
    <t>measured maching</t>
  </si>
  <si>
    <t>macine measured</t>
  </si>
  <si>
    <t>19 01 21</t>
  </si>
  <si>
    <t>Adj</t>
  </si>
  <si>
    <t>missing</t>
  </si>
  <si>
    <t>Average pH</t>
  </si>
  <si>
    <t>DOMAdd20ppm</t>
  </si>
  <si>
    <t>2Cntrl</t>
  </si>
  <si>
    <t>Tot. Alkalinity</t>
  </si>
  <si>
    <t>2 2 22</t>
  </si>
  <si>
    <t>6.475/ 7.605</t>
  </si>
  <si>
    <t>4.7964/ .3223</t>
  </si>
  <si>
    <t>22.2941/ .4061</t>
  </si>
  <si>
    <t>Column 4Control</t>
  </si>
  <si>
    <t>Column 4A</t>
  </si>
  <si>
    <t>Column 4B</t>
  </si>
  <si>
    <t>Column 40</t>
  </si>
  <si>
    <t>Column 5Control</t>
  </si>
  <si>
    <t>Column 5A</t>
  </si>
  <si>
    <t>Column 5B</t>
  </si>
  <si>
    <t>Column 50</t>
  </si>
  <si>
    <t>15.231/ 17.365</t>
  </si>
  <si>
    <t>0.0474/ .0956</t>
  </si>
  <si>
    <t>0.1034/ .1967</t>
  </si>
  <si>
    <t>6.418/ 7.594</t>
  </si>
  <si>
    <t>9.8658/ .1943</t>
  </si>
  <si>
    <t>44.6656/ .2941</t>
  </si>
  <si>
    <t>15.211/ 17.368</t>
  </si>
  <si>
    <t>0.0489/ .1218</t>
  </si>
  <si>
    <t>0.1092/ .2484</t>
  </si>
  <si>
    <t>17.361/ 22.861</t>
  </si>
  <si>
    <t>1.5968/ .0395</t>
  </si>
  <si>
    <t>3.2974/ .0628</t>
  </si>
  <si>
    <t>17.361/ 22.878</t>
  </si>
  <si>
    <t>1.5566/ .0397</t>
  </si>
  <si>
    <t>3.2188/ .0591</t>
  </si>
  <si>
    <t>6.445/ 7.598</t>
  </si>
  <si>
    <t>2.2756/ .446</t>
  </si>
  <si>
    <t>8.4278/ .5454</t>
  </si>
  <si>
    <t>15.231/ 17.381</t>
  </si>
  <si>
    <t>0.2984/ 1.2028</t>
  </si>
  <si>
    <t>0.5974/ 2.4762</t>
  </si>
  <si>
    <t>6.511/ 7.591</t>
  </si>
  <si>
    <t>58.9926/ .2023</t>
  </si>
  <si>
    <t>272.3776/ .3564</t>
  </si>
  <si>
    <t>6.371/ 7.594</t>
  </si>
  <si>
    <t>1.3078/ .3014</t>
  </si>
  <si>
    <t>5.8681/ .8084</t>
  </si>
  <si>
    <t>6.364/ 7.594</t>
  </si>
  <si>
    <t>0.758/ .3839</t>
  </si>
  <si>
    <t>3.6716/ .6738</t>
  </si>
  <si>
    <t>TC</t>
  </si>
  <si>
    <t>IC</t>
  </si>
  <si>
    <t>TOC</t>
  </si>
  <si>
    <t>TC 25</t>
  </si>
  <si>
    <t>IC 25</t>
  </si>
  <si>
    <t>Differemce between columns and tank total alk</t>
  </si>
  <si>
    <t>Average Experimental</t>
  </si>
  <si>
    <t>End</t>
  </si>
  <si>
    <t>4Control</t>
  </si>
  <si>
    <t>4A</t>
  </si>
  <si>
    <t>4B</t>
  </si>
  <si>
    <t>Tank 4</t>
  </si>
  <si>
    <t>5Control</t>
  </si>
  <si>
    <t>5A</t>
  </si>
  <si>
    <t>5B</t>
  </si>
  <si>
    <t>Tank 5</t>
  </si>
  <si>
    <t>DI Tank 4&amp;5</t>
  </si>
  <si>
    <t>12:30-1:00</t>
  </si>
  <si>
    <t>10:15-10:45</t>
  </si>
  <si>
    <t>10:00-10:28</t>
  </si>
  <si>
    <t>10:02-10:29</t>
  </si>
  <si>
    <t>10:16-10:44</t>
  </si>
  <si>
    <t>9:45-10:20</t>
  </si>
  <si>
    <t>10:02-10:20</t>
  </si>
  <si>
    <t>10:16-10:35</t>
  </si>
  <si>
    <t>Start Time</t>
  </si>
  <si>
    <t>mg</t>
  </si>
  <si>
    <t>Trapezoidal Integratiopn of the Area Under each curve</t>
  </si>
  <si>
    <t>Convert concentration from mmol/L to mg/mL</t>
  </si>
  <si>
    <t>Integration of curve from converted units</t>
  </si>
  <si>
    <t>Flow rate (mL/min)</t>
  </si>
  <si>
    <t>Sum (mg*min).mL</t>
  </si>
  <si>
    <t>Mass Recovered (mg)</t>
  </si>
  <si>
    <t>Cl SO4 1</t>
  </si>
  <si>
    <t>Cl SO4 5</t>
  </si>
  <si>
    <t>Cl SO4 10</t>
  </si>
  <si>
    <t>16 2 22</t>
  </si>
  <si>
    <t>14.991/ 17.104</t>
  </si>
  <si>
    <t>0.1215/ 1.0216</t>
  </si>
  <si>
    <t>0.2522/ 2.1638</t>
  </si>
  <si>
    <t>6.348/ 7.538</t>
  </si>
  <si>
    <t>1.3471/ .1256</t>
  </si>
  <si>
    <t>5.4314/ .1961</t>
  </si>
  <si>
    <t>6.351/ 7.541</t>
  </si>
  <si>
    <t>0.7433/ .6466</t>
  </si>
  <si>
    <t>3.4823/ .4159</t>
  </si>
  <si>
    <t>6.444/ 7.558</t>
  </si>
  <si>
    <t>2.2311/ .2604</t>
  </si>
  <si>
    <t>8.1308/ .6348</t>
  </si>
  <si>
    <t>14.974/ 17.104</t>
  </si>
  <si>
    <t>0.0638/ 2.3584</t>
  </si>
  <si>
    <t>0.1409/ 5.0293</t>
  </si>
  <si>
    <t>6.365/ 7.535</t>
  </si>
  <si>
    <t>0.9994/ .6402</t>
  </si>
  <si>
    <t>4.6715/ .412</t>
  </si>
  <si>
    <t>6.435/ 7.551</t>
  </si>
  <si>
    <t>2.2396/ .2254</t>
  </si>
  <si>
    <t>8.4248/ .4911</t>
  </si>
  <si>
    <t>14.958/ 17.095</t>
  </si>
  <si>
    <t>0.0528/ 2.0612</t>
  </si>
  <si>
    <t>0.113/ 4.3708</t>
  </si>
  <si>
    <t>6.444/ 7.554</t>
  </si>
  <si>
    <t>32.724/ 1.1381</t>
  </si>
  <si>
    <t>173.0759/ 4.5294</t>
  </si>
  <si>
    <t>6.378/ 7.528</t>
  </si>
  <si>
    <t>1.3965/ .944</t>
  </si>
  <si>
    <t>6.9584/ .5936</t>
  </si>
  <si>
    <t>6.365/ 7.541</t>
  </si>
  <si>
    <t>1.2268/ .1801</t>
  </si>
  <si>
    <t>5.8451/ .3829</t>
  </si>
  <si>
    <t>x=(y+.247)/3.2403</t>
  </si>
  <si>
    <t>18 2 22</t>
  </si>
  <si>
    <t>x=(y-.1228)/3.0952</t>
  </si>
  <si>
    <t>15.035/ 17.091</t>
  </si>
  <si>
    <t>0.0302/ 1.8802</t>
  </si>
  <si>
    <t>0.065/ 3.9842</t>
  </si>
  <si>
    <t>9.135/ 10.381</t>
  </si>
  <si>
    <t>0.0348/ 2.2466</t>
  </si>
  <si>
    <t>0.0471/ 8.4352</t>
  </si>
  <si>
    <t>9.164/ 10.388</t>
  </si>
  <si>
    <t>0.0345/ 1.9278</t>
  </si>
  <si>
    <t>0.0458/ 7.1935</t>
  </si>
  <si>
    <t>21 2 22</t>
  </si>
  <si>
    <t>23 2 22</t>
  </si>
  <si>
    <t>4.438/ 4.958</t>
  </si>
  <si>
    <t>0.1114/ .2355</t>
  </si>
  <si>
    <t>0.3746/ .9103</t>
  </si>
  <si>
    <t>4.418/ 4.941</t>
  </si>
  <si>
    <t>0.1292/ .1531</t>
  </si>
  <si>
    <t>0.4551/ .4892</t>
  </si>
  <si>
    <t>4.374/ 4.904</t>
  </si>
  <si>
    <t>0.0908/ .2399</t>
  </si>
  <si>
    <t>0.2789/ .816</t>
  </si>
  <si>
    <t>4.428/4.948</t>
  </si>
  <si>
    <t>0.1169/ .2329</t>
  </si>
  <si>
    <t>0.4074/ .8763</t>
  </si>
  <si>
    <t>x=(y+5.0902)/101.78</t>
  </si>
  <si>
    <t>6.644/ 7.524</t>
  </si>
  <si>
    <t>274.2676/ 1.064</t>
  </si>
  <si>
    <t>827.433/ 3.7861</t>
  </si>
  <si>
    <t>14.924/ 16.774</t>
  </si>
  <si>
    <t>0.04556/ 49.1828</t>
  </si>
  <si>
    <t>0.0916/ 105.7326</t>
  </si>
  <si>
    <t>6.561/ 7.518</t>
  </si>
  <si>
    <t>169.4146/ .8358</t>
  </si>
  <si>
    <t>616.5614/ 2.8616</t>
  </si>
  <si>
    <t>14.921/ 16.851</t>
  </si>
  <si>
    <t>0.0555/ 30.4447</t>
  </si>
  <si>
    <t>0.1159/ 67.2321</t>
  </si>
  <si>
    <t>6.498/ 7.514</t>
  </si>
  <si>
    <t>102.5071/ .6037</t>
  </si>
  <si>
    <t>433.5113/ 2.2295</t>
  </si>
  <si>
    <t>14.928/ 16.908</t>
  </si>
  <si>
    <t>0.0592/ 18.2919</t>
  </si>
  <si>
    <t>0.1248/ 40.586</t>
  </si>
  <si>
    <t>6.451/ 7.511</t>
  </si>
  <si>
    <t>61.2807/ .4917</t>
  </si>
  <si>
    <t>286.2718/ 1.7655</t>
  </si>
  <si>
    <t>14.928/ 16.938</t>
  </si>
  <si>
    <t>0.0598/ 11.5050</t>
  </si>
  <si>
    <t>0.1273/ 25.3706</t>
  </si>
  <si>
    <t>6.421/ 7.508</t>
  </si>
  <si>
    <t>39.7731/ .3703</t>
  </si>
  <si>
    <t>195.1137/ 1.2442</t>
  </si>
  <si>
    <t>14.921/ 16.951</t>
  </si>
  <si>
    <t>0.0547/ 8.4332</t>
  </si>
  <si>
    <t>0.1207/ 18.341</t>
  </si>
  <si>
    <t>6.398/ 7.501</t>
  </si>
  <si>
    <t>25.773/ .2592</t>
  </si>
  <si>
    <t>130.034/ .845</t>
  </si>
  <si>
    <t>14.928/ 16.968/ 22.328</t>
  </si>
  <si>
    <t>0.065/ 5.8843/ .0302</t>
  </si>
  <si>
    <t>0.1329/ 12.6886/ .0466</t>
  </si>
  <si>
    <t>6.394/ 7.504</t>
  </si>
  <si>
    <t>21.932/ .22</t>
  </si>
  <si>
    <t>110.7652/ .6794</t>
  </si>
  <si>
    <t>14.914/ 16.964</t>
  </si>
  <si>
    <t>0.058/ 5.7633</t>
  </si>
  <si>
    <t>0.1221/ 12.3539</t>
  </si>
  <si>
    <t>6.371/ 7.501</t>
  </si>
  <si>
    <t>12.2913/ .3471</t>
  </si>
  <si>
    <t>54.796/ .6544</t>
  </si>
  <si>
    <t>14.934/ 16.974</t>
  </si>
  <si>
    <t>0.0483/ 3.658</t>
  </si>
  <si>
    <t>0.1098/ 7.7815</t>
  </si>
  <si>
    <t>6.271/ 7.498</t>
  </si>
  <si>
    <t>5.6555/ .1341</t>
  </si>
  <si>
    <t>20.8492/ .3404</t>
  </si>
  <si>
    <t>6.278/ 7.501</t>
  </si>
  <si>
    <t>3.445/ .1093</t>
  </si>
  <si>
    <t>12.3819/ .2447</t>
  </si>
  <si>
    <t>6.274/ 7.501</t>
  </si>
  <si>
    <t>2.3854/ .0983</t>
  </si>
  <si>
    <t>8.4104/ .2203</t>
  </si>
  <si>
    <t>6.338/ 7.498</t>
  </si>
  <si>
    <t>2.7201/ .1072</t>
  </si>
  <si>
    <t>9.2169/ .2297</t>
  </si>
  <si>
    <t>14.938/ 16.985</t>
  </si>
  <si>
    <t>0.0327/ 1.3183</t>
  </si>
  <si>
    <t>0.0732/ 2.7364</t>
  </si>
  <si>
    <t>6.351/ 7.501</t>
  </si>
  <si>
    <t>2.322/ .1115</t>
  </si>
  <si>
    <t>8.7984/ .2402</t>
  </si>
  <si>
    <t>14.924/ 16.984</t>
  </si>
  <si>
    <t>0.0383/ 1.2846</t>
  </si>
  <si>
    <t>0.0825/ 2.6331</t>
  </si>
  <si>
    <t>6.354/ 7.501</t>
  </si>
  <si>
    <t>2.3256/ .111</t>
  </si>
  <si>
    <t>9.3666/ .2423</t>
  </si>
  <si>
    <t>14.928/ 16.984</t>
  </si>
  <si>
    <t>0.0405/ 1.3127</t>
  </si>
  <si>
    <t>0.0917/ 2.699</t>
  </si>
  <si>
    <t>2.3801/ .1089</t>
  </si>
  <si>
    <t>10.0016/ .2405</t>
  </si>
  <si>
    <t>0.0368/ 1.2549</t>
  </si>
  <si>
    <t>0.0834/ 2.6243</t>
  </si>
  <si>
    <t>6.358/ 7.504</t>
  </si>
  <si>
    <t>2.3591/ .2762</t>
  </si>
  <si>
    <t>9.6356/ .3565</t>
  </si>
  <si>
    <t>14.928/ 16.988</t>
  </si>
  <si>
    <t>0.0371/ 1.1692</t>
  </si>
  <si>
    <t>0.0793/ 2.4132</t>
  </si>
  <si>
    <t>14.914/ 16.918</t>
  </si>
  <si>
    <t>0.0408/ 13.4347</t>
  </si>
  <si>
    <t>0.0685/ 29.7314</t>
  </si>
  <si>
    <t>9:13-9:45</t>
  </si>
  <si>
    <t>8:04-8:31</t>
  </si>
  <si>
    <t>8:56-9:15</t>
  </si>
  <si>
    <t>x=(y+1.9703)/7.9533</t>
  </si>
  <si>
    <t>x=(y+1.7307)/7.4628</t>
  </si>
  <si>
    <t>x=(y+2.4265)/9.5805</t>
  </si>
  <si>
    <t>x=(y+2.1644)/8.4337</t>
  </si>
  <si>
    <t>x=(y+2.6892)/8.5411</t>
  </si>
  <si>
    <t>Machine Average Set 3</t>
  </si>
  <si>
    <t>Machine 30</t>
  </si>
  <si>
    <t>Machine Average Set 2</t>
  </si>
  <si>
    <t>Machine 20</t>
  </si>
  <si>
    <t>My 20</t>
  </si>
  <si>
    <t>Average [F-] Set 4</t>
  </si>
  <si>
    <t>x=(y+4.4543)/106.95</t>
  </si>
  <si>
    <t>6.388/ 7.481</t>
  </si>
  <si>
    <t>53.4102/ .1779</t>
  </si>
  <si>
    <t>257.7924/ .3755</t>
  </si>
  <si>
    <t>27.6458/ .1682</t>
  </si>
  <si>
    <t>140.2138/ .3441</t>
  </si>
  <si>
    <t>6.378/ 7.484</t>
  </si>
  <si>
    <t>22.9042/ .4278</t>
  </si>
  <si>
    <t>112.0259/ .5274</t>
  </si>
  <si>
    <t>6.368/ 7.485</t>
  </si>
  <si>
    <t>16.0863/ .1394</t>
  </si>
  <si>
    <t>74.4186/ .3145</t>
  </si>
  <si>
    <t>6.328/ 7.484</t>
  </si>
  <si>
    <t>8.4498/ .1118</t>
  </si>
  <si>
    <t>30.2964/ .2291</t>
  </si>
  <si>
    <t>16.891/ 22.188</t>
  </si>
  <si>
    <t>7.3508/ .0353</t>
  </si>
  <si>
    <t>16.0405/ .0568</t>
  </si>
  <si>
    <t>6.271/ 7.481</t>
  </si>
  <si>
    <t>2.7138/ .1055</t>
  </si>
  <si>
    <t>8.9636/ .2036</t>
  </si>
  <si>
    <t>6.275/ 7.488</t>
  </si>
  <si>
    <t>2.5992/ .1035</t>
  </si>
  <si>
    <t>8.6805/ .2055</t>
  </si>
  <si>
    <t>6.278/ 7.485</t>
  </si>
  <si>
    <t>2.6721/ .2693</t>
  </si>
  <si>
    <t>8.8528/ .3513</t>
  </si>
  <si>
    <t>6.321/ 7.485</t>
  </si>
  <si>
    <t>2.4008/ .1011</t>
  </si>
  <si>
    <t>8.3743/ .2143</t>
  </si>
  <si>
    <t>6.334/ 7.488</t>
  </si>
  <si>
    <t>2.7042/ .1121</t>
  </si>
  <si>
    <t>10.0252/ .2266</t>
  </si>
  <si>
    <t>6.328/ 7.481</t>
  </si>
  <si>
    <t>2.1855/ .118</t>
  </si>
  <si>
    <t>7.9847/ .2312</t>
  </si>
  <si>
    <t>6.338/ 7.488</t>
  </si>
  <si>
    <t>2.3065/ .1181</t>
  </si>
  <si>
    <t>8.8719/ .227</t>
  </si>
  <si>
    <t>6.335/ 7.485</t>
  </si>
  <si>
    <t>2.383/ .3264</t>
  </si>
  <si>
    <t>8.8839/ .3613</t>
  </si>
  <si>
    <t>6.411/ 7.498</t>
  </si>
  <si>
    <t>38.7648/ .5773</t>
  </si>
  <si>
    <t>190.2471/ 1.9917</t>
  </si>
  <si>
    <t>6.371/ 7.491</t>
  </si>
  <si>
    <t>18.2781/ .474</t>
  </si>
  <si>
    <t>85.8371/ .8799</t>
  </si>
  <si>
    <t>6.358/ 7.491</t>
  </si>
  <si>
    <t>12.989/ .1597</t>
  </si>
  <si>
    <t>53.3226/ .412</t>
  </si>
  <si>
    <t>10.8745/ .1493</t>
  </si>
  <si>
    <t>38.0215/ .3652</t>
  </si>
  <si>
    <t>6.281/ 7.491</t>
  </si>
  <si>
    <t>10.0238/ .1512</t>
  </si>
  <si>
    <t>35.3391/ .3846</t>
  </si>
  <si>
    <t>6.335/ 7.488</t>
  </si>
  <si>
    <t>9.8879/ .1601</t>
  </si>
  <si>
    <t>36.7837/ .4108</t>
  </si>
  <si>
    <t xml:space="preserve">9.178/ .1619 </t>
  </si>
  <si>
    <t>36.3079/ .4197</t>
  </si>
  <si>
    <t>6.341/ 7.485</t>
  </si>
  <si>
    <t>6.351/ 7.491</t>
  </si>
  <si>
    <t>8.6118/ .3873</t>
  </si>
  <si>
    <t>35.5066/ .5299</t>
  </si>
  <si>
    <t>6.344/ 7.488</t>
  </si>
  <si>
    <t>6.3161/ .1481</t>
  </si>
  <si>
    <t>26.8806/ .3493</t>
  </si>
  <si>
    <t>6.348/ 7.491</t>
  </si>
  <si>
    <t>5.87/ .136</t>
  </si>
  <si>
    <t>25.5321/ .3216</t>
  </si>
  <si>
    <t>6.345/ 7.488</t>
  </si>
  <si>
    <t>5.2573/ .3589</t>
  </si>
  <si>
    <t>22.4867/ .461</t>
  </si>
  <si>
    <t>4.5493/ .1399</t>
  </si>
  <si>
    <t>19.8041/ .2976</t>
  </si>
  <si>
    <t>5.5746/ .131</t>
  </si>
  <si>
    <t>24.9083/ .282</t>
  </si>
  <si>
    <t>3.9778/ .1289</t>
  </si>
  <si>
    <t>17.2582/ .2601</t>
  </si>
  <si>
    <t>6.344/ 7.491</t>
  </si>
  <si>
    <t>3.8516/ .367</t>
  </si>
  <si>
    <t>16.0669/ .4037</t>
  </si>
  <si>
    <t>6.347/ 7.491</t>
  </si>
  <si>
    <t>4.5913/ .3695</t>
  </si>
  <si>
    <t>19.8145/ .4059</t>
  </si>
  <si>
    <t>25 2 22</t>
  </si>
  <si>
    <t>6.414/ 7.501</t>
  </si>
  <si>
    <t>2.113/ .193</t>
  </si>
  <si>
    <t>6.2878/ .3493</t>
  </si>
  <si>
    <t>6.471/ 7.171</t>
  </si>
  <si>
    <t>156.5033/ .3022</t>
  </si>
  <si>
    <t>559.3017/ .4804</t>
  </si>
  <si>
    <t>6.348/ 7.475</t>
  </si>
  <si>
    <t>1.691/ .298</t>
  </si>
  <si>
    <t>5.8997/ .3294</t>
  </si>
  <si>
    <t>6.405/ 7.491</t>
  </si>
  <si>
    <t>1.4471/ .3084</t>
  </si>
  <si>
    <t>4.9983/ .3871</t>
  </si>
  <si>
    <t>6.474/ 7.174</t>
  </si>
  <si>
    <t>173.2578/ .3115</t>
  </si>
  <si>
    <t>593.6457/ .4994</t>
  </si>
  <si>
    <t>9:29-10:04</t>
  </si>
  <si>
    <t>9:33-9:59</t>
  </si>
  <si>
    <t>9:29-9:45</t>
  </si>
  <si>
    <t>x=(y-.0522)/3.1506</t>
  </si>
  <si>
    <t>done</t>
  </si>
  <si>
    <t>Bottle 4</t>
  </si>
  <si>
    <t>16 3 22</t>
  </si>
  <si>
    <t>9:38-9:50</t>
  </si>
  <si>
    <t>pumps stopped 5pm March 2</t>
  </si>
  <si>
    <t>Pumps resumed 9:30 am March 15</t>
  </si>
  <si>
    <t>6B</t>
  </si>
  <si>
    <t>6A</t>
  </si>
  <si>
    <t>6Control</t>
  </si>
  <si>
    <t>Tank 6</t>
  </si>
  <si>
    <t>6C</t>
  </si>
  <si>
    <t>Column</t>
  </si>
  <si>
    <t>Soil Volume</t>
  </si>
  <si>
    <t>Total Mass</t>
  </si>
  <si>
    <t>Bulk Density</t>
  </si>
  <si>
    <t>n calc</t>
  </si>
  <si>
    <t>Tot Alk (as CO3)</t>
  </si>
  <si>
    <t>Phen Alk (as CO3)</t>
  </si>
  <si>
    <t>Tot Alk as CO3</t>
  </si>
  <si>
    <t>Phen Alk at CO3</t>
  </si>
  <si>
    <t>Expected Mass</t>
  </si>
  <si>
    <t>% mass recovered</t>
  </si>
  <si>
    <t>m/2</t>
  </si>
  <si>
    <t>Calc retention time</t>
  </si>
  <si>
    <t xml:space="preserve">Calc retention time </t>
  </si>
  <si>
    <t>38 min</t>
  </si>
  <si>
    <t>48 min</t>
  </si>
  <si>
    <t>46 min</t>
  </si>
  <si>
    <t>74 min</t>
  </si>
  <si>
    <t>70 min</t>
  </si>
  <si>
    <t>54min</t>
  </si>
  <si>
    <t>51 min</t>
  </si>
  <si>
    <t>44 min</t>
  </si>
  <si>
    <t>Time Set 4&amp;5</t>
  </si>
  <si>
    <t>Control 4</t>
  </si>
  <si>
    <t>Set 4</t>
  </si>
  <si>
    <t>4 0</t>
  </si>
  <si>
    <t>Control 5</t>
  </si>
  <si>
    <t>Set 5</t>
  </si>
  <si>
    <t>5 0</t>
  </si>
  <si>
    <t>Tank 5 pH</t>
  </si>
  <si>
    <t>Tank 4 pH</t>
  </si>
  <si>
    <t>14.484/ 16.674</t>
  </si>
  <si>
    <t>0.0433/ .6611</t>
  </si>
  <si>
    <t>0.0959/ 1.3867</t>
  </si>
  <si>
    <t>16.681/ 21.831</t>
  </si>
  <si>
    <t>0.1739/ .0503</t>
  </si>
  <si>
    <t>0.3636/ .0765</t>
  </si>
  <si>
    <t>6.251/ 7.411</t>
  </si>
  <si>
    <t>0.9285/ .3566</t>
  </si>
  <si>
    <t>4.5343/ .8712</t>
  </si>
  <si>
    <t>6.281/ 7.398</t>
  </si>
  <si>
    <t>0.8145/ .5076</t>
  </si>
  <si>
    <t>3.7215/ 1.0978</t>
  </si>
  <si>
    <t>6.284/ 7.398</t>
  </si>
  <si>
    <t>1.9638/ .1888</t>
  </si>
  <si>
    <t>5.334/ .8289</t>
  </si>
  <si>
    <t>6.254/ 7.411</t>
  </si>
  <si>
    <t>0.949/ .5189</t>
  </si>
  <si>
    <t>4.6073/ 1.0163</t>
  </si>
  <si>
    <t>Column 60</t>
  </si>
  <si>
    <t>Column 6C</t>
  </si>
  <si>
    <t>Column 6B</t>
  </si>
  <si>
    <t>Column 6A</t>
  </si>
  <si>
    <t>Column 6Control</t>
  </si>
  <si>
    <t>14.488/ 16.671</t>
  </si>
  <si>
    <t>0.0393/ .1658</t>
  </si>
  <si>
    <t>0.0889/ .3481</t>
  </si>
  <si>
    <t>16.664/ 21.818</t>
  </si>
  <si>
    <t>2.1255/ .0439</t>
  </si>
  <si>
    <t>4.5294/ .0711</t>
  </si>
  <si>
    <t>16.666/ 21.833</t>
  </si>
  <si>
    <t>2.6118/ .0841</t>
  </si>
  <si>
    <t>5.5832/ .1349</t>
  </si>
  <si>
    <t>16.664/ 21.814</t>
  </si>
  <si>
    <t>2.8076/ .0977</t>
  </si>
  <si>
    <t>6.0163/ .1548</t>
  </si>
  <si>
    <t>16.651/ 21.778</t>
  </si>
  <si>
    <t>2.1452/ .0722</t>
  </si>
  <si>
    <t>4.5818/ .1108</t>
  </si>
  <si>
    <t>18 3 22</t>
  </si>
  <si>
    <t>16.728/ 21.901</t>
  </si>
  <si>
    <t>0.1499/ .0343</t>
  </si>
  <si>
    <t>0.3156/ .0537</t>
  </si>
  <si>
    <t>6.298/ 7.414</t>
  </si>
  <si>
    <t>0.7134/ .3655</t>
  </si>
  <si>
    <t>3.1399/ .4533</t>
  </si>
  <si>
    <t>6.261/ 7.418</t>
  </si>
  <si>
    <t>0.6974/ .3352</t>
  </si>
  <si>
    <t>3.5918/ .3338</t>
  </si>
  <si>
    <t>Column AControl</t>
  </si>
  <si>
    <t>Column AA</t>
  </si>
  <si>
    <t>Column AB</t>
  </si>
  <si>
    <t>Column A0</t>
  </si>
  <si>
    <t>Column Bcontrol</t>
  </si>
  <si>
    <t>Column BA</t>
  </si>
  <si>
    <t>Column BB</t>
  </si>
  <si>
    <t>Column B0</t>
  </si>
  <si>
    <t>Bottle 2</t>
  </si>
  <si>
    <t>Bottle 3</t>
  </si>
  <si>
    <t>16.621/ 21.817</t>
  </si>
  <si>
    <t>21.4522/ .4842</t>
  </si>
  <si>
    <t>47.8275/ .7621</t>
  </si>
  <si>
    <t>x=(y+.4715)/3.0941</t>
  </si>
  <si>
    <t>x=(y+.188)/3.0944</t>
  </si>
  <si>
    <t>8:07-8:35</t>
  </si>
  <si>
    <t>Start 3/15/22</t>
  </si>
  <si>
    <t>Start 3/18/22</t>
  </si>
  <si>
    <t>8:06-8:32</t>
  </si>
  <si>
    <t>4:08-4:34</t>
  </si>
  <si>
    <t>116 &amp; 128</t>
  </si>
  <si>
    <t>AControl</t>
  </si>
  <si>
    <t>AA</t>
  </si>
  <si>
    <t>AB</t>
  </si>
  <si>
    <t>A0</t>
  </si>
  <si>
    <t>BControl</t>
  </si>
  <si>
    <t>BA</t>
  </si>
  <si>
    <t>BB</t>
  </si>
  <si>
    <t>B0</t>
  </si>
  <si>
    <t>Tank B</t>
  </si>
  <si>
    <t>Tank A</t>
  </si>
  <si>
    <t>DI A</t>
  </si>
  <si>
    <t>J2 B</t>
  </si>
  <si>
    <t>J2 Tank</t>
  </si>
  <si>
    <t>J2-B</t>
  </si>
  <si>
    <t>28 3 22</t>
  </si>
  <si>
    <t>9:13-9:46</t>
  </si>
  <si>
    <t>12:20-12:45</t>
  </si>
  <si>
    <t>16.888/ 22.078</t>
  </si>
  <si>
    <t>0.1335/ .0321</t>
  </si>
  <si>
    <t>0.2718/ .0494</t>
  </si>
  <si>
    <t>x=(y+2.2517)/6.8755</t>
  </si>
  <si>
    <t>x=(y-.6424)/2.9139</t>
  </si>
  <si>
    <t>Set A</t>
  </si>
  <si>
    <t>Set B</t>
  </si>
  <si>
    <t>If you go for a month, the end date is like 4/18/22</t>
  </si>
  <si>
    <t>SUM</t>
  </si>
  <si>
    <t>Flow Rate</t>
  </si>
  <si>
    <t>Mass Recovered</t>
  </si>
  <si>
    <t>84 min</t>
  </si>
  <si>
    <t>65 min</t>
  </si>
  <si>
    <t>36 min</t>
  </si>
  <si>
    <t>1 4 22</t>
  </si>
  <si>
    <t>Average pH:</t>
  </si>
  <si>
    <t>Set 1 DI</t>
  </si>
  <si>
    <t xml:space="preserve">20 Tank </t>
  </si>
  <si>
    <t>30 Tank</t>
  </si>
  <si>
    <t>Set 4&amp;5 DI pH</t>
  </si>
  <si>
    <t>Feed Tank pH</t>
  </si>
  <si>
    <t>Averages</t>
  </si>
  <si>
    <t xml:space="preserve">Something seems pretty wrong with these measuremnts; I do not think this method is ok, and I do not think I can use this section of data. </t>
  </si>
  <si>
    <t>I'm going to rely on the NPOC data, which I have for about half of my total samples</t>
  </si>
  <si>
    <t>Set 3 Date</t>
  </si>
  <si>
    <t>Set 3 Time</t>
  </si>
  <si>
    <t>3Control Measured TOC</t>
  </si>
  <si>
    <t>3A Measured TOC</t>
  </si>
  <si>
    <t>3B Measured TOC</t>
  </si>
  <si>
    <t>3C Measured TOC</t>
  </si>
  <si>
    <t>30 Measured TOC</t>
  </si>
  <si>
    <t>3A less 30</t>
  </si>
  <si>
    <t>3B less 30</t>
  </si>
  <si>
    <t>3C less 30</t>
  </si>
  <si>
    <t>3Control less 30 adj for all sand</t>
  </si>
  <si>
    <t>Modified 3Control % Tank</t>
  </si>
  <si>
    <t>Modified 3A % Tank</t>
  </si>
  <si>
    <t>Modified 3B % Tank</t>
  </si>
  <si>
    <t>Modified 3C %Tank</t>
  </si>
  <si>
    <t xml:space="preserve">30 less 30 </t>
  </si>
  <si>
    <t>Set 3 Avg TOC</t>
  </si>
  <si>
    <t>Modified Set 3 Avg TOC</t>
  </si>
  <si>
    <t>Set 3 Avg % Tank</t>
  </si>
  <si>
    <t>Modified Set 3 Avg. % Tank</t>
  </si>
  <si>
    <t>Avg Difference Between Tank and Effluent</t>
  </si>
  <si>
    <t>Total Averages</t>
  </si>
  <si>
    <t>TOC Unmodified 5ppm</t>
  </si>
  <si>
    <t>TOC Modified 5ppm</t>
  </si>
  <si>
    <t>TOC Unmodified 20ppm</t>
  </si>
  <si>
    <t>TOC Modified 20 ppm</t>
  </si>
  <si>
    <t>Column Acontrol</t>
  </si>
  <si>
    <t>Column 6 Control</t>
  </si>
  <si>
    <t>Column  60</t>
  </si>
  <si>
    <t>CHECK 4/4/22</t>
  </si>
  <si>
    <t>Blank TOC</t>
  </si>
  <si>
    <t>Blank TC</t>
  </si>
  <si>
    <t>Blnk IC</t>
  </si>
  <si>
    <t>IC5ppm</t>
  </si>
  <si>
    <t>2022_04_04_Alexandra</t>
  </si>
  <si>
    <t>16.574/ 21.658</t>
  </si>
  <si>
    <t>0.1124/ .03</t>
  </si>
  <si>
    <t>0.232/ .0465</t>
  </si>
  <si>
    <t>16.571/ 21.701</t>
  </si>
  <si>
    <t>0.12/ .0356</t>
  </si>
  <si>
    <t>0.2482/ .0498</t>
  </si>
  <si>
    <t>x=(y+.2617)/3.0853</t>
  </si>
  <si>
    <t>9:00-9:30</t>
  </si>
  <si>
    <t>8:33-9:06</t>
  </si>
  <si>
    <t>8:55-9:14</t>
  </si>
  <si>
    <t>8:58-9:27</t>
  </si>
  <si>
    <t>12:48-1:15</t>
  </si>
  <si>
    <t>11 4 22</t>
  </si>
  <si>
    <t>1 F Ac</t>
  </si>
  <si>
    <t>1.5 F Ac</t>
  </si>
  <si>
    <t>2 F Ac</t>
  </si>
  <si>
    <t>2.5 F Ac</t>
  </si>
  <si>
    <t>3 F Ac</t>
  </si>
  <si>
    <t>5 F Ac</t>
  </si>
  <si>
    <t>0.5 F Ac</t>
  </si>
  <si>
    <t>1 Cl SO4</t>
  </si>
  <si>
    <t>1.5 Cl SO4</t>
  </si>
  <si>
    <t>2 Cl SO4</t>
  </si>
  <si>
    <t>2.5 Cl SO4</t>
  </si>
  <si>
    <t>3 Cl SO4</t>
  </si>
  <si>
    <t>5 Cl SO4</t>
  </si>
  <si>
    <t>check the date might actually be the fifth of April!</t>
  </si>
  <si>
    <t>5.978/ 6.638</t>
  </si>
  <si>
    <t>0.347/ .4511</t>
  </si>
  <si>
    <t>0.1997/ .3061</t>
  </si>
  <si>
    <t>Blank Slot 50</t>
  </si>
  <si>
    <t>4.408/ 4.901</t>
  </si>
  <si>
    <t>0.0428/ .0363</t>
  </si>
  <si>
    <t>0.156/ .1827</t>
  </si>
  <si>
    <t>16.351/ 21.325</t>
  </si>
  <si>
    <t>0.1308/ .039</t>
  </si>
  <si>
    <t>0.2736/ .0623</t>
  </si>
  <si>
    <t>x=(y-.3024)/3.399</t>
  </si>
  <si>
    <t>Accumulated Together Cl and SO4 Standards</t>
  </si>
  <si>
    <t>Standrad Value</t>
  </si>
  <si>
    <t>Cl Area</t>
  </si>
  <si>
    <t>SO4 Area</t>
  </si>
  <si>
    <t>Area Cl-</t>
  </si>
  <si>
    <t>Area SO42-</t>
  </si>
  <si>
    <t>x=(y+3.3964)/2.9206</t>
  </si>
  <si>
    <t>x=(y+3.2057)/1.9576</t>
  </si>
  <si>
    <t>[Cl-] Diluted</t>
  </si>
  <si>
    <t>Date Set 3</t>
  </si>
  <si>
    <t>Date 30</t>
  </si>
  <si>
    <t>Conversion into mEq</t>
  </si>
  <si>
    <t>Cl mEq/L</t>
  </si>
  <si>
    <t>SO4 mEq/L</t>
  </si>
  <si>
    <t>[Cl] mEq/L</t>
  </si>
  <si>
    <t>3:48-4:20</t>
  </si>
  <si>
    <t>8:47-9:26</t>
  </si>
  <si>
    <t>20 4 22</t>
  </si>
  <si>
    <t>16.201/ 21.078</t>
  </si>
  <si>
    <t>0.1288/ .0349</t>
  </si>
  <si>
    <t>0.2647/ .0572</t>
  </si>
  <si>
    <t>nm?</t>
  </si>
  <si>
    <t>3xcept some of the tail in the 6RT belongs to the fluoride peak</t>
  </si>
  <si>
    <t>4xcept some of 6RT belongs to fluoride tail</t>
  </si>
  <si>
    <t>x=(y-1.1239)/3.2564</t>
  </si>
  <si>
    <t>Set A Avg Difference from A0</t>
  </si>
  <si>
    <t>irrelevent</t>
  </si>
  <si>
    <t>no 20ppm</t>
  </si>
  <si>
    <t>yet</t>
  </si>
  <si>
    <t>Avg Diff</t>
  </si>
  <si>
    <t>Set B Avg Difference from B0</t>
  </si>
  <si>
    <t>Set 6 Avg Difference from 60</t>
  </si>
  <si>
    <t xml:space="preserve">Avg Diff </t>
  </si>
  <si>
    <t>Avg Difference between 30 and DOM loaded</t>
  </si>
  <si>
    <t>Avg Difference between 20 and DOM loaded</t>
  </si>
  <si>
    <t>Avg Difference between 10 and DOM loaded</t>
  </si>
  <si>
    <t>Avg Difference between 40 and low pH loaded</t>
  </si>
  <si>
    <t>Avg Difference between 50 and high pH loaded</t>
  </si>
  <si>
    <t>Set an overall average</t>
  </si>
  <si>
    <t>Comparing Differences between DOM/ No DOM</t>
  </si>
  <si>
    <t>Set 6</t>
  </si>
  <si>
    <t>0 - DOM</t>
  </si>
  <si>
    <t>DOM - 0</t>
  </si>
  <si>
    <t>Time 4&amp;5</t>
  </si>
  <si>
    <t>Column 4 Control</t>
  </si>
  <si>
    <t>Column 5 Control</t>
  </si>
  <si>
    <t>05 05 22</t>
  </si>
  <si>
    <t>05 06 22</t>
  </si>
  <si>
    <t>05 09 22</t>
  </si>
  <si>
    <t>05 10 22</t>
  </si>
  <si>
    <t>05 05 22 BR (4Cntrl-4B)</t>
  </si>
  <si>
    <t>05 09 22 BR (5B-6Cntrl)</t>
  </si>
  <si>
    <t>05 10 22 BR (6A-6C)</t>
  </si>
  <si>
    <t>blended peaks</t>
  </si>
  <si>
    <t>Blended peaks</t>
  </si>
  <si>
    <t>16/097</t>
  </si>
  <si>
    <t>blended peak</t>
  </si>
  <si>
    <t>Also blended peaks</t>
  </si>
  <si>
    <t>05 06 22 BR (40-5A)</t>
  </si>
  <si>
    <t>Blended peak</t>
  </si>
  <si>
    <t>16.131/ 21.004</t>
  </si>
  <si>
    <t>1.0073/ .0323</t>
  </si>
  <si>
    <t>1.9678/ .0526</t>
  </si>
  <si>
    <t>16.108/ 20.958</t>
  </si>
  <si>
    <t>0.7185/ .0403</t>
  </si>
  <si>
    <t>1.5162/ .0648</t>
  </si>
  <si>
    <t>1.5162.594</t>
  </si>
  <si>
    <t>peaks blended for all</t>
  </si>
  <si>
    <t>16.138/ 21.011</t>
  </si>
  <si>
    <t>1.8529/ .0511</t>
  </si>
  <si>
    <t>3.9007/ .0747</t>
  </si>
  <si>
    <t>No sample</t>
  </si>
  <si>
    <t>05 18 22</t>
  </si>
  <si>
    <t>17 5 22</t>
  </si>
  <si>
    <t>9A1</t>
  </si>
  <si>
    <t>9A2</t>
  </si>
  <si>
    <t>9A3</t>
  </si>
  <si>
    <t>10A</t>
  </si>
  <si>
    <t>10B</t>
  </si>
  <si>
    <t>7CONTROL</t>
  </si>
  <si>
    <t>7A</t>
  </si>
  <si>
    <t>7B</t>
  </si>
  <si>
    <t>7C</t>
  </si>
  <si>
    <t>8CONTROL</t>
  </si>
  <si>
    <t>8A</t>
  </si>
  <si>
    <t>8B</t>
  </si>
  <si>
    <t>9D1</t>
  </si>
  <si>
    <t>9D2</t>
  </si>
  <si>
    <t>10 01</t>
  </si>
  <si>
    <t>10 02</t>
  </si>
  <si>
    <t>A peak I can't quite get</t>
  </si>
  <si>
    <t>nope</t>
  </si>
  <si>
    <t>6.155/ 7.215</t>
  </si>
  <si>
    <t>0.5178/ .542</t>
  </si>
  <si>
    <t>2.2075/ .9824</t>
  </si>
  <si>
    <t>6.158/ 7.214</t>
  </si>
  <si>
    <t>1.0651/ .0912</t>
  </si>
  <si>
    <t>2.7308/ .4212</t>
  </si>
  <si>
    <t>6.158/ 7.201</t>
  </si>
  <si>
    <t>0.8222/ .3874</t>
  </si>
  <si>
    <t>3.7263/ .1039</t>
  </si>
  <si>
    <t>6.121/ 7.208</t>
  </si>
  <si>
    <t>0.4342/ .0952</t>
  </si>
  <si>
    <t>2.2266/ .1713</t>
  </si>
  <si>
    <t>6.118/ 7.208</t>
  </si>
  <si>
    <t>0.4636/ .2535</t>
  </si>
  <si>
    <t>2.2439/ .1507</t>
  </si>
  <si>
    <t>6.121/ 7.211</t>
  </si>
  <si>
    <t>0.4171/ .0717</t>
  </si>
  <si>
    <t>1.9888/ .1596</t>
  </si>
  <si>
    <t>5.551/ 6.118</t>
  </si>
  <si>
    <t>0.0157/ .6818</t>
  </si>
  <si>
    <t>0.0814/ 1.8917</t>
  </si>
  <si>
    <t>7.214/ 9.751</t>
  </si>
  <si>
    <t>0.0423/ .9817</t>
  </si>
  <si>
    <t>0.1968/ 3.6422</t>
  </si>
  <si>
    <t>7.215/ 9.755</t>
  </si>
  <si>
    <t>0.0462/ 1.4115</t>
  </si>
  <si>
    <t>0.216/ 5.2644</t>
  </si>
  <si>
    <t>no peaks</t>
  </si>
  <si>
    <t>19 5 22</t>
  </si>
  <si>
    <t>6.264/ 7.258</t>
  </si>
  <si>
    <t>0.9479/ .0739</t>
  </si>
  <si>
    <t>4.0334/ .3514</t>
  </si>
  <si>
    <t>not differentiated</t>
  </si>
  <si>
    <t>no second peak</t>
  </si>
  <si>
    <t>6.161/ 7.238</t>
  </si>
  <si>
    <t>0.5562/ .4377</t>
  </si>
  <si>
    <t>1.8839/ .9927</t>
  </si>
  <si>
    <t>no idea the computer's stupid</t>
  </si>
  <si>
    <t>nopeak</t>
  </si>
  <si>
    <t>2022_05_12_Alexandra</t>
  </si>
  <si>
    <t>Check 5/12/22</t>
  </si>
  <si>
    <t>7cntrl</t>
  </si>
  <si>
    <t>8Cntrl</t>
  </si>
  <si>
    <t>2022_05_30_Alexandra</t>
  </si>
  <si>
    <t>5/30/22 checks</t>
  </si>
  <si>
    <t>30 5 22</t>
  </si>
  <si>
    <t>added</t>
  </si>
  <si>
    <t>close eough</t>
  </si>
  <si>
    <t>no pek</t>
  </si>
  <si>
    <t>no peks</t>
  </si>
  <si>
    <t>no measure?</t>
  </si>
  <si>
    <t>no measure</t>
  </si>
  <si>
    <t>1 6 22</t>
  </si>
  <si>
    <t>May 7 2022</t>
  </si>
  <si>
    <t>2:50-3:22</t>
  </si>
  <si>
    <t>10:48-11:10</t>
  </si>
  <si>
    <t>3:58-4:20</t>
  </si>
  <si>
    <t>9:10-9:30</t>
  </si>
  <si>
    <t>12:41-1:05</t>
  </si>
  <si>
    <t>9:35-10:00</t>
  </si>
  <si>
    <t>3:05-3:30</t>
  </si>
  <si>
    <t>x=(y-1.4747)/3.2493</t>
  </si>
  <si>
    <t>x=(y-.998)/3.4142</t>
  </si>
  <si>
    <t>x=(y-.8355)/3.069</t>
  </si>
  <si>
    <t>x=(y-.8724)/3.4493</t>
  </si>
  <si>
    <t>Set 7 Average</t>
  </si>
  <si>
    <t>Set 8 Average</t>
  </si>
  <si>
    <t>Set 9 All Average</t>
  </si>
  <si>
    <t>Set 9 DOM only Average</t>
  </si>
  <si>
    <t>9 0 Average</t>
  </si>
  <si>
    <t>Acontrol less A0 (modified for all sand)</t>
  </si>
  <si>
    <t>Modified A control % Tank</t>
  </si>
  <si>
    <t>AA less A0</t>
  </si>
  <si>
    <t>Modified AA % Tank</t>
  </si>
  <si>
    <t>AB less A0</t>
  </si>
  <si>
    <t>Modified AB % Tank</t>
  </si>
  <si>
    <t>Modified Set A Average</t>
  </si>
  <si>
    <t>Modified Set A % Tank</t>
  </si>
  <si>
    <t>Difference tank to average effluent</t>
  </si>
  <si>
    <t>Difference Tank to AA Effluent</t>
  </si>
  <si>
    <t>Difference Tank to AB Effluent</t>
  </si>
  <si>
    <t>Difference Tank to Acontrol Effluent</t>
  </si>
  <si>
    <t>Modified B control % Tank</t>
  </si>
  <si>
    <t>Difference Tank to Bcontrol Effluent</t>
  </si>
  <si>
    <t>BA less B0</t>
  </si>
  <si>
    <t>Modified BA % Tank</t>
  </si>
  <si>
    <t>Difference Tank to BA Effluent</t>
  </si>
  <si>
    <t>BB less B0</t>
  </si>
  <si>
    <t>Modified BB % Tank</t>
  </si>
  <si>
    <t>Difference Tank to BB Effluent</t>
  </si>
  <si>
    <t>Modified Set B Average</t>
  </si>
  <si>
    <t>Modified Set B % Tank</t>
  </si>
  <si>
    <t>6control less 60 (modified for all sand)</t>
  </si>
  <si>
    <t>Modified 6 control % Tank</t>
  </si>
  <si>
    <t>Difference Tank to 6control Effluent</t>
  </si>
  <si>
    <t>6A less 60</t>
  </si>
  <si>
    <t>Modified 6A % Tank</t>
  </si>
  <si>
    <t>Difference Tank to 6A Effluent</t>
  </si>
  <si>
    <t>6B less A0</t>
  </si>
  <si>
    <t>Modified 6B % Tank</t>
  </si>
  <si>
    <t>Difference Tank to 6B Effluent</t>
  </si>
  <si>
    <t>Modified Set 6 Average</t>
  </si>
  <si>
    <t>Modified Set 6 % Tank</t>
  </si>
  <si>
    <t>6C less A0</t>
  </si>
  <si>
    <t>Modified 6C % Tank</t>
  </si>
  <si>
    <t>Difference Tank to 6C Effluent</t>
  </si>
  <si>
    <t>Bcontrol less B0 (modified for all sand)</t>
  </si>
  <si>
    <t>Modified 7 control % Tank</t>
  </si>
  <si>
    <t>Difference Tank to 7control Effluent</t>
  </si>
  <si>
    <t>Modified 7A % Tank</t>
  </si>
  <si>
    <t>Difference Tank to 7A Effluent</t>
  </si>
  <si>
    <t>Modified 7B % Tank</t>
  </si>
  <si>
    <t>Difference Tank to 7B Effluent</t>
  </si>
  <si>
    <t>Modified 7C % Tank</t>
  </si>
  <si>
    <t>Difference Tank to 7C Effluent</t>
  </si>
  <si>
    <t>Modified Set 7 Average</t>
  </si>
  <si>
    <t>Modified Set 7 % Tank</t>
  </si>
  <si>
    <t>Modified 8 control % Tank</t>
  </si>
  <si>
    <t>Difference Tank to 8control Effluent</t>
  </si>
  <si>
    <t>Modified 8A % Tank</t>
  </si>
  <si>
    <t>Difference Tank to 8A Effluent</t>
  </si>
  <si>
    <t>Modified 8B % Tank</t>
  </si>
  <si>
    <t>Difference Tank to 8B Effluent</t>
  </si>
  <si>
    <t>Modified Set 8 Average</t>
  </si>
  <si>
    <t>Modified Set 8 % Tank</t>
  </si>
  <si>
    <t>9A1 % Tank</t>
  </si>
  <si>
    <t>Difference Tanks to 9A1 Effluent</t>
  </si>
  <si>
    <t>Set 9 Average % Tank</t>
  </si>
  <si>
    <t>Difference Tank to Set 9</t>
  </si>
  <si>
    <t>9D1 % Tank</t>
  </si>
  <si>
    <t>Difference Tanks to 9D1 Effluent</t>
  </si>
  <si>
    <t>9D2 % Tank</t>
  </si>
  <si>
    <t>Difference Tanks to 9D2 Effluent</t>
  </si>
  <si>
    <t>9A2 % Tank</t>
  </si>
  <si>
    <t>Difference Tanks to 9A2 Effluent</t>
  </si>
  <si>
    <t>9A3 % Tank</t>
  </si>
  <si>
    <t>Difference Tanks to 9A3 Effluent</t>
  </si>
  <si>
    <t>Set 9A Average TOC</t>
  </si>
  <si>
    <t>Set 9D Average TOC</t>
  </si>
  <si>
    <t>Set 9D Average % Tank</t>
  </si>
  <si>
    <t>Difference Tank to Set 9D</t>
  </si>
  <si>
    <t>10A % Tank</t>
  </si>
  <si>
    <t>Difference Tanks to 10A Effluent</t>
  </si>
  <si>
    <t>10B % Tank</t>
  </si>
  <si>
    <t>Difference Tanks to 10B Effluent</t>
  </si>
  <si>
    <t>Set 10 Average TOC</t>
  </si>
  <si>
    <t>Set 10 Average % Tank</t>
  </si>
  <si>
    <t>Difference Tank to Set 10</t>
  </si>
  <si>
    <t>Set 7</t>
  </si>
  <si>
    <t>Set 8</t>
  </si>
  <si>
    <t>Set 9A</t>
  </si>
  <si>
    <t>Set 9D</t>
  </si>
  <si>
    <t>Set 10</t>
  </si>
  <si>
    <t>7Control</t>
  </si>
  <si>
    <t>Tank "3"</t>
  </si>
  <si>
    <t>8Control</t>
  </si>
  <si>
    <t>Tank "2"</t>
  </si>
  <si>
    <t>Tank "1"</t>
  </si>
  <si>
    <t>50L Tank</t>
  </si>
  <si>
    <t>J1</t>
  </si>
  <si>
    <t>Difference in pH Effluent-Influent</t>
  </si>
  <si>
    <t>high Ca</t>
  </si>
  <si>
    <t>Hi Ca</t>
  </si>
  <si>
    <t>no Ca</t>
  </si>
  <si>
    <t>No Ca</t>
  </si>
  <si>
    <t>Ok something in the rock</t>
  </si>
  <si>
    <t>More something in the rock</t>
  </si>
  <si>
    <t>No Ca; a little somehting in the feldspar?</t>
  </si>
  <si>
    <t>[CO32-]</t>
  </si>
  <si>
    <t>(Vp*N)/V</t>
  </si>
  <si>
    <t>[HCO3-]</t>
  </si>
  <si>
    <t>((Vmr-Vp)*N)/V</t>
  </si>
  <si>
    <t>TotAlk</t>
  </si>
  <si>
    <t>[CO32-]+[HCO32-]</t>
  </si>
  <si>
    <t>Vp</t>
  </si>
  <si>
    <t>Vmr</t>
  </si>
  <si>
    <t>V</t>
  </si>
  <si>
    <t>20mL</t>
  </si>
  <si>
    <t>N</t>
  </si>
  <si>
    <t>0.02 mol/L acid</t>
  </si>
  <si>
    <t>So written out in the units we have visitble:</t>
  </si>
  <si>
    <t>((Vphen-Vstart)*N)/V</t>
  </si>
  <si>
    <t>((Vtot-Vphen-Vstart)*N)/V</t>
  </si>
  <si>
    <t>mg/L [HCO3]</t>
  </si>
  <si>
    <t>HCO3</t>
  </si>
  <si>
    <t>CO3</t>
  </si>
  <si>
    <t>mg/L [CO3]</t>
  </si>
  <si>
    <t>and convert mols to mmol to make the conversion to mg</t>
  </si>
  <si>
    <t>Tot Alk-Vp</t>
  </si>
  <si>
    <t>PhenAlk-Start</t>
  </si>
  <si>
    <t>[HCO3-] (mmol/L)</t>
  </si>
  <si>
    <t>[CO32-] mmol/L</t>
  </si>
  <si>
    <t>Average Alkalinity</t>
  </si>
  <si>
    <t>Total Alkalinity mgCO3/L</t>
  </si>
  <si>
    <t>Phen. Alk. mgCO3/L</t>
  </si>
  <si>
    <t>Column Effluent</t>
  </si>
  <si>
    <t>Feed Tank</t>
  </si>
  <si>
    <t>2 Control</t>
  </si>
  <si>
    <t>Differnce Out-In</t>
  </si>
  <si>
    <t>B Control</t>
  </si>
  <si>
    <t>B 0</t>
  </si>
  <si>
    <t>Tot Alk mgCO3/l</t>
  </si>
  <si>
    <t>Phen Alk Difference</t>
  </si>
  <si>
    <t>[HCO3] mg/L</t>
  </si>
  <si>
    <t>[CO3] mg/L</t>
  </si>
  <si>
    <t>Columns Effluent</t>
  </si>
  <si>
    <t>Tank Feed</t>
  </si>
  <si>
    <t>[HCO3]</t>
  </si>
  <si>
    <t>[CO3]</t>
  </si>
  <si>
    <t>Differences (Out-In)</t>
  </si>
  <si>
    <t>The 0 column is adsorbing/ precipitating carbonate</t>
  </si>
  <si>
    <t>Total Averages over all time</t>
  </si>
  <si>
    <t>Split Up Averages</t>
  </si>
  <si>
    <t>Pre DOM</t>
  </si>
  <si>
    <t>5ppm DOM</t>
  </si>
  <si>
    <t>20ppm DOM</t>
  </si>
  <si>
    <t>Control B</t>
  </si>
  <si>
    <t>No DOM</t>
  </si>
  <si>
    <t>The column is keeping some of the carbonate and some of the bicarbonate</t>
  </si>
  <si>
    <t>The column is keeping or converting the carbonate, but is emitting more bicarbonate</t>
  </si>
  <si>
    <t>Difference in mmols</t>
  </si>
  <si>
    <t>the column has lost the same amount of carbonate as it has gained bicarbonate</t>
  </si>
  <si>
    <t>the column is keeping a little of the bicarbonate</t>
  </si>
  <si>
    <t>Change in bicarbonate over time</t>
  </si>
  <si>
    <t>Bcontrol-Tank</t>
  </si>
  <si>
    <t>BA-Tank</t>
  </si>
  <si>
    <t>BB-Tank</t>
  </si>
  <si>
    <t>These columns seem to be converting carbonate to bicarbonate but not otherwise changing much</t>
  </si>
  <si>
    <t>Column is gaining carbonate and losing same amount of bicarbonate</t>
  </si>
  <si>
    <t xml:space="preserve">Columns are releasing more carbonate than is going in </t>
  </si>
  <si>
    <t>Columns are releasing a lot more bicarbonate than is going in</t>
  </si>
  <si>
    <t>Total as CO3</t>
  </si>
  <si>
    <t>2A-Tank</t>
  </si>
  <si>
    <t>2B-Tank</t>
  </si>
  <si>
    <t>2C-Tank</t>
  </si>
  <si>
    <t>Column emitting more carbonate than takes in</t>
  </si>
  <si>
    <t>column retaining carbonate</t>
  </si>
  <si>
    <t>column emitting a lot more carbonate</t>
  </si>
  <si>
    <t>Columns releasing more CO3 and more HCO3 than is going in</t>
  </si>
  <si>
    <t>This looks like buffering</t>
  </si>
  <si>
    <t>this generally looks like buffering is happening, turning bicarbonate into carbonate</t>
  </si>
  <si>
    <t>the carbonate is scaveging the H when CaF2 dissolves, leaving F- free?</t>
  </si>
  <si>
    <t>the column has lost the same amount of carbonate as it has gained bicarbonate; these are probably just buffering pH changes as CaF2 dissolves</t>
  </si>
  <si>
    <t>20-J2</t>
  </si>
  <si>
    <t>TOC Summary</t>
  </si>
  <si>
    <t>Experimental Set</t>
  </si>
  <si>
    <t>% of Tank Measured in Effluent</t>
  </si>
  <si>
    <t>% TOC retained/converted in column</t>
  </si>
  <si>
    <t>Set</t>
  </si>
  <si>
    <t>Time from DOM start to Saturation</t>
  </si>
  <si>
    <t>% of tank retained</t>
  </si>
  <si>
    <t>% of tank passing after saturation</t>
  </si>
  <si>
    <t>Plain Averages</t>
  </si>
  <si>
    <t>Averages taking into account behavior over time</t>
  </si>
  <si>
    <t>solubility CaF2</t>
  </si>
  <si>
    <t>mg/L</t>
  </si>
  <si>
    <t>is saturation</t>
  </si>
  <si>
    <t>Column 10 that one time</t>
  </si>
  <si>
    <t>Differecen in mols</t>
  </si>
  <si>
    <t>This column is gaining more carbonate than bicarbonate but is ultimately gaining both- CaCO3 dissolves and then some of the carbonate becomes bicarbonate</t>
  </si>
  <si>
    <t>With no DOM and only calcium in the pack, column retains bicarbonate- exchanging some F for carbonate?</t>
  </si>
  <si>
    <t>Total Moalr difference</t>
  </si>
  <si>
    <t>BCntrl</t>
  </si>
  <si>
    <t>Ok so CO3 in solution is precipitating with  Ca2+ from the CaF2</t>
  </si>
  <si>
    <t>plain sand lets a lot go</t>
  </si>
  <si>
    <t>more CO3/HCO3 coming out than going in</t>
  </si>
  <si>
    <t>Standard Dev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</si>
</sst>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13">
    <font>
      <sz val="12"/>
      <color theme="1"/>
      <name val="Calibri"/>
      <family val="2"/>
      <scheme val="minor"/>
    </font>
    <font>
      <sz val="8"/>
      <name val="Calibri"/>
      <family val="2"/>
      <scheme val="minor"/>
    </font>
    <font>
      <sz val="12"/>
      <color rgb="FF000000"/>
      <name val="Calibri"/>
      <family val="2"/>
      <scheme val="minor"/>
    </font>
    <font>
      <sz val="12"/>
      <color rgb="FFFF0000"/>
      <name val="Calibri"/>
      <family val="2"/>
      <scheme val="minor"/>
    </font>
    <font>
      <sz val="12"/>
      <color theme="1"/>
      <name val="414"/>
    </font>
    <font>
      <vertAlign val="subscript"/>
      <sz val="12"/>
      <color theme="1"/>
      <name val="Calibri"/>
      <family val="2"/>
      <scheme val="minor"/>
    </font>
    <font>
      <sz val="12"/>
      <color theme="1"/>
      <name val="Calibri (Body)"/>
    </font>
    <font>
      <vertAlign val="superscript"/>
      <sz val="12"/>
      <color theme="1"/>
      <name val="Calibri (Body)"/>
    </font>
    <font>
      <sz val="12"/>
      <color rgb="FF00B050"/>
      <name val="Calibri"/>
      <family val="2"/>
      <scheme val="minor"/>
    </font>
    <font>
      <sz val="12"/>
      <name val="Calibri"/>
      <family val="2"/>
      <scheme val="minor"/>
    </font>
    <font>
      <b/>
      <sz val="12"/>
      <color theme="1"/>
      <name val="Calibri"/>
      <family val="2"/>
      <scheme val="minor"/>
    </font>
    <font>
      <sz val="12"/>
      <color rgb="FF92D050"/>
      <name val="Calibri"/>
      <family val="2"/>
      <scheme val="minor"/>
    </font>
    <font>
      <sz val="12"/>
      <color rgb="FFC00000"/>
      <name val="Calibri"/>
      <family val="2"/>
      <scheme val="minor"/>
    </font>
  </fonts>
  <fills count="59">
    <fill>
      <patternFill patternType="none"/>
    </fill>
    <fill>
      <patternFill patternType="gray125"/>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C00000"/>
        <bgColor indexed="64"/>
      </patternFill>
    </fill>
    <fill>
      <patternFill patternType="solid">
        <fgColor rgb="FFF4ADEF"/>
        <bgColor indexed="64"/>
      </patternFill>
    </fill>
    <fill>
      <patternFill patternType="solid">
        <fgColor theme="9" tint="0.39997558519241921"/>
        <bgColor rgb="FF000000"/>
      </patternFill>
    </fill>
    <fill>
      <patternFill patternType="solid">
        <fgColor theme="9" tint="0.39997558519241921"/>
        <bgColor indexed="64"/>
      </patternFill>
    </fill>
    <fill>
      <patternFill patternType="solid">
        <fgColor rgb="FFFFFF00"/>
        <bgColor indexed="64"/>
      </patternFill>
    </fill>
    <fill>
      <patternFill patternType="solid">
        <fgColor rgb="FFFF40FF"/>
        <bgColor indexed="64"/>
      </patternFill>
    </fill>
    <fill>
      <patternFill patternType="solid">
        <fgColor rgb="FFFF0000"/>
        <bgColor indexed="64"/>
      </patternFill>
    </fill>
    <fill>
      <patternFill patternType="solid">
        <fgColor rgb="FF00B0F0"/>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5" tint="-0.249977111117893"/>
        <bgColor indexed="64"/>
      </patternFill>
    </fill>
    <fill>
      <patternFill patternType="solid">
        <fgColor theme="1"/>
        <bgColor indexed="64"/>
      </patternFill>
    </fill>
    <fill>
      <patternFill patternType="solid">
        <fgColor theme="5"/>
        <bgColor indexed="64"/>
      </patternFill>
    </fill>
    <fill>
      <patternFill patternType="solid">
        <fgColor rgb="FFFFC000"/>
        <bgColor indexed="64"/>
      </patternFill>
    </fill>
    <fill>
      <patternFill patternType="solid">
        <fgColor theme="9"/>
        <bgColor indexed="64"/>
      </patternFill>
    </fill>
    <fill>
      <patternFill patternType="solid">
        <fgColor rgb="FF7030A0"/>
        <bgColor indexed="64"/>
      </patternFill>
    </fill>
    <fill>
      <patternFill patternType="solid">
        <fgColor theme="5" tint="0.79998168889431442"/>
        <bgColor rgb="FF000000"/>
      </patternFill>
    </fill>
    <fill>
      <patternFill patternType="solid">
        <fgColor theme="5" tint="0.59999389629810485"/>
        <bgColor rgb="FF000000"/>
      </patternFill>
    </fill>
    <fill>
      <patternFill patternType="solid">
        <fgColor theme="7" tint="0.59999389629810485"/>
        <bgColor indexed="64"/>
      </patternFill>
    </fill>
    <fill>
      <patternFill patternType="solid">
        <fgColor theme="8" tint="0.79998168889431442"/>
        <bgColor rgb="FF000000"/>
      </patternFill>
    </fill>
    <fill>
      <patternFill patternType="solid">
        <fgColor theme="8" tint="0.59999389629810485"/>
        <bgColor rgb="FF000000"/>
      </patternFill>
    </fill>
    <fill>
      <patternFill patternType="solid">
        <fgColor theme="8" tint="0.39997558519241921"/>
        <bgColor rgb="FF000000"/>
      </patternFill>
    </fill>
    <fill>
      <patternFill patternType="solid">
        <fgColor theme="8" tint="-0.249977111117893"/>
        <bgColor rgb="FF000000"/>
      </patternFill>
    </fill>
    <fill>
      <patternFill patternType="solid">
        <fgColor rgb="FFBDD7EE"/>
        <bgColor rgb="FF000000"/>
      </patternFill>
    </fill>
    <fill>
      <patternFill patternType="solid">
        <fgColor theme="5" tint="0.39997558519241921"/>
        <bgColor rgb="FF000000"/>
      </patternFill>
    </fill>
    <fill>
      <patternFill patternType="solid">
        <fgColor theme="7" tint="0.79998168889431442"/>
        <bgColor rgb="FF000000"/>
      </patternFill>
    </fill>
    <fill>
      <patternFill patternType="solid">
        <fgColor theme="7" tint="0.59999389629810485"/>
        <bgColor rgb="FF000000"/>
      </patternFill>
    </fill>
    <fill>
      <patternFill patternType="solid">
        <fgColor theme="9" tint="0.79998168889431442"/>
        <bgColor rgb="FF000000"/>
      </patternFill>
    </fill>
    <fill>
      <patternFill patternType="solid">
        <fgColor theme="9" tint="0.59999389629810485"/>
        <bgColor rgb="FF000000"/>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0070C0"/>
        <bgColor rgb="FF000000"/>
      </patternFill>
    </fill>
    <fill>
      <patternFill patternType="solid">
        <fgColor theme="5"/>
        <bgColor rgb="FF000000"/>
      </patternFill>
    </fill>
    <fill>
      <patternFill patternType="solid">
        <fgColor theme="7"/>
        <bgColor indexed="64"/>
      </patternFill>
    </fill>
    <fill>
      <patternFill patternType="solid">
        <fgColor theme="2"/>
        <bgColor indexed="64"/>
      </patternFill>
    </fill>
    <fill>
      <patternFill patternType="solid">
        <fgColor theme="8"/>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rgb="FF000000"/>
      </patternFill>
    </fill>
    <fill>
      <patternFill patternType="solid">
        <fgColor theme="3" tint="0.79998168889431442"/>
        <bgColor rgb="FF000000"/>
      </patternFill>
    </fill>
    <fill>
      <patternFill patternType="solid">
        <fgColor theme="3" tint="0.59999389629810485"/>
        <bgColor rgb="FF000000"/>
      </patternFill>
    </fill>
    <fill>
      <patternFill patternType="solid">
        <fgColor theme="3" tint="0.59999389629810485"/>
        <bgColor indexed="64"/>
      </patternFill>
    </fill>
    <fill>
      <patternFill patternType="solid">
        <fgColor rgb="FFE6C0FF"/>
        <bgColor indexed="64"/>
      </patternFill>
    </fill>
    <fill>
      <patternFill patternType="solid">
        <fgColor rgb="FFFFF2CC"/>
        <bgColor rgb="FF000000"/>
      </patternFill>
    </fill>
  </fills>
  <borders count="24">
    <border>
      <left/>
      <right/>
      <top/>
      <bottom/>
      <diagonal/>
    </border>
    <border>
      <left/>
      <right style="thick">
        <color auto="1"/>
      </right>
      <top/>
      <bottom/>
      <diagonal/>
    </border>
    <border>
      <left/>
      <right style="thick">
        <color auto="1"/>
      </right>
      <top/>
      <bottom style="thick">
        <color rgb="FFFF40FF"/>
      </bottom>
      <diagonal/>
    </border>
    <border>
      <left/>
      <right/>
      <top/>
      <bottom style="thick">
        <color rgb="FFFF40FF"/>
      </bottom>
      <diagonal/>
    </border>
    <border>
      <left style="thick">
        <color auto="1"/>
      </left>
      <right/>
      <top/>
      <bottom style="thick">
        <color rgb="FFFF40FF"/>
      </bottom>
      <diagonal/>
    </border>
    <border>
      <left/>
      <right/>
      <top/>
      <bottom style="medium">
        <color rgb="FFFF40FF"/>
      </bottom>
      <diagonal/>
    </border>
    <border>
      <left/>
      <right style="medium">
        <color auto="1"/>
      </right>
      <top/>
      <bottom/>
      <diagonal/>
    </border>
    <border>
      <left style="thick">
        <color auto="1"/>
      </left>
      <right/>
      <top/>
      <bottom/>
      <diagonal/>
    </border>
    <border>
      <left/>
      <right/>
      <top/>
      <bottom style="thick">
        <color theme="9" tint="-0.24994659260841701"/>
      </bottom>
      <diagonal/>
    </border>
    <border>
      <left/>
      <right/>
      <top/>
      <bottom style="thick">
        <color rgb="FF00B050"/>
      </bottom>
      <diagonal/>
    </border>
    <border>
      <left style="thick">
        <color auto="1"/>
      </left>
      <right style="thick">
        <color auto="1"/>
      </right>
      <top/>
      <bottom/>
      <diagonal/>
    </border>
    <border>
      <left/>
      <right/>
      <top style="thick">
        <color auto="1"/>
      </top>
      <bottom/>
      <diagonal/>
    </border>
    <border>
      <left/>
      <right/>
      <top style="thick">
        <color rgb="FF00B050"/>
      </top>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top style="thick">
        <color rgb="FFFF40FF"/>
      </top>
      <bottom/>
      <diagonal/>
    </border>
    <border>
      <left/>
      <right style="thick">
        <color rgb="FF000000"/>
      </right>
      <top/>
      <bottom/>
      <diagonal/>
    </border>
    <border>
      <left style="thick">
        <color rgb="FF000000"/>
      </left>
      <right/>
      <top/>
      <bottom/>
      <diagonal/>
    </border>
    <border>
      <left/>
      <right style="medium">
        <color auto="1"/>
      </right>
      <top/>
      <bottom style="thick">
        <color rgb="FFFF40FF"/>
      </bottom>
      <diagonal/>
    </border>
    <border>
      <left/>
      <right style="medium">
        <color auto="1"/>
      </right>
      <top/>
      <bottom style="thick">
        <color rgb="FF00B050"/>
      </bottom>
      <diagonal/>
    </border>
    <border>
      <left/>
      <right style="thick">
        <color auto="1"/>
      </right>
      <top/>
      <bottom style="thick">
        <color rgb="FF00B050"/>
      </bottom>
      <diagonal/>
    </border>
  </borders>
  <cellStyleXfs count="1">
    <xf numFmtId="0" fontId="0" fillId="0" borderId="0"/>
  </cellStyleXfs>
  <cellXfs count="783">
    <xf numFmtId="0" fontId="0" fillId="0" borderId="0" xfId="0"/>
    <xf numFmtId="0" fontId="0" fillId="3" borderId="0" xfId="0" applyFill="1"/>
    <xf numFmtId="0" fontId="0" fillId="4" borderId="0" xfId="0" applyFill="1"/>
    <xf numFmtId="0" fontId="0" fillId="5" borderId="0" xfId="0" applyFill="1"/>
    <xf numFmtId="0" fontId="0" fillId="6" borderId="0" xfId="0" applyFill="1"/>
    <xf numFmtId="0" fontId="0" fillId="2" borderId="0" xfId="0" applyFill="1" applyAlignment="1">
      <alignment horizontal="center" wrapText="1"/>
    </xf>
    <xf numFmtId="0" fontId="0" fillId="3" borderId="0" xfId="0" applyFill="1" applyAlignment="1">
      <alignment horizontal="center" wrapText="1"/>
    </xf>
    <xf numFmtId="0" fontId="0" fillId="6" borderId="0" xfId="0" applyFill="1" applyAlignment="1">
      <alignment horizontal="center" wrapText="1"/>
    </xf>
    <xf numFmtId="0" fontId="0" fillId="0" borderId="0" xfId="0" applyFill="1" applyAlignment="1">
      <alignment horizontal="center" wrapText="1"/>
    </xf>
    <xf numFmtId="0" fontId="0" fillId="0" borderId="0" xfId="0" applyFill="1"/>
    <xf numFmtId="0" fontId="0" fillId="0" borderId="0" xfId="0" applyAlignment="1">
      <alignment horizontal="center" wrapText="1"/>
    </xf>
    <xf numFmtId="0" fontId="0" fillId="0" borderId="0" xfId="0" applyAlignment="1">
      <alignment wrapText="1"/>
    </xf>
    <xf numFmtId="2" fontId="0" fillId="0" borderId="0" xfId="0" applyNumberFormat="1"/>
    <xf numFmtId="2" fontId="0" fillId="0" borderId="0" xfId="0" applyNumberFormat="1" applyAlignment="1">
      <alignment wrapText="1"/>
    </xf>
    <xf numFmtId="14" fontId="0" fillId="0" borderId="0" xfId="0" applyNumberFormat="1"/>
    <xf numFmtId="0" fontId="0" fillId="6" borderId="0" xfId="0" applyFill="1" applyAlignment="1">
      <alignment horizontal="center" wrapText="1"/>
    </xf>
    <xf numFmtId="2" fontId="0" fillId="4" borderId="0" xfId="0" applyNumberFormat="1" applyFill="1" applyAlignment="1">
      <alignment horizontal="center" wrapText="1"/>
    </xf>
    <xf numFmtId="2" fontId="0" fillId="2" borderId="0" xfId="0" applyNumberFormat="1" applyFill="1" applyAlignment="1">
      <alignment horizontal="center" wrapText="1"/>
    </xf>
    <xf numFmtId="2" fontId="0" fillId="5" borderId="0" xfId="0" applyNumberFormat="1" applyFill="1" applyAlignment="1">
      <alignment horizontal="center" wrapText="1"/>
    </xf>
    <xf numFmtId="2" fontId="0" fillId="3" borderId="0" xfId="0" applyNumberFormat="1"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2" fontId="0" fillId="6" borderId="0" xfId="0" applyNumberFormat="1"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0" fontId="0" fillId="0" borderId="0" xfId="0" applyFill="1" applyAlignment="1">
      <alignment horizontal="center" wrapText="1"/>
    </xf>
    <xf numFmtId="2" fontId="0" fillId="7" borderId="0" xfId="0" applyNumberFormat="1"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20" fontId="0" fillId="0" borderId="0" xfId="0" applyNumberFormat="1"/>
    <xf numFmtId="0" fontId="0" fillId="0" borderId="1" xfId="0" applyBorder="1"/>
    <xf numFmtId="0" fontId="0" fillId="0" borderId="0" xfId="0" applyFill="1" applyBorder="1"/>
    <xf numFmtId="0" fontId="0" fillId="0" borderId="0" xfId="0" applyBorder="1"/>
    <xf numFmtId="0" fontId="0" fillId="0" borderId="1" xfId="0" applyFill="1" applyBorder="1"/>
    <xf numFmtId="16" fontId="0" fillId="0" borderId="0" xfId="0" applyNumberFormat="1"/>
    <xf numFmtId="0" fontId="2" fillId="0" borderId="0" xfId="0" applyFont="1" applyAlignment="1">
      <alignment wrapText="1"/>
    </xf>
    <xf numFmtId="14" fontId="0" fillId="0" borderId="0" xfId="0" applyNumberFormat="1" applyBorder="1"/>
    <xf numFmtId="2" fontId="0" fillId="2" borderId="0" xfId="0" applyNumberFormat="1" applyFill="1" applyBorder="1" applyAlignment="1">
      <alignment horizontal="center" wrapText="1"/>
    </xf>
    <xf numFmtId="0" fontId="0" fillId="0" borderId="3" xfId="0" applyBorder="1"/>
    <xf numFmtId="0" fontId="0" fillId="0" borderId="3" xfId="0" applyFill="1" applyBorder="1"/>
    <xf numFmtId="0" fontId="0" fillId="0" borderId="2" xfId="0" applyFill="1" applyBorder="1"/>
    <xf numFmtId="0" fontId="0" fillId="0" borderId="0" xfId="0" applyAlignment="1">
      <alignment wrapText="1"/>
    </xf>
    <xf numFmtId="0" fontId="0" fillId="0" borderId="0" xfId="0" applyAlignment="1">
      <alignment horizontal="center"/>
    </xf>
    <xf numFmtId="2" fontId="0" fillId="5" borderId="0" xfId="0" applyNumberFormat="1" applyFill="1" applyAlignment="1">
      <alignment horizontal="center"/>
    </xf>
    <xf numFmtId="2" fontId="0" fillId="5" borderId="0" xfId="0" applyNumberFormat="1" applyFill="1"/>
    <xf numFmtId="2" fontId="0" fillId="4" borderId="0" xfId="0" applyNumberFormat="1" applyFill="1" applyAlignment="1">
      <alignment horizontal="center"/>
    </xf>
    <xf numFmtId="2" fontId="0" fillId="4" borderId="0" xfId="0" applyNumberFormat="1" applyFill="1"/>
    <xf numFmtId="2" fontId="0" fillId="3" borderId="0" xfId="0" applyNumberFormat="1" applyFill="1" applyAlignment="1">
      <alignment horizontal="center"/>
    </xf>
    <xf numFmtId="2" fontId="0" fillId="3" borderId="0" xfId="0" applyNumberFormat="1" applyFill="1"/>
    <xf numFmtId="2" fontId="0" fillId="6" borderId="0" xfId="0" applyNumberFormat="1" applyFill="1" applyAlignment="1">
      <alignment horizontal="center"/>
    </xf>
    <xf numFmtId="2" fontId="0" fillId="6" borderId="0" xfId="0" applyNumberFormat="1" applyFill="1"/>
    <xf numFmtId="0" fontId="0" fillId="0" borderId="5" xfId="0" applyBorder="1"/>
    <xf numFmtId="14" fontId="0" fillId="0" borderId="5" xfId="0" applyNumberFormat="1" applyBorder="1"/>
    <xf numFmtId="2" fontId="0" fillId="0" borderId="5" xfId="0" applyNumberFormat="1" applyBorder="1"/>
    <xf numFmtId="0" fontId="0" fillId="6" borderId="5" xfId="0" applyFill="1" applyBorder="1" applyAlignment="1">
      <alignment horizontal="center"/>
    </xf>
    <xf numFmtId="2" fontId="0" fillId="6" borderId="5" xfId="0" applyNumberFormat="1" applyFill="1" applyBorder="1" applyAlignment="1">
      <alignment horizontal="center" wrapText="1"/>
    </xf>
    <xf numFmtId="0" fontId="0" fillId="3" borderId="5" xfId="0" applyFill="1" applyBorder="1" applyAlignment="1">
      <alignment horizontal="center"/>
    </xf>
    <xf numFmtId="2" fontId="0" fillId="3" borderId="5" xfId="0" applyNumberFormat="1" applyFill="1" applyBorder="1" applyAlignment="1">
      <alignment horizontal="center" wrapText="1"/>
    </xf>
    <xf numFmtId="0" fontId="0" fillId="4" borderId="5" xfId="0" applyFill="1" applyBorder="1" applyAlignment="1">
      <alignment horizontal="center"/>
    </xf>
    <xf numFmtId="2" fontId="0" fillId="4" borderId="5" xfId="0" applyNumberFormat="1" applyFill="1" applyBorder="1" applyAlignment="1">
      <alignment horizontal="center" wrapText="1"/>
    </xf>
    <xf numFmtId="0" fontId="0" fillId="5" borderId="5" xfId="0" applyFill="1" applyBorder="1" applyAlignment="1">
      <alignment horizontal="center"/>
    </xf>
    <xf numFmtId="2" fontId="0" fillId="5" borderId="5" xfId="0" applyNumberFormat="1" applyFill="1" applyBorder="1" applyAlignment="1">
      <alignment horizontal="center" wrapText="1"/>
    </xf>
    <xf numFmtId="2" fontId="0" fillId="0" borderId="0" xfId="0" applyNumberFormat="1" applyAlignment="1">
      <alignment horizontal="center"/>
    </xf>
    <xf numFmtId="0" fontId="0" fillId="0" borderId="6" xfId="0" applyBorder="1"/>
    <xf numFmtId="164" fontId="0" fillId="0" borderId="0" xfId="0" applyNumberFormat="1"/>
    <xf numFmtId="2" fontId="0" fillId="0" borderId="0" xfId="0" applyNumberFormat="1" applyBorder="1"/>
    <xf numFmtId="0" fontId="0" fillId="0" borderId="0" xfId="0" applyAlignment="1">
      <alignment wrapText="1"/>
    </xf>
    <xf numFmtId="0" fontId="0" fillId="0" borderId="0" xfId="0" applyAlignment="1">
      <alignment horizontal="center"/>
    </xf>
    <xf numFmtId="2" fontId="0" fillId="8" borderId="0" xfId="0" applyNumberFormat="1" applyFill="1" applyAlignment="1">
      <alignment horizontal="center" wrapText="1"/>
    </xf>
    <xf numFmtId="0" fontId="0" fillId="8" borderId="0" xfId="0" applyFill="1"/>
    <xf numFmtId="2" fontId="2" fillId="9" borderId="0" xfId="0" applyNumberFormat="1" applyFont="1" applyFill="1" applyAlignment="1">
      <alignment horizontal="center" wrapText="1"/>
    </xf>
    <xf numFmtId="0" fontId="0" fillId="10" borderId="0" xfId="0" applyFill="1"/>
    <xf numFmtId="0" fontId="0" fillId="0" borderId="6" xfId="0" applyFill="1" applyBorder="1"/>
    <xf numFmtId="2" fontId="0" fillId="0" borderId="6" xfId="0" applyNumberFormat="1" applyBorder="1"/>
    <xf numFmtId="1" fontId="0" fillId="0" borderId="0" xfId="0" applyNumberFormat="1"/>
    <xf numFmtId="0" fontId="0" fillId="0" borderId="6" xfId="0" applyBorder="1" applyAlignment="1">
      <alignment horizontal="center"/>
    </xf>
    <xf numFmtId="0" fontId="0" fillId="2" borderId="0" xfId="0"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0" fontId="0" fillId="6" borderId="0" xfId="0" applyFill="1" applyAlignment="1">
      <alignment horizontal="center" wrapText="1"/>
    </xf>
    <xf numFmtId="0" fontId="0" fillId="8" borderId="0" xfId="0" applyFill="1" applyAlignment="1">
      <alignment horizontal="center" wrapText="1"/>
    </xf>
    <xf numFmtId="0" fontId="2" fillId="9" borderId="0" xfId="0" applyFont="1" applyFill="1" applyAlignment="1">
      <alignment horizontal="center" wrapText="1"/>
    </xf>
    <xf numFmtId="0" fontId="0" fillId="2" borderId="0" xfId="0" applyFill="1" applyBorder="1"/>
    <xf numFmtId="0" fontId="0" fillId="2" borderId="1" xfId="0" applyFill="1" applyBorder="1"/>
    <xf numFmtId="0" fontId="0" fillId="2" borderId="3" xfId="0" applyFill="1" applyBorder="1"/>
    <xf numFmtId="0" fontId="0" fillId="2" borderId="2" xfId="0" applyFill="1" applyBorder="1"/>
    <xf numFmtId="2" fontId="0" fillId="2" borderId="0" xfId="0" applyNumberFormat="1" applyFill="1" applyBorder="1"/>
    <xf numFmtId="0" fontId="0" fillId="3" borderId="0" xfId="0" applyFill="1" applyBorder="1"/>
    <xf numFmtId="0" fontId="0" fillId="3" borderId="1" xfId="0" applyFill="1" applyBorder="1"/>
    <xf numFmtId="0" fontId="0" fillId="3" borderId="3" xfId="0" applyFill="1" applyBorder="1"/>
    <xf numFmtId="0" fontId="0" fillId="3" borderId="2" xfId="0" applyFill="1" applyBorder="1"/>
    <xf numFmtId="0" fontId="0" fillId="4" borderId="0" xfId="0" applyFill="1" applyBorder="1"/>
    <xf numFmtId="0" fontId="0" fillId="4" borderId="1" xfId="0" applyFill="1" applyBorder="1"/>
    <xf numFmtId="0" fontId="0" fillId="4" borderId="3" xfId="0" applyFill="1" applyBorder="1"/>
    <xf numFmtId="0" fontId="0" fillId="4" borderId="2" xfId="0" applyFill="1" applyBorder="1"/>
    <xf numFmtId="0" fontId="0" fillId="5" borderId="0" xfId="0" applyFill="1" applyBorder="1"/>
    <xf numFmtId="0" fontId="0" fillId="5" borderId="1" xfId="0" applyFill="1" applyBorder="1"/>
    <xf numFmtId="0" fontId="0" fillId="5" borderId="3" xfId="0" applyFill="1" applyBorder="1"/>
    <xf numFmtId="0" fontId="0" fillId="5" borderId="2" xfId="0" applyFill="1" applyBorder="1"/>
    <xf numFmtId="0" fontId="0" fillId="6" borderId="0" xfId="0" applyFill="1" applyBorder="1"/>
    <xf numFmtId="0" fontId="0" fillId="6" borderId="1" xfId="0" applyFill="1" applyBorder="1"/>
    <xf numFmtId="0" fontId="0" fillId="6" borderId="3" xfId="0" applyFill="1" applyBorder="1"/>
    <xf numFmtId="0" fontId="0" fillId="6" borderId="2" xfId="0" applyFill="1" applyBorder="1"/>
    <xf numFmtId="0" fontId="0" fillId="6" borderId="4" xfId="0" applyFill="1" applyBorder="1"/>
    <xf numFmtId="0" fontId="0" fillId="8" borderId="7" xfId="0" applyFill="1" applyBorder="1"/>
    <xf numFmtId="0" fontId="0" fillId="8" borderId="0" xfId="0" applyFill="1" applyBorder="1"/>
    <xf numFmtId="0" fontId="0" fillId="8" borderId="1" xfId="0" applyFill="1" applyBorder="1"/>
    <xf numFmtId="0" fontId="2" fillId="6" borderId="0" xfId="0" applyFont="1" applyFill="1" applyBorder="1"/>
    <xf numFmtId="0" fontId="2" fillId="6" borderId="1" xfId="0" applyFont="1" applyFill="1" applyBorder="1"/>
    <xf numFmtId="0" fontId="2" fillId="3" borderId="0" xfId="0" applyFont="1" applyFill="1" applyBorder="1"/>
    <xf numFmtId="0" fontId="2" fillId="3" borderId="1" xfId="0" applyFont="1" applyFill="1" applyBorder="1"/>
    <xf numFmtId="0" fontId="2" fillId="4" borderId="0" xfId="0" applyFont="1" applyFill="1" applyBorder="1"/>
    <xf numFmtId="0" fontId="2" fillId="4" borderId="1" xfId="0" applyFont="1" applyFill="1" applyBorder="1"/>
    <xf numFmtId="0" fontId="2" fillId="5" borderId="0" xfId="0" applyFont="1" applyFill="1" applyBorder="1"/>
    <xf numFmtId="0" fontId="2" fillId="5" borderId="1" xfId="0" applyFont="1" applyFill="1" applyBorder="1"/>
    <xf numFmtId="0" fontId="0" fillId="10" borderId="7" xfId="0" applyFill="1" applyBorder="1"/>
    <xf numFmtId="0" fontId="0" fillId="10" borderId="0" xfId="0" applyFill="1" applyBorder="1"/>
    <xf numFmtId="0" fontId="0" fillId="10" borderId="1" xfId="0" applyFill="1" applyBorder="1"/>
    <xf numFmtId="0" fontId="2" fillId="10" borderId="7" xfId="0" applyFont="1" applyFill="1" applyBorder="1"/>
    <xf numFmtId="0" fontId="2" fillId="10" borderId="0" xfId="0" applyFont="1" applyFill="1" applyBorder="1"/>
    <xf numFmtId="0" fontId="2" fillId="10" borderId="1" xfId="0" applyFont="1" applyFill="1" applyBorder="1"/>
    <xf numFmtId="0" fontId="0" fillId="2" borderId="0" xfId="0" applyFill="1" applyAlignment="1">
      <alignment horizontal="center"/>
    </xf>
    <xf numFmtId="2" fontId="0" fillId="2" borderId="0" xfId="0" applyNumberFormat="1" applyFill="1"/>
    <xf numFmtId="0" fontId="0" fillId="2" borderId="0" xfId="0" applyFill="1"/>
    <xf numFmtId="0" fontId="0" fillId="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2" fontId="0" fillId="8" borderId="0" xfId="0" applyNumberFormat="1" applyFill="1"/>
    <xf numFmtId="0" fontId="0" fillId="6" borderId="6" xfId="0" applyFill="1" applyBorder="1"/>
    <xf numFmtId="0" fontId="0" fillId="3" borderId="6" xfId="0" applyFill="1" applyBorder="1"/>
    <xf numFmtId="0" fontId="0" fillId="4" borderId="6" xfId="0" applyFill="1" applyBorder="1"/>
    <xf numFmtId="0" fontId="0" fillId="5" borderId="6" xfId="0" applyFill="1" applyBorder="1"/>
    <xf numFmtId="0" fontId="0" fillId="8" borderId="6" xfId="0" applyFill="1" applyBorder="1"/>
    <xf numFmtId="2" fontId="0" fillId="10" borderId="0" xfId="0" applyNumberFormat="1" applyFill="1"/>
    <xf numFmtId="0" fontId="0" fillId="6" borderId="0" xfId="0" applyFill="1" applyAlignment="1">
      <alignment wrapText="1"/>
    </xf>
    <xf numFmtId="0" fontId="0" fillId="3" borderId="0" xfId="0" applyFill="1" applyAlignment="1">
      <alignment wrapText="1"/>
    </xf>
    <xf numFmtId="0" fontId="0" fillId="4" borderId="0" xfId="0" applyFill="1" applyAlignment="1">
      <alignment wrapText="1"/>
    </xf>
    <xf numFmtId="0" fontId="2" fillId="5" borderId="0" xfId="0" applyFont="1" applyFill="1" applyAlignment="1">
      <alignment wrapText="1"/>
    </xf>
    <xf numFmtId="0" fontId="2" fillId="8" borderId="0" xfId="0" applyFont="1" applyFill="1" applyAlignment="1">
      <alignment wrapText="1"/>
    </xf>
    <xf numFmtId="0" fontId="2" fillId="6" borderId="0" xfId="0" applyFont="1" applyFill="1"/>
    <xf numFmtId="0" fontId="2" fillId="3" borderId="0" xfId="0" applyFont="1" applyFill="1"/>
    <xf numFmtId="0" fontId="2" fillId="4" borderId="0" xfId="0" applyFont="1" applyFill="1"/>
    <xf numFmtId="0" fontId="2" fillId="5" borderId="0" xfId="0" applyFont="1" applyFill="1"/>
    <xf numFmtId="2" fontId="0" fillId="10" borderId="0" xfId="0" applyNumberFormat="1" applyFill="1" applyAlignment="1">
      <alignment horizontal="center" wrapText="1"/>
    </xf>
    <xf numFmtId="0" fontId="0" fillId="10" borderId="0" xfId="0" applyFill="1" applyAlignment="1">
      <alignment horizontal="center" wrapText="1"/>
    </xf>
    <xf numFmtId="0" fontId="0" fillId="2" borderId="0" xfId="0" applyFill="1" applyAlignment="1">
      <alignment horizontal="center" wrapText="1"/>
    </xf>
    <xf numFmtId="0" fontId="0" fillId="11" borderId="0" xfId="0" applyFill="1" applyAlignment="1">
      <alignment horizontal="center" wrapText="1"/>
    </xf>
    <xf numFmtId="0" fontId="0" fillId="0" borderId="0" xfId="0" applyFill="1" applyBorder="1" applyAlignment="1">
      <alignment horizontal="center"/>
    </xf>
    <xf numFmtId="14" fontId="0" fillId="0" borderId="3" xfId="0" applyNumberFormat="1" applyBorder="1"/>
    <xf numFmtId="2" fontId="0" fillId="0" borderId="3" xfId="0" applyNumberFormat="1" applyBorder="1"/>
    <xf numFmtId="0" fontId="0" fillId="2" borderId="3" xfId="0" applyFill="1" applyBorder="1" applyAlignment="1">
      <alignment horizontal="center"/>
    </xf>
    <xf numFmtId="2" fontId="0" fillId="2" borderId="3" xfId="0" applyNumberFormat="1" applyFill="1" applyBorder="1" applyAlignment="1">
      <alignment horizontal="center" wrapText="1"/>
    </xf>
    <xf numFmtId="0" fontId="0" fillId="3" borderId="3" xfId="0" applyFill="1" applyBorder="1" applyAlignment="1">
      <alignment horizontal="center"/>
    </xf>
    <xf numFmtId="2" fontId="0" fillId="3" borderId="3" xfId="0" applyNumberFormat="1" applyFill="1" applyBorder="1" applyAlignment="1">
      <alignment horizontal="center" wrapText="1"/>
    </xf>
    <xf numFmtId="0" fontId="0" fillId="4" borderId="3" xfId="0" applyFill="1" applyBorder="1" applyAlignment="1">
      <alignment horizontal="center"/>
    </xf>
    <xf numFmtId="2" fontId="0" fillId="4" borderId="3" xfId="0" applyNumberFormat="1" applyFill="1" applyBorder="1" applyAlignment="1">
      <alignment horizontal="center" wrapText="1"/>
    </xf>
    <xf numFmtId="0" fontId="0" fillId="5" borderId="3" xfId="0" applyFill="1" applyBorder="1" applyAlignment="1">
      <alignment horizontal="center"/>
    </xf>
    <xf numFmtId="2" fontId="0" fillId="5" borderId="3" xfId="0" applyNumberFormat="1" applyFill="1" applyBorder="1" applyAlignment="1">
      <alignment horizontal="center" wrapText="1"/>
    </xf>
    <xf numFmtId="0" fontId="0" fillId="6" borderId="3" xfId="0" applyFill="1" applyBorder="1" applyAlignment="1">
      <alignment horizontal="center"/>
    </xf>
    <xf numFmtId="2" fontId="0" fillId="6" borderId="3" xfId="0" applyNumberFormat="1" applyFill="1" applyBorder="1" applyAlignment="1">
      <alignment horizontal="center" wrapText="1"/>
    </xf>
    <xf numFmtId="16" fontId="0" fillId="0" borderId="3" xfId="0" applyNumberFormat="1" applyBorder="1"/>
    <xf numFmtId="20" fontId="0" fillId="0" borderId="3" xfId="0" applyNumberFormat="1" applyBorder="1"/>
    <xf numFmtId="0" fontId="0" fillId="6" borderId="3" xfId="0" applyFill="1" applyBorder="1" applyAlignment="1">
      <alignment horizontal="center" wrapText="1"/>
    </xf>
    <xf numFmtId="0" fontId="0" fillId="3" borderId="3" xfId="0" applyFill="1" applyBorder="1" applyAlignment="1">
      <alignment horizontal="center" wrapText="1"/>
    </xf>
    <xf numFmtId="0" fontId="0" fillId="4" borderId="3" xfId="0" applyFill="1" applyBorder="1" applyAlignment="1">
      <alignment horizontal="center" wrapText="1"/>
    </xf>
    <xf numFmtId="0" fontId="0" fillId="5" borderId="3" xfId="0" applyFill="1" applyBorder="1" applyAlignment="1">
      <alignment horizontal="center" wrapText="1"/>
    </xf>
    <xf numFmtId="0" fontId="0" fillId="0" borderId="8" xfId="0" applyBorder="1"/>
    <xf numFmtId="14" fontId="0" fillId="0" borderId="8" xfId="0" applyNumberFormat="1" applyBorder="1"/>
    <xf numFmtId="2" fontId="0" fillId="0" borderId="8" xfId="0" applyNumberFormat="1" applyBorder="1"/>
    <xf numFmtId="0" fontId="0" fillId="6" borderId="8" xfId="0" applyFill="1" applyBorder="1"/>
    <xf numFmtId="0" fontId="0" fillId="6" borderId="8" xfId="0" applyFill="1" applyBorder="1" applyAlignment="1">
      <alignment horizontal="center" wrapText="1"/>
    </xf>
    <xf numFmtId="2" fontId="0" fillId="6" borderId="8" xfId="0" applyNumberFormat="1" applyFill="1" applyBorder="1" applyAlignment="1">
      <alignment horizontal="center" wrapText="1"/>
    </xf>
    <xf numFmtId="0" fontId="0" fillId="3" borderId="8" xfId="0" applyFill="1" applyBorder="1"/>
    <xf numFmtId="0" fontId="0" fillId="3" borderId="8" xfId="0" applyFill="1" applyBorder="1" applyAlignment="1">
      <alignment horizontal="center" wrapText="1"/>
    </xf>
    <xf numFmtId="2" fontId="0" fillId="3" borderId="8" xfId="0" applyNumberFormat="1" applyFill="1" applyBorder="1" applyAlignment="1">
      <alignment horizontal="center" wrapText="1"/>
    </xf>
    <xf numFmtId="0" fontId="0" fillId="4" borderId="8" xfId="0" applyFill="1" applyBorder="1"/>
    <xf numFmtId="0" fontId="0" fillId="4" borderId="8" xfId="0" applyFill="1" applyBorder="1" applyAlignment="1">
      <alignment horizontal="center" wrapText="1"/>
    </xf>
    <xf numFmtId="2" fontId="0" fillId="4" borderId="8" xfId="0" applyNumberFormat="1" applyFill="1" applyBorder="1" applyAlignment="1">
      <alignment horizontal="center" wrapText="1"/>
    </xf>
    <xf numFmtId="0" fontId="0" fillId="5" borderId="8" xfId="0" applyFill="1" applyBorder="1"/>
    <xf numFmtId="0" fontId="0" fillId="5" borderId="8" xfId="0" applyFill="1" applyBorder="1" applyAlignment="1">
      <alignment horizontal="center" wrapText="1"/>
    </xf>
    <xf numFmtId="2" fontId="0" fillId="5" borderId="8" xfId="0" applyNumberFormat="1" applyFill="1" applyBorder="1" applyAlignment="1">
      <alignment horizontal="center" wrapText="1"/>
    </xf>
    <xf numFmtId="16" fontId="0" fillId="0" borderId="8" xfId="0" applyNumberFormat="1" applyBorder="1"/>
    <xf numFmtId="20" fontId="0" fillId="0" borderId="8" xfId="0" applyNumberFormat="1" applyBorder="1"/>
    <xf numFmtId="0" fontId="0" fillId="2" borderId="8" xfId="0" applyFill="1" applyBorder="1"/>
    <xf numFmtId="0" fontId="0" fillId="2" borderId="8" xfId="0" applyFill="1" applyBorder="1" applyAlignment="1">
      <alignment horizontal="center" wrapText="1"/>
    </xf>
    <xf numFmtId="2" fontId="0" fillId="2" borderId="8" xfId="0" applyNumberFormat="1" applyFill="1" applyBorder="1" applyAlignment="1">
      <alignment horizontal="center" wrapText="1"/>
    </xf>
    <xf numFmtId="2" fontId="0" fillId="0" borderId="9" xfId="0" applyNumberFormat="1" applyBorder="1"/>
    <xf numFmtId="0" fontId="0" fillId="2" borderId="0" xfId="0" applyFill="1" applyAlignment="1">
      <alignment horizontal="center" wrapText="1"/>
    </xf>
    <xf numFmtId="0" fontId="0" fillId="3" borderId="0" xfId="0" applyFill="1" applyAlignment="1">
      <alignment horizontal="center" wrapText="1"/>
    </xf>
    <xf numFmtId="0" fontId="0" fillId="11" borderId="0" xfId="0" applyFill="1"/>
    <xf numFmtId="0" fontId="3" fillId="0" borderId="0" xfId="0" applyFont="1"/>
    <xf numFmtId="2" fontId="0" fillId="11" borderId="0" xfId="0" applyNumberFormat="1"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0" fontId="0" fillId="6" borderId="0" xfId="0" applyFill="1" applyAlignment="1">
      <alignment horizontal="center" wrapText="1"/>
    </xf>
    <xf numFmtId="0" fontId="0" fillId="6" borderId="7" xfId="0" applyFill="1" applyBorder="1" applyAlignment="1">
      <alignment horizontal="center" wrapText="1"/>
    </xf>
    <xf numFmtId="0" fontId="0" fillId="0" borderId="7" xfId="0" applyBorder="1"/>
    <xf numFmtId="0" fontId="0" fillId="6" borderId="0" xfId="0" applyFill="1" applyBorder="1" applyAlignment="1">
      <alignment horizontal="center" wrapText="1"/>
    </xf>
    <xf numFmtId="0" fontId="0" fillId="0" borderId="0" xfId="0" applyAlignment="1">
      <alignment wrapText="1"/>
    </xf>
    <xf numFmtId="16" fontId="0" fillId="11" borderId="0" xfId="0" applyNumberFormat="1" applyFill="1"/>
    <xf numFmtId="14" fontId="0" fillId="11" borderId="0" xfId="0" applyNumberFormat="1" applyFill="1"/>
    <xf numFmtId="14" fontId="3" fillId="0" borderId="0" xfId="0" applyNumberFormat="1" applyFont="1"/>
    <xf numFmtId="2" fontId="0" fillId="0" borderId="0" xfId="0" applyNumberFormat="1" applyAlignment="1">
      <alignment horizontal="center" wrapText="1"/>
    </xf>
    <xf numFmtId="2" fontId="0" fillId="8" borderId="0" xfId="0" applyNumberFormat="1" applyFill="1" applyAlignment="1">
      <alignment wrapText="1"/>
    </xf>
    <xf numFmtId="2" fontId="0" fillId="2" borderId="0" xfId="0" applyNumberFormat="1" applyFill="1" applyAlignment="1">
      <alignment wrapText="1"/>
    </xf>
    <xf numFmtId="2" fontId="0" fillId="6" borderId="0" xfId="0" applyNumberFormat="1" applyFill="1" applyAlignment="1"/>
    <xf numFmtId="2" fontId="0" fillId="8" borderId="0" xfId="0" applyNumberFormat="1" applyFill="1" applyAlignment="1"/>
    <xf numFmtId="0" fontId="5" fillId="0" borderId="0" xfId="0" applyFont="1"/>
    <xf numFmtId="0" fontId="0" fillId="0" borderId="0" xfId="0" applyAlignment="1">
      <alignment wrapText="1"/>
    </xf>
    <xf numFmtId="0" fontId="0" fillId="13" borderId="0" xfId="0" applyFill="1" applyAlignment="1">
      <alignment horizontal="center" wrapText="1"/>
    </xf>
    <xf numFmtId="2" fontId="3" fillId="6" borderId="0" xfId="0" applyNumberFormat="1" applyFont="1" applyFill="1" applyAlignment="1">
      <alignment horizontal="center" wrapText="1"/>
    </xf>
    <xf numFmtId="0" fontId="3" fillId="6" borderId="0" xfId="0" applyFont="1" applyFill="1" applyAlignment="1">
      <alignment horizontal="center"/>
    </xf>
    <xf numFmtId="0" fontId="3" fillId="3" borderId="0" xfId="0" applyFont="1" applyFill="1" applyAlignment="1">
      <alignment horizontal="center"/>
    </xf>
    <xf numFmtId="2" fontId="3" fillId="3" borderId="0" xfId="0" applyNumberFormat="1" applyFont="1" applyFill="1" applyAlignment="1">
      <alignment horizontal="center" wrapText="1"/>
    </xf>
    <xf numFmtId="0" fontId="3" fillId="4" borderId="0" xfId="0" applyFont="1" applyFill="1" applyAlignment="1">
      <alignment horizontal="center"/>
    </xf>
    <xf numFmtId="2" fontId="3" fillId="4" borderId="0" xfId="0" applyNumberFormat="1" applyFont="1" applyFill="1" applyAlignment="1">
      <alignment horizontal="center" wrapText="1"/>
    </xf>
    <xf numFmtId="0" fontId="3" fillId="5" borderId="0" xfId="0" applyFont="1" applyFill="1" applyAlignment="1">
      <alignment horizontal="center"/>
    </xf>
    <xf numFmtId="2" fontId="3" fillId="5" borderId="0" xfId="0" applyNumberFormat="1" applyFont="1" applyFill="1" applyAlignment="1">
      <alignment horizontal="center" wrapText="1"/>
    </xf>
    <xf numFmtId="2" fontId="3" fillId="2" borderId="0" xfId="0" applyNumberFormat="1" applyFont="1" applyFill="1" applyAlignment="1">
      <alignment horizontal="center" wrapText="1"/>
    </xf>
    <xf numFmtId="0" fontId="3" fillId="2" borderId="0" xfId="0" applyFont="1" applyFill="1" applyAlignment="1">
      <alignment horizontal="center"/>
    </xf>
    <xf numFmtId="0" fontId="3" fillId="0" borderId="0" xfId="0" applyFont="1" applyFill="1"/>
    <xf numFmtId="2" fontId="0" fillId="6" borderId="0" xfId="0" applyNumberFormat="1" applyFont="1" applyFill="1" applyAlignment="1">
      <alignment horizontal="center" wrapText="1"/>
    </xf>
    <xf numFmtId="0" fontId="0" fillId="6" borderId="0" xfId="0" applyFont="1" applyFill="1" applyAlignment="1">
      <alignment horizontal="center"/>
    </xf>
    <xf numFmtId="0" fontId="0" fillId="3" borderId="0" xfId="0" applyFont="1" applyFill="1" applyAlignment="1">
      <alignment horizontal="center"/>
    </xf>
    <xf numFmtId="2" fontId="0" fillId="3" borderId="0" xfId="0" applyNumberFormat="1" applyFont="1" applyFill="1" applyAlignment="1">
      <alignment horizontal="center" wrapText="1"/>
    </xf>
    <xf numFmtId="0" fontId="0" fillId="4" borderId="0" xfId="0" applyFont="1" applyFill="1" applyAlignment="1">
      <alignment horizontal="center"/>
    </xf>
    <xf numFmtId="2" fontId="0" fillId="4" borderId="0" xfId="0" applyNumberFormat="1" applyFont="1" applyFill="1" applyAlignment="1">
      <alignment horizontal="center" wrapText="1"/>
    </xf>
    <xf numFmtId="0" fontId="0" fillId="5" borderId="0" xfId="0" applyFont="1" applyFill="1" applyAlignment="1">
      <alignment horizontal="center"/>
    </xf>
    <xf numFmtId="2" fontId="0" fillId="5" borderId="0" xfId="0" applyNumberFormat="1" applyFont="1" applyFill="1" applyAlignment="1">
      <alignment horizontal="center" wrapText="1"/>
    </xf>
    <xf numFmtId="0" fontId="3" fillId="0" borderId="5" xfId="0" applyFont="1" applyFill="1" applyBorder="1"/>
    <xf numFmtId="0" fontId="3" fillId="0" borderId="3" xfId="0" applyFont="1" applyFill="1" applyBorder="1"/>
    <xf numFmtId="0" fontId="3" fillId="0" borderId="8" xfId="0" applyFont="1" applyFill="1" applyBorder="1"/>
    <xf numFmtId="2" fontId="8" fillId="0" borderId="0" xfId="0" applyNumberFormat="1" applyFont="1"/>
    <xf numFmtId="0" fontId="0" fillId="3" borderId="0" xfId="0" applyFill="1" applyAlignment="1">
      <alignment horizontal="center" wrapText="1"/>
    </xf>
    <xf numFmtId="0" fontId="0" fillId="4" borderId="0" xfId="0" applyFill="1" applyAlignment="1">
      <alignment horizontal="center" wrapText="1"/>
    </xf>
    <xf numFmtId="0" fontId="0" fillId="6" borderId="0" xfId="0" applyFill="1" applyAlignment="1">
      <alignment horizontal="center" wrapText="1"/>
    </xf>
    <xf numFmtId="0" fontId="0" fillId="14" borderId="0" xfId="0" applyFill="1" applyBorder="1"/>
    <xf numFmtId="0" fontId="0" fillId="14" borderId="1" xfId="0" applyFill="1" applyBorder="1"/>
    <xf numFmtId="0" fontId="0" fillId="6" borderId="7" xfId="0" applyFill="1" applyBorder="1"/>
    <xf numFmtId="0" fontId="0" fillId="3" borderId="7" xfId="0" applyFill="1" applyBorder="1"/>
    <xf numFmtId="0" fontId="0" fillId="4" borderId="7" xfId="0" applyFill="1" applyBorder="1"/>
    <xf numFmtId="0" fontId="0" fillId="14" borderId="7" xfId="0" applyFill="1" applyBorder="1"/>
    <xf numFmtId="0" fontId="0" fillId="0" borderId="10" xfId="0" applyBorder="1"/>
    <xf numFmtId="0" fontId="0" fillId="13" borderId="0" xfId="0" applyFill="1" applyBorder="1"/>
    <xf numFmtId="0" fontId="0" fillId="13" borderId="1" xfId="0" applyFill="1" applyBorder="1"/>
    <xf numFmtId="0" fontId="0" fillId="12" borderId="0" xfId="0" applyFill="1"/>
    <xf numFmtId="0" fontId="0" fillId="12" borderId="0" xfId="0" applyFill="1" applyBorder="1"/>
    <xf numFmtId="0" fontId="0" fillId="12" borderId="6" xfId="0" applyFill="1" applyBorder="1"/>
    <xf numFmtId="0" fontId="0" fillId="0" borderId="0" xfId="0" applyFont="1"/>
    <xf numFmtId="0" fontId="0" fillId="0" borderId="0" xfId="0" applyFont="1" applyAlignment="1">
      <alignment wrapText="1"/>
    </xf>
    <xf numFmtId="0" fontId="0" fillId="0" borderId="0" xfId="0" applyFont="1" applyFill="1"/>
    <xf numFmtId="0" fontId="0" fillId="0" borderId="3" xfId="0" applyFont="1" applyFill="1" applyBorder="1"/>
    <xf numFmtId="0" fontId="0" fillId="0" borderId="8" xfId="0" applyFont="1" applyFill="1" applyBorder="1"/>
    <xf numFmtId="0" fontId="0" fillId="11" borderId="0" xfId="0" applyFont="1" applyFill="1"/>
    <xf numFmtId="18" fontId="0" fillId="0" borderId="0" xfId="0" applyNumberFormat="1"/>
    <xf numFmtId="2" fontId="0" fillId="0" borderId="0" xfId="0" applyNumberFormat="1" applyFill="1" applyAlignment="1">
      <alignment horizontal="center" wrapText="1"/>
    </xf>
    <xf numFmtId="0" fontId="0" fillId="14" borderId="0" xfId="0" applyFill="1" applyAlignment="1">
      <alignment horizontal="center" wrapText="1"/>
    </xf>
    <xf numFmtId="2" fontId="0" fillId="14" borderId="0" xfId="0" applyNumberFormat="1" applyFill="1" applyAlignment="1">
      <alignment horizontal="center" wrapText="1"/>
    </xf>
    <xf numFmtId="0" fontId="0" fillId="14" borderId="0" xfId="0" applyFill="1"/>
    <xf numFmtId="2" fontId="0" fillId="13" borderId="0" xfId="0" applyNumberFormat="1" applyFill="1" applyAlignment="1">
      <alignment horizontal="center" wrapText="1"/>
    </xf>
    <xf numFmtId="0" fontId="0" fillId="13" borderId="0" xfId="0" applyFill="1"/>
    <xf numFmtId="0" fontId="0" fillId="13" borderId="0" xfId="0" applyFill="1" applyAlignment="1">
      <alignment horizontal="center" wrapText="1"/>
    </xf>
    <xf numFmtId="0" fontId="0" fillId="6" borderId="0" xfId="0"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0" fontId="0" fillId="2" borderId="0" xfId="0"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14" fontId="3" fillId="0" borderId="0" xfId="0" applyNumberFormat="1" applyFont="1" applyBorder="1"/>
    <xf numFmtId="0" fontId="0" fillId="4" borderId="0" xfId="0" applyFill="1" applyAlignment="1">
      <alignment horizontal="center" wrapText="1"/>
    </xf>
    <xf numFmtId="0" fontId="0" fillId="13" borderId="0" xfId="0" applyFill="1" applyAlignment="1">
      <alignment horizontal="center" wrapText="1"/>
    </xf>
    <xf numFmtId="14" fontId="2" fillId="0" borderId="0" xfId="0" applyNumberFormat="1" applyFont="1"/>
    <xf numFmtId="0" fontId="0" fillId="13" borderId="0" xfId="0" applyFill="1" applyAlignment="1">
      <alignment horizontal="center" wrapText="1"/>
    </xf>
    <xf numFmtId="2" fontId="0" fillId="3" borderId="0" xfId="0" applyNumberFormat="1" applyFill="1" applyBorder="1"/>
    <xf numFmtId="165" fontId="0" fillId="3" borderId="0" xfId="0" applyNumberFormat="1" applyFill="1" applyBorder="1" applyAlignment="1">
      <alignment horizontal="center"/>
    </xf>
    <xf numFmtId="2" fontId="0" fillId="3" borderId="0" xfId="0" applyNumberFormat="1" applyFill="1" applyBorder="1" applyAlignment="1">
      <alignment horizontal="center"/>
    </xf>
    <xf numFmtId="0" fontId="0" fillId="15" borderId="0" xfId="0" applyFill="1" applyBorder="1"/>
    <xf numFmtId="0" fontId="0" fillId="15" borderId="1" xfId="0" applyFill="1" applyBorder="1"/>
    <xf numFmtId="0" fontId="9" fillId="4" borderId="0" xfId="0" applyFont="1" applyFill="1" applyBorder="1"/>
    <xf numFmtId="0" fontId="9" fillId="4" borderId="1" xfId="0" applyFont="1" applyFill="1" applyBorder="1"/>
    <xf numFmtId="165" fontId="9" fillId="4" borderId="0" xfId="0" applyNumberFormat="1" applyFont="1" applyFill="1" applyBorder="1" applyAlignment="1">
      <alignment horizontal="center"/>
    </xf>
    <xf numFmtId="165" fontId="0" fillId="3" borderId="1" xfId="0" applyNumberFormat="1" applyFill="1" applyBorder="1" applyAlignment="1">
      <alignment horizontal="center"/>
    </xf>
    <xf numFmtId="0" fontId="9" fillId="5" borderId="0" xfId="0" applyFont="1" applyFill="1" applyBorder="1"/>
    <xf numFmtId="0" fontId="0" fillId="0" borderId="0" xfId="0" applyAlignment="1">
      <alignment wrapText="1"/>
    </xf>
    <xf numFmtId="2" fontId="0" fillId="16" borderId="0" xfId="0" applyNumberFormat="1" applyFill="1" applyBorder="1"/>
    <xf numFmtId="2" fontId="0" fillId="8" borderId="0" xfId="0" applyNumberFormat="1" applyFill="1" applyBorder="1"/>
    <xf numFmtId="2" fontId="0" fillId="17" borderId="0" xfId="0" applyNumberFormat="1" applyFill="1" applyBorder="1"/>
    <xf numFmtId="2" fontId="0" fillId="14" borderId="0" xfId="0" applyNumberFormat="1" applyFill="1" applyBorder="1"/>
    <xf numFmtId="2" fontId="0" fillId="13" borderId="0" xfId="0" applyNumberFormat="1" applyFill="1" applyBorder="1"/>
    <xf numFmtId="2" fontId="0" fillId="15" borderId="0" xfId="0" applyNumberFormat="1" applyFill="1" applyBorder="1"/>
    <xf numFmtId="1" fontId="0" fillId="6" borderId="0" xfId="0" applyNumberFormat="1" applyFill="1"/>
    <xf numFmtId="1" fontId="0" fillId="3" borderId="0" xfId="0" applyNumberFormat="1" applyFill="1"/>
    <xf numFmtId="1" fontId="0" fillId="4" borderId="0" xfId="0" applyNumberFormat="1" applyFill="1"/>
    <xf numFmtId="1" fontId="0" fillId="5" borderId="0" xfId="0" applyNumberFormat="1" applyFill="1"/>
    <xf numFmtId="1" fontId="0" fillId="8" borderId="0" xfId="0" applyNumberFormat="1" applyFill="1"/>
    <xf numFmtId="1" fontId="0" fillId="12" borderId="0" xfId="0" applyNumberFormat="1" applyFill="1"/>
    <xf numFmtId="1" fontId="2" fillId="8" borderId="0" xfId="0" applyNumberFormat="1" applyFont="1" applyFill="1" applyAlignment="1">
      <alignment horizontal="left" wrapText="1"/>
    </xf>
    <xf numFmtId="1" fontId="0" fillId="12" borderId="6" xfId="0" applyNumberFormat="1" applyFill="1" applyBorder="1"/>
    <xf numFmtId="0" fontId="10" fillId="0" borderId="0" xfId="0" applyFont="1"/>
    <xf numFmtId="165" fontId="0" fillId="0" borderId="0" xfId="0" applyNumberFormat="1"/>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0" fontId="0" fillId="6" borderId="0" xfId="0" applyFill="1" applyAlignment="1">
      <alignment horizontal="center" wrapText="1"/>
    </xf>
    <xf numFmtId="0" fontId="0" fillId="13" borderId="0" xfId="0" applyFill="1" applyAlignment="1">
      <alignment horizontal="center" wrapText="1"/>
    </xf>
    <xf numFmtId="0" fontId="0" fillId="0" borderId="0" xfId="0" applyAlignment="1">
      <alignment wrapText="1"/>
    </xf>
    <xf numFmtId="0" fontId="0" fillId="3" borderId="0" xfId="0" applyFill="1" applyAlignment="1">
      <alignment horizontal="center" wrapText="1"/>
    </xf>
    <xf numFmtId="0" fontId="0" fillId="4" borderId="0" xfId="0" applyFill="1" applyAlignment="1">
      <alignment horizontal="center" wrapText="1"/>
    </xf>
    <xf numFmtId="0" fontId="0" fillId="6" borderId="0" xfId="0" applyFill="1" applyAlignment="1">
      <alignment horizontal="center" wrapText="1"/>
    </xf>
    <xf numFmtId="0" fontId="0" fillId="0" borderId="0" xfId="0" applyAlignment="1">
      <alignment wrapText="1"/>
    </xf>
    <xf numFmtId="0" fontId="0" fillId="15" borderId="0" xfId="0" applyFill="1" applyAlignment="1">
      <alignment horizontal="center" wrapText="1"/>
    </xf>
    <xf numFmtId="2" fontId="0" fillId="15" borderId="0" xfId="0" applyNumberFormat="1" applyFill="1" applyAlignment="1">
      <alignment horizontal="center" wrapText="1"/>
    </xf>
    <xf numFmtId="0" fontId="0" fillId="18" borderId="0" xfId="0" applyFill="1" applyAlignment="1">
      <alignment horizontal="center" wrapText="1"/>
    </xf>
    <xf numFmtId="2" fontId="0" fillId="18" borderId="0" xfId="0" applyNumberFormat="1" applyFill="1" applyAlignment="1">
      <alignment horizontal="center" wrapText="1"/>
    </xf>
    <xf numFmtId="0" fontId="0" fillId="19" borderId="0" xfId="0" applyFill="1" applyBorder="1"/>
    <xf numFmtId="0" fontId="0" fillId="19" borderId="1" xfId="0" applyFill="1" applyBorder="1"/>
    <xf numFmtId="0" fontId="0" fillId="19" borderId="7" xfId="0" applyFill="1" applyBorder="1"/>
    <xf numFmtId="0" fontId="0" fillId="19" borderId="10" xfId="0" applyFill="1" applyBorder="1"/>
    <xf numFmtId="0" fontId="0" fillId="18" borderId="0" xfId="0" applyFill="1" applyBorder="1"/>
    <xf numFmtId="0" fontId="0" fillId="18" borderId="1" xfId="0" applyFill="1" applyBorder="1"/>
    <xf numFmtId="0" fontId="0" fillId="11" borderId="0" xfId="0" applyFill="1" applyBorder="1"/>
    <xf numFmtId="0" fontId="0" fillId="11" borderId="1" xfId="0" applyFill="1" applyBorder="1"/>
    <xf numFmtId="0" fontId="0" fillId="0" borderId="10" xfId="0" applyFill="1" applyBorder="1" applyAlignment="1">
      <alignment horizontal="center"/>
    </xf>
    <xf numFmtId="0" fontId="0" fillId="0" borderId="10" xfId="0" applyFill="1" applyBorder="1"/>
    <xf numFmtId="0" fontId="0" fillId="11" borderId="10" xfId="0" applyFill="1" applyBorder="1"/>
    <xf numFmtId="165" fontId="0" fillId="0" borderId="1" xfId="0" applyNumberFormat="1" applyBorder="1"/>
    <xf numFmtId="165" fontId="0" fillId="6" borderId="0" xfId="0" applyNumberFormat="1" applyFill="1"/>
    <xf numFmtId="165" fontId="0" fillId="6" borderId="1" xfId="0" applyNumberFormat="1" applyFill="1" applyBorder="1"/>
    <xf numFmtId="165" fontId="0" fillId="3" borderId="0" xfId="0" applyNumberFormat="1" applyFill="1"/>
    <xf numFmtId="165" fontId="0" fillId="3" borderId="1" xfId="0" applyNumberFormat="1" applyFill="1" applyBorder="1"/>
    <xf numFmtId="165" fontId="0" fillId="4" borderId="0" xfId="0" applyNumberFormat="1" applyFill="1"/>
    <xf numFmtId="165" fontId="0" fillId="4" borderId="1" xfId="0" applyNumberFormat="1" applyFill="1" applyBorder="1"/>
    <xf numFmtId="165" fontId="0" fillId="18" borderId="0" xfId="0" applyNumberFormat="1" applyFill="1"/>
    <xf numFmtId="165" fontId="0" fillId="18" borderId="1" xfId="0" applyNumberFormat="1" applyFill="1" applyBorder="1"/>
    <xf numFmtId="165" fontId="0" fillId="0" borderId="0" xfId="0" applyNumberFormat="1" applyFill="1" applyBorder="1"/>
    <xf numFmtId="165" fontId="0" fillId="0" borderId="1" xfId="0" applyNumberFormat="1" applyFill="1" applyBorder="1"/>
    <xf numFmtId="165" fontId="0" fillId="6" borderId="0" xfId="0" applyNumberFormat="1" applyFill="1" applyBorder="1"/>
    <xf numFmtId="165" fontId="0" fillId="3" borderId="0" xfId="0" applyNumberFormat="1" applyFill="1" applyBorder="1"/>
    <xf numFmtId="165" fontId="0" fillId="4" borderId="0" xfId="0" applyNumberFormat="1" applyFill="1" applyBorder="1"/>
    <xf numFmtId="165" fontId="0" fillId="18" borderId="0" xfId="0" applyNumberFormat="1" applyFill="1" applyBorder="1"/>
    <xf numFmtId="1" fontId="0" fillId="18" borderId="0" xfId="0" applyNumberFormat="1" applyFill="1"/>
    <xf numFmtId="1" fontId="0" fillId="0" borderId="0" xfId="0" applyNumberFormat="1" applyAlignment="1">
      <alignment wrapText="1"/>
    </xf>
    <xf numFmtId="1" fontId="0" fillId="6" borderId="0" xfId="0" applyNumberFormat="1" applyFill="1" applyAlignment="1">
      <alignment wrapText="1"/>
    </xf>
    <xf numFmtId="0" fontId="0" fillId="13" borderId="0" xfId="0" applyFill="1" applyAlignment="1">
      <alignment horizontal="center" wrapText="1"/>
    </xf>
    <xf numFmtId="0" fontId="0" fillId="15" borderId="0" xfId="0" applyFill="1" applyAlignment="1">
      <alignment horizontal="center" wrapText="1"/>
    </xf>
    <xf numFmtId="2" fontId="0" fillId="0" borderId="0" xfId="0" applyNumberFormat="1" applyFill="1"/>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0" fontId="0" fillId="2" borderId="0" xfId="0" applyFill="1" applyAlignment="1">
      <alignment horizontal="center" wrapText="1"/>
    </xf>
    <xf numFmtId="0" fontId="0" fillId="6" borderId="0" xfId="0" applyFill="1" applyAlignment="1">
      <alignment horizontal="center" wrapText="1"/>
    </xf>
    <xf numFmtId="0" fontId="0" fillId="8" borderId="0" xfId="0" applyFill="1" applyAlignment="1">
      <alignment horizontal="center" wrapText="1"/>
    </xf>
    <xf numFmtId="0" fontId="0" fillId="13" borderId="0" xfId="0" applyFill="1" applyAlignment="1">
      <alignment horizontal="center" wrapText="1"/>
    </xf>
    <xf numFmtId="0" fontId="0" fillId="11" borderId="0" xfId="0" applyFill="1" applyAlignment="1">
      <alignment horizontal="center" wrapText="1"/>
    </xf>
    <xf numFmtId="0" fontId="0" fillId="0" borderId="0" xfId="0" applyAlignment="1">
      <alignment horizontal="center"/>
    </xf>
    <xf numFmtId="0" fontId="0" fillId="0" borderId="0" xfId="0" applyAlignment="1">
      <alignment wrapText="1"/>
    </xf>
    <xf numFmtId="0" fontId="10" fillId="6" borderId="1" xfId="0" applyFont="1" applyFill="1" applyBorder="1"/>
    <xf numFmtId="0" fontId="10" fillId="0" borderId="1" xfId="0" applyFont="1" applyBorder="1"/>
    <xf numFmtId="0" fontId="10" fillId="0" borderId="10" xfId="0" applyFont="1" applyBorder="1"/>
    <xf numFmtId="0" fontId="10" fillId="13" borderId="1" xfId="0" applyFont="1" applyFill="1" applyBorder="1"/>
    <xf numFmtId="0" fontId="0" fillId="16" borderId="1" xfId="0" applyFill="1" applyBorder="1"/>
    <xf numFmtId="0" fontId="0" fillId="17" borderId="1" xfId="0" applyFill="1" applyBorder="1"/>
    <xf numFmtId="0" fontId="0" fillId="19" borderId="0" xfId="0" applyFill="1"/>
    <xf numFmtId="0" fontId="0" fillId="0" borderId="0" xfId="0" applyAlignment="1">
      <alignment horizontal="left" wrapText="1"/>
    </xf>
    <xf numFmtId="14" fontId="0" fillId="0" borderId="0" xfId="0" applyNumberFormat="1" applyFont="1" applyFill="1" applyBorder="1"/>
    <xf numFmtId="14" fontId="0" fillId="0" borderId="0" xfId="0" applyNumberFormat="1" applyFill="1"/>
    <xf numFmtId="14" fontId="3" fillId="0" borderId="0" xfId="0" applyNumberFormat="1" applyFont="1" applyFill="1" applyBorder="1"/>
    <xf numFmtId="14" fontId="0" fillId="0" borderId="0" xfId="0" applyNumberFormat="1" applyFill="1" applyBorder="1"/>
    <xf numFmtId="0" fontId="10" fillId="0" borderId="0" xfId="0" applyFont="1" applyAlignment="1">
      <alignment horizontal="center" wrapText="1"/>
    </xf>
    <xf numFmtId="0" fontId="10" fillId="0" borderId="0" xfId="0" applyFont="1" applyAlignment="1">
      <alignment wrapText="1"/>
    </xf>
    <xf numFmtId="0" fontId="10" fillId="0" borderId="0" xfId="0" applyFont="1" applyAlignment="1">
      <alignment horizontal="center"/>
    </xf>
    <xf numFmtId="0" fontId="0" fillId="20" borderId="0" xfId="0" applyFill="1" applyAlignment="1">
      <alignment horizontal="center" wrapText="1"/>
    </xf>
    <xf numFmtId="0" fontId="0" fillId="20" borderId="0" xfId="0" applyFill="1"/>
    <xf numFmtId="0" fontId="0" fillId="21" borderId="0" xfId="0" applyFill="1" applyAlignment="1">
      <alignment horizontal="center" wrapText="1"/>
    </xf>
    <xf numFmtId="0" fontId="0" fillId="21" borderId="0" xfId="0" applyFill="1"/>
    <xf numFmtId="0" fontId="0" fillId="13" borderId="0" xfId="0" applyFill="1" applyAlignment="1">
      <alignment horizontal="center" wrapText="1"/>
    </xf>
    <xf numFmtId="14" fontId="0" fillId="0" borderId="12" xfId="0" applyNumberFormat="1" applyBorder="1"/>
    <xf numFmtId="0" fontId="0" fillId="3" borderId="0" xfId="0" applyFill="1" applyAlignment="1">
      <alignment horizontal="center" wrapText="1"/>
    </xf>
    <xf numFmtId="0" fontId="0" fillId="4" borderId="0" xfId="0" applyFill="1" applyAlignment="1">
      <alignment horizontal="center" wrapText="1"/>
    </xf>
    <xf numFmtId="0" fontId="0" fillId="6" borderId="0" xfId="0" applyFill="1" applyAlignment="1">
      <alignment horizontal="center" wrapText="1"/>
    </xf>
    <xf numFmtId="0" fontId="0" fillId="5" borderId="0" xfId="0" applyFill="1" applyAlignment="1">
      <alignment horizontal="center" wrapText="1"/>
    </xf>
    <xf numFmtId="0" fontId="0" fillId="3" borderId="0" xfId="0" applyFill="1" applyAlignment="1">
      <alignment horizontal="center"/>
    </xf>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0" fontId="9" fillId="0" borderId="0" xfId="0" applyFont="1"/>
    <xf numFmtId="0" fontId="11" fillId="0" borderId="0" xfId="0" applyFont="1"/>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0" fontId="0" fillId="6" borderId="0" xfId="0" applyFill="1" applyAlignment="1">
      <alignment horizontal="center" wrapText="1"/>
    </xf>
    <xf numFmtId="0" fontId="0" fillId="4"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0" fontId="0" fillId="3" borderId="0" xfId="0" applyFill="1" applyAlignment="1">
      <alignment horizontal="center"/>
    </xf>
    <xf numFmtId="2" fontId="9" fillId="0" borderId="0" xfId="0" applyNumberFormat="1" applyFont="1"/>
    <xf numFmtId="0" fontId="0" fillId="13" borderId="0" xfId="0" applyFill="1" applyAlignment="1">
      <alignment horizontal="center" wrapText="1"/>
    </xf>
    <xf numFmtId="0" fontId="12" fillId="0" borderId="0" xfId="0" applyFont="1"/>
    <xf numFmtId="2" fontId="0" fillId="22" borderId="0" xfId="0" applyNumberFormat="1" applyFill="1"/>
    <xf numFmtId="0" fontId="0" fillId="22" borderId="0" xfId="0" applyFill="1"/>
    <xf numFmtId="0" fontId="0" fillId="22" borderId="0" xfId="0" applyFill="1" applyAlignment="1">
      <alignment horizontal="center" wrapText="1"/>
    </xf>
    <xf numFmtId="0" fontId="0" fillId="0" borderId="13" xfId="0" applyFill="1" applyBorder="1"/>
    <xf numFmtId="2" fontId="0" fillId="0" borderId="11" xfId="0" applyNumberFormat="1" applyFill="1" applyBorder="1"/>
    <xf numFmtId="2" fontId="0" fillId="0" borderId="14" xfId="0" applyNumberFormat="1" applyFill="1" applyBorder="1"/>
    <xf numFmtId="0" fontId="10" fillId="0" borderId="7" xfId="0" applyFont="1" applyFill="1" applyBorder="1" applyAlignment="1">
      <alignment horizontal="center"/>
    </xf>
    <xf numFmtId="2" fontId="10" fillId="0" borderId="0" xfId="0" applyNumberFormat="1" applyFont="1" applyFill="1" applyBorder="1"/>
    <xf numFmtId="2" fontId="10" fillId="0" borderId="1" xfId="0" applyNumberFormat="1" applyFont="1" applyFill="1" applyBorder="1"/>
    <xf numFmtId="0" fontId="0" fillId="0" borderId="7" xfId="0" applyFill="1" applyBorder="1" applyAlignment="1">
      <alignment horizontal="center"/>
    </xf>
    <xf numFmtId="2" fontId="0" fillId="0" borderId="0" xfId="0" applyNumberFormat="1" applyFill="1" applyBorder="1"/>
    <xf numFmtId="2" fontId="0" fillId="0" borderId="1" xfId="0" applyNumberFormat="1" applyFill="1" applyBorder="1"/>
    <xf numFmtId="0" fontId="0" fillId="0" borderId="15" xfId="0" applyFill="1" applyBorder="1" applyAlignment="1">
      <alignment horizontal="center"/>
    </xf>
    <xf numFmtId="2" fontId="0" fillId="0" borderId="16" xfId="0" applyNumberFormat="1" applyFill="1" applyBorder="1"/>
    <xf numFmtId="2" fontId="0" fillId="0" borderId="17" xfId="0" applyNumberFormat="1" applyFill="1" applyBorder="1"/>
    <xf numFmtId="2" fontId="10" fillId="0" borderId="11" xfId="0" applyNumberFormat="1" applyFont="1" applyFill="1" applyBorder="1"/>
    <xf numFmtId="14" fontId="0" fillId="0" borderId="18" xfId="0" applyNumberFormat="1" applyBorder="1"/>
    <xf numFmtId="2" fontId="0" fillId="0" borderId="18" xfId="0" applyNumberFormat="1" applyBorder="1"/>
    <xf numFmtId="2" fontId="0" fillId="0" borderId="12" xfId="0" applyNumberFormat="1" applyBorder="1"/>
    <xf numFmtId="2" fontId="0" fillId="19" borderId="0" xfId="0" applyNumberFormat="1" applyFill="1" applyBorder="1"/>
    <xf numFmtId="165" fontId="0" fillId="19" borderId="0" xfId="0" applyNumberFormat="1" applyFill="1" applyBorder="1" applyAlignment="1">
      <alignment horizontal="center"/>
    </xf>
    <xf numFmtId="2" fontId="0" fillId="19" borderId="0" xfId="0" applyNumberFormat="1" applyFill="1" applyBorder="1" applyAlignment="1">
      <alignment horizontal="center"/>
    </xf>
    <xf numFmtId="165" fontId="0" fillId="19" borderId="1" xfId="0" applyNumberFormat="1" applyFill="1" applyBorder="1" applyAlignment="1">
      <alignment horizontal="center"/>
    </xf>
    <xf numFmtId="0" fontId="9" fillId="19" borderId="0" xfId="0" applyFont="1" applyFill="1" applyBorder="1"/>
    <xf numFmtId="0" fontId="9" fillId="19" borderId="1" xfId="0" applyFont="1" applyFill="1" applyBorder="1"/>
    <xf numFmtId="2" fontId="0" fillId="11" borderId="0" xfId="0" applyNumberFormat="1" applyFill="1" applyBorder="1"/>
    <xf numFmtId="2" fontId="0" fillId="11" borderId="1" xfId="0" applyNumberFormat="1" applyFill="1" applyBorder="1"/>
    <xf numFmtId="2" fontId="0" fillId="18" borderId="0" xfId="0" applyNumberFormat="1" applyFill="1" applyBorder="1"/>
    <xf numFmtId="2" fontId="0" fillId="18" borderId="1" xfId="0" applyNumberFormat="1" applyFill="1" applyBorder="1"/>
    <xf numFmtId="2" fontId="0" fillId="23" borderId="0" xfId="0" applyNumberFormat="1" applyFill="1"/>
    <xf numFmtId="0" fontId="0" fillId="23" borderId="0" xfId="0" applyFill="1"/>
    <xf numFmtId="0" fontId="0" fillId="3" borderId="0" xfId="0" applyFill="1" applyAlignment="1">
      <alignment horizontal="center" wrapText="1"/>
    </xf>
    <xf numFmtId="0" fontId="0" fillId="4" borderId="0" xfId="0" applyFill="1" applyAlignment="1">
      <alignment horizontal="center" wrapText="1"/>
    </xf>
    <xf numFmtId="0" fontId="0" fillId="5" borderId="0" xfId="0" applyFill="1" applyAlignment="1">
      <alignment horizontal="center" wrapText="1"/>
    </xf>
    <xf numFmtId="0" fontId="0" fillId="6" borderId="0" xfId="0" applyFill="1" applyAlignment="1">
      <alignment horizontal="center" wrapText="1"/>
    </xf>
    <xf numFmtId="0" fontId="0" fillId="14" borderId="0" xfId="0" applyFill="1" applyAlignment="1">
      <alignment horizontal="center" wrapText="1"/>
    </xf>
    <xf numFmtId="0" fontId="0" fillId="13" borderId="0" xfId="0" applyFill="1" applyAlignment="1">
      <alignment horizontal="center" wrapText="1"/>
    </xf>
    <xf numFmtId="0" fontId="0" fillId="11" borderId="0" xfId="0" applyFill="1" applyAlignment="1">
      <alignment horizontal="center" wrapText="1"/>
    </xf>
    <xf numFmtId="0" fontId="0" fillId="3" borderId="0" xfId="0" applyFill="1" applyAlignment="1">
      <alignment horizontal="center" wrapText="1"/>
    </xf>
    <xf numFmtId="0" fontId="0" fillId="4" borderId="0" xfId="0" applyFill="1" applyAlignment="1">
      <alignment horizontal="center" wrapText="1"/>
    </xf>
    <xf numFmtId="0" fontId="0" fillId="11" borderId="0" xfId="0" applyFill="1" applyAlignment="1">
      <alignment horizontal="center" wrapText="1"/>
    </xf>
    <xf numFmtId="0" fontId="0" fillId="3" borderId="0" xfId="0" applyFill="1" applyAlignment="1">
      <alignment horizontal="center"/>
    </xf>
    <xf numFmtId="0" fontId="0" fillId="4" borderId="0" xfId="0" applyFill="1" applyAlignment="1">
      <alignment horizontal="center"/>
    </xf>
    <xf numFmtId="0" fontId="0" fillId="6" borderId="0" xfId="0" applyFill="1" applyAlignment="1">
      <alignment horizontal="center"/>
    </xf>
    <xf numFmtId="0" fontId="0" fillId="13" borderId="0" xfId="0" applyFill="1" applyAlignment="1">
      <alignment horizontal="center" wrapText="1"/>
    </xf>
    <xf numFmtId="0" fontId="0" fillId="6" borderId="0" xfId="0" applyFill="1" applyAlignment="1">
      <alignment horizontal="center" wrapText="1"/>
    </xf>
    <xf numFmtId="0" fontId="0" fillId="15" borderId="0" xfId="0" applyFill="1" applyAlignment="1">
      <alignment horizontal="center" wrapText="1"/>
    </xf>
    <xf numFmtId="0" fontId="0" fillId="0" borderId="0" xfId="0" applyAlignment="1">
      <alignment wrapText="1"/>
    </xf>
    <xf numFmtId="0" fontId="2" fillId="24" borderId="0" xfId="0" applyFont="1" applyFill="1" applyAlignment="1">
      <alignment horizontal="center" wrapText="1"/>
    </xf>
    <xf numFmtId="2" fontId="2" fillId="24" borderId="0" xfId="0" applyNumberFormat="1" applyFont="1" applyFill="1" applyAlignment="1">
      <alignment horizontal="center" wrapText="1"/>
    </xf>
    <xf numFmtId="0" fontId="2" fillId="25" borderId="0" xfId="0" applyFont="1" applyFill="1" applyAlignment="1">
      <alignment horizontal="center" wrapText="1"/>
    </xf>
    <xf numFmtId="2" fontId="2" fillId="25" borderId="0" xfId="0" applyNumberFormat="1" applyFont="1" applyFill="1" applyAlignment="1">
      <alignment horizontal="center" wrapText="1"/>
    </xf>
    <xf numFmtId="0" fontId="0" fillId="26" borderId="0" xfId="0" applyFill="1" applyAlignment="1">
      <alignment horizontal="center" wrapText="1"/>
    </xf>
    <xf numFmtId="2" fontId="0" fillId="26" borderId="0" xfId="0" applyNumberFormat="1" applyFill="1" applyAlignment="1">
      <alignment horizontal="center" wrapText="1"/>
    </xf>
    <xf numFmtId="0" fontId="2" fillId="27" borderId="0" xfId="0" applyFont="1" applyFill="1" applyAlignment="1">
      <alignment horizontal="center" wrapText="1"/>
    </xf>
    <xf numFmtId="2" fontId="2" fillId="27" borderId="0" xfId="0" applyNumberFormat="1" applyFont="1" applyFill="1" applyAlignment="1">
      <alignment horizontal="center" wrapText="1"/>
    </xf>
    <xf numFmtId="0" fontId="2" fillId="28" borderId="0" xfId="0" applyFont="1" applyFill="1" applyAlignment="1">
      <alignment horizontal="center" wrapText="1"/>
    </xf>
    <xf numFmtId="2" fontId="2" fillId="28" borderId="0" xfId="0" applyNumberFormat="1" applyFont="1" applyFill="1" applyAlignment="1">
      <alignment horizontal="center" wrapText="1"/>
    </xf>
    <xf numFmtId="0" fontId="2" fillId="29" borderId="0" xfId="0" applyFont="1" applyFill="1" applyAlignment="1">
      <alignment horizontal="center" wrapText="1"/>
    </xf>
    <xf numFmtId="2" fontId="2" fillId="29" borderId="0" xfId="0" applyNumberFormat="1" applyFont="1" applyFill="1" applyAlignment="1">
      <alignment horizontal="center" wrapText="1"/>
    </xf>
    <xf numFmtId="0" fontId="2" fillId="30" borderId="0" xfId="0" applyFont="1" applyFill="1" applyAlignment="1">
      <alignment horizontal="center" wrapText="1"/>
    </xf>
    <xf numFmtId="2" fontId="2" fillId="30" borderId="0" xfId="0" applyNumberFormat="1" applyFont="1" applyFill="1" applyAlignment="1">
      <alignment horizontal="center" wrapText="1"/>
    </xf>
    <xf numFmtId="0" fontId="2" fillId="31" borderId="0" xfId="0" applyFont="1" applyFill="1" applyAlignment="1">
      <alignment horizontal="center" wrapText="1"/>
    </xf>
    <xf numFmtId="2" fontId="2" fillId="31" borderId="0" xfId="0" applyNumberFormat="1" applyFont="1" applyFill="1" applyAlignment="1">
      <alignment horizontal="center" wrapText="1"/>
    </xf>
    <xf numFmtId="0" fontId="2" fillId="32" borderId="0" xfId="0" applyFont="1" applyFill="1" applyAlignment="1">
      <alignment horizontal="center" wrapText="1"/>
    </xf>
    <xf numFmtId="2" fontId="2" fillId="32" borderId="0" xfId="0" applyNumberFormat="1" applyFont="1" applyFill="1" applyAlignment="1">
      <alignment horizontal="center" wrapText="1"/>
    </xf>
    <xf numFmtId="0" fontId="2" fillId="33" borderId="0" xfId="0" applyFont="1" applyFill="1" applyAlignment="1">
      <alignment horizontal="center" wrapText="1"/>
    </xf>
    <xf numFmtId="2" fontId="2" fillId="33" borderId="0" xfId="0" applyNumberFormat="1" applyFont="1" applyFill="1" applyAlignment="1">
      <alignment horizontal="center" wrapText="1"/>
    </xf>
    <xf numFmtId="0" fontId="2" fillId="34" borderId="0" xfId="0" applyFont="1" applyFill="1" applyAlignment="1">
      <alignment horizontal="center" wrapText="1"/>
    </xf>
    <xf numFmtId="2" fontId="2" fillId="34" borderId="0" xfId="0" applyNumberFormat="1" applyFont="1" applyFill="1" applyAlignment="1">
      <alignment horizontal="center" wrapText="1"/>
    </xf>
    <xf numFmtId="0" fontId="2" fillId="35" borderId="0" xfId="0" applyFont="1" applyFill="1" applyAlignment="1">
      <alignment horizontal="center" wrapText="1"/>
    </xf>
    <xf numFmtId="2" fontId="2" fillId="35" borderId="0" xfId="0" applyNumberFormat="1" applyFont="1" applyFill="1" applyAlignment="1">
      <alignment horizontal="center" wrapText="1"/>
    </xf>
    <xf numFmtId="0" fontId="2" fillId="36" borderId="0" xfId="0" applyFont="1" applyFill="1" applyAlignment="1">
      <alignment horizontal="center" wrapText="1"/>
    </xf>
    <xf numFmtId="2" fontId="2" fillId="36" borderId="0" xfId="0" applyNumberFormat="1" applyFont="1" applyFill="1" applyAlignment="1">
      <alignment horizontal="center" wrapText="1"/>
    </xf>
    <xf numFmtId="0" fontId="0" fillId="13" borderId="0" xfId="0" applyFill="1" applyAlignment="1">
      <alignment horizontal="center" wrapText="1"/>
    </xf>
    <xf numFmtId="0" fontId="0" fillId="7" borderId="0" xfId="0" applyFill="1"/>
    <xf numFmtId="0" fontId="0" fillId="5" borderId="0" xfId="0" applyFill="1" applyAlignment="1">
      <alignment horizontal="center"/>
    </xf>
    <xf numFmtId="0" fontId="0" fillId="3" borderId="0" xfId="0" applyFill="1" applyAlignment="1">
      <alignment horizontal="center" wrapText="1"/>
    </xf>
    <xf numFmtId="0" fontId="0" fillId="4" borderId="0" xfId="0" applyFill="1" applyAlignment="1">
      <alignment horizontal="center" wrapText="1"/>
    </xf>
    <xf numFmtId="0" fontId="0" fillId="6" borderId="0" xfId="0" applyFill="1" applyAlignment="1">
      <alignment horizontal="center" wrapText="1"/>
    </xf>
    <xf numFmtId="0" fontId="0" fillId="21" borderId="0" xfId="0" applyFill="1" applyAlignment="1">
      <alignment horizontal="center" wrapText="1"/>
    </xf>
    <xf numFmtId="0" fontId="0" fillId="8" borderId="0" xfId="0" applyFill="1" applyAlignment="1">
      <alignment horizontal="center" wrapText="1"/>
    </xf>
    <xf numFmtId="0" fontId="0" fillId="15" borderId="0" xfId="0" applyFill="1" applyAlignment="1">
      <alignment horizontal="center" wrapText="1"/>
    </xf>
    <xf numFmtId="0" fontId="0" fillId="18" borderId="0" xfId="0" applyFill="1" applyAlignment="1">
      <alignment horizontal="center" wrapText="1"/>
    </xf>
    <xf numFmtId="0" fontId="0" fillId="37" borderId="0" xfId="0" applyFill="1" applyAlignment="1">
      <alignment horizontal="center" wrapText="1"/>
    </xf>
    <xf numFmtId="0" fontId="0" fillId="38" borderId="0" xfId="0" applyFill="1" applyAlignment="1">
      <alignment horizontal="center" wrapText="1"/>
    </xf>
    <xf numFmtId="0" fontId="0" fillId="39" borderId="0" xfId="0" applyFill="1" applyAlignment="1">
      <alignment horizontal="center" wrapText="1"/>
    </xf>
    <xf numFmtId="0" fontId="0" fillId="16" borderId="0" xfId="0" applyFill="1" applyAlignment="1">
      <alignment horizontal="center" wrapText="1"/>
    </xf>
    <xf numFmtId="0" fontId="0" fillId="40" borderId="0" xfId="0" applyFill="1" applyAlignment="1">
      <alignment horizontal="center" wrapText="1"/>
    </xf>
    <xf numFmtId="0" fontId="0" fillId="41" borderId="0" xfId="0" applyFill="1" applyAlignment="1">
      <alignment horizontal="center" wrapText="1"/>
    </xf>
    <xf numFmtId="0" fontId="0" fillId="42" borderId="0" xfId="0" applyFill="1" applyAlignment="1">
      <alignment horizontal="center" wrapText="1"/>
    </xf>
    <xf numFmtId="0" fontId="0" fillId="43" borderId="0" xfId="0" applyFill="1" applyAlignment="1">
      <alignment horizontal="center" wrapText="1"/>
    </xf>
    <xf numFmtId="0" fontId="0" fillId="13" borderId="0" xfId="0" applyFill="1" applyAlignment="1">
      <alignment horizontal="center" wrapText="1"/>
    </xf>
    <xf numFmtId="0" fontId="0" fillId="13" borderId="0" xfId="0" applyFill="1" applyAlignment="1">
      <alignment horizontal="center" wrapText="1"/>
    </xf>
    <xf numFmtId="0" fontId="0" fillId="0" borderId="0" xfId="0" applyAlignment="1">
      <alignment wrapText="1"/>
    </xf>
    <xf numFmtId="15" fontId="0" fillId="0" borderId="0" xfId="0" applyNumberFormat="1"/>
    <xf numFmtId="2" fontId="0" fillId="13" borderId="0" xfId="0" applyNumberFormat="1" applyFill="1"/>
    <xf numFmtId="0" fontId="2" fillId="44" borderId="0" xfId="0" applyFont="1" applyFill="1" applyAlignment="1">
      <alignment horizontal="center" wrapText="1"/>
    </xf>
    <xf numFmtId="0" fontId="2" fillId="45" borderId="0" xfId="0" applyFont="1" applyFill="1" applyAlignment="1">
      <alignment horizontal="center" wrapText="1"/>
    </xf>
    <xf numFmtId="0" fontId="0" fillId="46" borderId="0" xfId="0" applyFill="1"/>
    <xf numFmtId="0" fontId="0" fillId="26" borderId="0" xfId="0" applyFill="1"/>
    <xf numFmtId="0" fontId="0" fillId="0" borderId="1" xfId="0" applyFill="1" applyBorder="1" applyAlignment="1">
      <alignment horizontal="center" wrapText="1"/>
    </xf>
    <xf numFmtId="0" fontId="2" fillId="0" borderId="0" xfId="0" applyFont="1" applyAlignment="1">
      <alignment horizontal="center" wrapText="1"/>
    </xf>
    <xf numFmtId="0" fontId="2" fillId="0" borderId="1" xfId="0" applyFont="1" applyBorder="1" applyAlignment="1">
      <alignment horizontal="center" wrapText="1"/>
    </xf>
    <xf numFmtId="2" fontId="0" fillId="0" borderId="1" xfId="0" applyNumberFormat="1" applyBorder="1"/>
    <xf numFmtId="2" fontId="0" fillId="0" borderId="1" xfId="0" applyNumberFormat="1" applyBorder="1" applyAlignment="1">
      <alignment horizontal="center"/>
    </xf>
    <xf numFmtId="2" fontId="2" fillId="0" borderId="0" xfId="0" applyNumberFormat="1" applyFont="1"/>
    <xf numFmtId="0" fontId="0" fillId="0" borderId="0" xfId="0" applyFill="1" applyBorder="1" applyAlignment="1">
      <alignment horizontal="center" wrapText="1"/>
    </xf>
    <xf numFmtId="0" fontId="0" fillId="26" borderId="0" xfId="0" applyFill="1" applyBorder="1"/>
    <xf numFmtId="0" fontId="9" fillId="15" borderId="0" xfId="0" applyFont="1" applyFill="1" applyBorder="1"/>
    <xf numFmtId="0" fontId="0" fillId="47" borderId="0" xfId="0" applyFill="1" applyBorder="1"/>
    <xf numFmtId="0" fontId="0" fillId="43" borderId="0" xfId="0" applyFill="1" applyBorder="1"/>
    <xf numFmtId="0" fontId="0" fillId="48" borderId="7" xfId="0" applyFill="1" applyBorder="1"/>
    <xf numFmtId="0" fontId="0" fillId="48" borderId="0" xfId="0" applyFill="1" applyBorder="1"/>
    <xf numFmtId="0" fontId="9" fillId="49" borderId="0" xfId="0" applyFont="1" applyFill="1" applyBorder="1"/>
    <xf numFmtId="0" fontId="0" fillId="49" borderId="0" xfId="0" applyFill="1" applyBorder="1"/>
    <xf numFmtId="0" fontId="0" fillId="50" borderId="0" xfId="0" applyFill="1" applyBorder="1"/>
    <xf numFmtId="0" fontId="0" fillId="20" borderId="0" xfId="0" applyFill="1" applyBorder="1"/>
    <xf numFmtId="0" fontId="0" fillId="37" borderId="7" xfId="0" applyFill="1" applyBorder="1"/>
    <xf numFmtId="0" fontId="0" fillId="37" borderId="0" xfId="0" applyFill="1" applyBorder="1"/>
    <xf numFmtId="0" fontId="0" fillId="38" borderId="0" xfId="0" applyFill="1" applyBorder="1"/>
    <xf numFmtId="0" fontId="0" fillId="51" borderId="0" xfId="0" applyFill="1" applyBorder="1"/>
    <xf numFmtId="0" fontId="0" fillId="52" borderId="0" xfId="0" applyFill="1" applyBorder="1"/>
    <xf numFmtId="0" fontId="2" fillId="53" borderId="7" xfId="0" applyFont="1" applyFill="1" applyBorder="1"/>
    <xf numFmtId="0" fontId="2" fillId="53" borderId="0" xfId="0" applyFont="1" applyFill="1"/>
    <xf numFmtId="0" fontId="2" fillId="33" borderId="0" xfId="0" applyFont="1" applyFill="1"/>
    <xf numFmtId="0" fontId="9" fillId="34" borderId="0" xfId="0" applyFont="1" applyFill="1"/>
    <xf numFmtId="0" fontId="2" fillId="54" borderId="0" xfId="0" applyFont="1" applyFill="1"/>
    <xf numFmtId="0" fontId="2" fillId="55" borderId="0" xfId="0" applyFont="1" applyFill="1"/>
    <xf numFmtId="0" fontId="0" fillId="56" borderId="0" xfId="0" applyFill="1" applyBorder="1"/>
    <xf numFmtId="0" fontId="2" fillId="55" borderId="0" xfId="0" applyFont="1" applyFill="1" applyBorder="1"/>
    <xf numFmtId="0" fontId="2" fillId="54" borderId="0" xfId="0" applyFont="1" applyFill="1" applyBorder="1"/>
    <xf numFmtId="0" fontId="9" fillId="34" borderId="0" xfId="0" applyFont="1" applyFill="1" applyBorder="1"/>
    <xf numFmtId="0" fontId="2" fillId="33" borderId="0" xfId="0" applyFont="1" applyFill="1" applyBorder="1"/>
    <xf numFmtId="0" fontId="2" fillId="53" borderId="0" xfId="0" applyFont="1" applyFill="1" applyBorder="1"/>
    <xf numFmtId="0" fontId="2" fillId="55" borderId="7" xfId="0" applyFont="1" applyFill="1" applyBorder="1"/>
    <xf numFmtId="0" fontId="0" fillId="56" borderId="7" xfId="0" applyFill="1" applyBorder="1"/>
    <xf numFmtId="0" fontId="2" fillId="54" borderId="7" xfId="0" applyFont="1" applyFill="1" applyBorder="1"/>
    <xf numFmtId="0" fontId="0" fillId="2" borderId="7" xfId="0" applyFill="1" applyBorder="1"/>
    <xf numFmtId="0" fontId="9" fillId="34" borderId="7" xfId="0" applyFont="1" applyFill="1" applyBorder="1"/>
    <xf numFmtId="0" fontId="0" fillId="26" borderId="7" xfId="0" applyFill="1" applyBorder="1"/>
    <xf numFmtId="0" fontId="2" fillId="33" borderId="7" xfId="0" applyFont="1" applyFill="1" applyBorder="1"/>
    <xf numFmtId="0" fontId="0" fillId="18" borderId="7" xfId="0" applyFill="1" applyBorder="1"/>
    <xf numFmtId="0" fontId="0" fillId="52" borderId="7" xfId="0" applyFill="1" applyBorder="1"/>
    <xf numFmtId="0" fontId="0" fillId="51" borderId="7" xfId="0" applyFill="1" applyBorder="1"/>
    <xf numFmtId="0" fontId="9" fillId="15" borderId="7" xfId="0" applyFont="1" applyFill="1" applyBorder="1"/>
    <xf numFmtId="0" fontId="0" fillId="15" borderId="7" xfId="0" applyFill="1" applyBorder="1"/>
    <xf numFmtId="0" fontId="0" fillId="38" borderId="7" xfId="0" applyFill="1" applyBorder="1"/>
    <xf numFmtId="0" fontId="0" fillId="20" borderId="7" xfId="0" applyFill="1" applyBorder="1"/>
    <xf numFmtId="0" fontId="0" fillId="50" borderId="7" xfId="0" applyFill="1" applyBorder="1"/>
    <xf numFmtId="0" fontId="9" fillId="49" borderId="7" xfId="0" applyFont="1" applyFill="1" applyBorder="1"/>
    <xf numFmtId="0" fontId="0" fillId="49" borderId="7" xfId="0" applyFill="1" applyBorder="1"/>
    <xf numFmtId="0" fontId="0" fillId="43" borderId="7" xfId="0" applyFill="1" applyBorder="1"/>
    <xf numFmtId="0" fontId="0" fillId="47" borderId="7" xfId="0" applyFill="1" applyBorder="1"/>
    <xf numFmtId="0" fontId="0" fillId="39" borderId="0" xfId="0" applyFill="1" applyBorder="1"/>
    <xf numFmtId="0" fontId="0" fillId="42" borderId="0" xfId="0" applyFill="1" applyBorder="1"/>
    <xf numFmtId="2" fontId="0" fillId="3" borderId="7" xfId="0" applyNumberFormat="1" applyFill="1" applyBorder="1"/>
    <xf numFmtId="2" fontId="0" fillId="39" borderId="0" xfId="0" applyNumberFormat="1" applyFill="1" applyBorder="1"/>
    <xf numFmtId="2" fontId="0" fillId="39" borderId="1" xfId="0" applyNumberFormat="1" applyFill="1" applyBorder="1"/>
    <xf numFmtId="2" fontId="0" fillId="20" borderId="0" xfId="0" applyNumberFormat="1" applyFill="1" applyBorder="1"/>
    <xf numFmtId="2" fontId="0" fillId="20" borderId="1" xfId="0" applyNumberFormat="1" applyFill="1" applyBorder="1"/>
    <xf numFmtId="2" fontId="0" fillId="6" borderId="0" xfId="0" applyNumberFormat="1" applyFill="1" applyBorder="1"/>
    <xf numFmtId="2" fontId="0" fillId="6" borderId="1" xfId="0" applyNumberFormat="1" applyFill="1" applyBorder="1"/>
    <xf numFmtId="2" fontId="0" fillId="42" borderId="0" xfId="0" applyNumberFormat="1" applyFill="1" applyBorder="1"/>
    <xf numFmtId="2" fontId="0" fillId="42" borderId="1" xfId="0" applyNumberFormat="1" applyFill="1" applyBorder="1"/>
    <xf numFmtId="0" fontId="10" fillId="47" borderId="11" xfId="0" applyFont="1" applyFill="1" applyBorder="1" applyAlignment="1">
      <alignment horizontal="center"/>
    </xf>
    <xf numFmtId="0" fontId="10" fillId="47" borderId="1" xfId="0" applyFont="1" applyFill="1" applyBorder="1"/>
    <xf numFmtId="0" fontId="0" fillId="16" borderId="0" xfId="0" applyFill="1" applyBorder="1" applyAlignment="1">
      <alignment horizontal="left"/>
    </xf>
    <xf numFmtId="0" fontId="0" fillId="8" borderId="0" xfId="0" applyFill="1" applyBorder="1" applyAlignment="1">
      <alignment horizontal="left"/>
    </xf>
    <xf numFmtId="0" fontId="0" fillId="17" borderId="0" xfId="0" applyFill="1" applyBorder="1" applyAlignment="1">
      <alignment horizontal="left"/>
    </xf>
    <xf numFmtId="0" fontId="0" fillId="14" borderId="0" xfId="0" applyFill="1" applyBorder="1" applyAlignment="1">
      <alignment horizontal="left"/>
    </xf>
    <xf numFmtId="0" fontId="0" fillId="13" borderId="0" xfId="0" applyFill="1" applyBorder="1" applyAlignment="1">
      <alignment horizontal="left"/>
    </xf>
    <xf numFmtId="0" fontId="0" fillId="15" borderId="0" xfId="0" applyFill="1" applyBorder="1" applyAlignment="1">
      <alignment horizontal="left"/>
    </xf>
    <xf numFmtId="0" fontId="0" fillId="11" borderId="0" xfId="0" applyFill="1" applyBorder="1" applyAlignment="1">
      <alignment horizontal="left"/>
    </xf>
    <xf numFmtId="0" fontId="0" fillId="18" borderId="0" xfId="0" applyFill="1" applyBorder="1" applyAlignment="1">
      <alignment horizontal="left"/>
    </xf>
    <xf numFmtId="0" fontId="0" fillId="39" borderId="0" xfId="0" applyFill="1" applyBorder="1" applyAlignment="1">
      <alignment horizontal="left"/>
    </xf>
    <xf numFmtId="0" fontId="0" fillId="20" borderId="0" xfId="0" applyFill="1" applyBorder="1" applyAlignment="1">
      <alignment horizontal="left"/>
    </xf>
    <xf numFmtId="0" fontId="0" fillId="6" borderId="0" xfId="0" applyFill="1" applyBorder="1" applyAlignment="1">
      <alignment horizontal="left"/>
    </xf>
    <xf numFmtId="0" fontId="0" fillId="42" borderId="0" xfId="0" applyFill="1" applyBorder="1" applyAlignment="1">
      <alignment horizontal="left"/>
    </xf>
    <xf numFmtId="1" fontId="0" fillId="26" borderId="0" xfId="0" applyNumberFormat="1" applyFill="1" applyAlignment="1">
      <alignment wrapText="1"/>
    </xf>
    <xf numFmtId="1" fontId="0" fillId="15" borderId="0" xfId="0" applyNumberFormat="1" applyFill="1" applyAlignment="1">
      <alignment wrapText="1"/>
    </xf>
    <xf numFmtId="1" fontId="2" fillId="42" borderId="0" xfId="0" applyNumberFormat="1" applyFont="1" applyFill="1" applyAlignment="1">
      <alignment wrapText="1"/>
    </xf>
    <xf numFmtId="1" fontId="2" fillId="43" borderId="0" xfId="0" applyNumberFormat="1" applyFont="1" applyFill="1" applyAlignment="1">
      <alignment wrapText="1"/>
    </xf>
    <xf numFmtId="1" fontId="0" fillId="43" borderId="0" xfId="0" applyNumberFormat="1" applyFill="1" applyAlignment="1">
      <alignment wrapText="1"/>
    </xf>
    <xf numFmtId="1" fontId="0" fillId="42" borderId="0" xfId="0" applyNumberFormat="1" applyFill="1" applyAlignment="1">
      <alignment wrapText="1"/>
    </xf>
    <xf numFmtId="1" fontId="0" fillId="0" borderId="0" xfId="0" applyNumberFormat="1" applyFill="1"/>
    <xf numFmtId="2" fontId="0" fillId="4" borderId="0" xfId="0" applyNumberFormat="1" applyFill="1" applyBorder="1"/>
    <xf numFmtId="0" fontId="0" fillId="16" borderId="0" xfId="0" applyFill="1" applyBorder="1" applyAlignment="1">
      <alignment horizontal="right"/>
    </xf>
    <xf numFmtId="0" fontId="0" fillId="8" borderId="0" xfId="0" applyFill="1" applyBorder="1" applyAlignment="1">
      <alignment horizontal="right"/>
    </xf>
    <xf numFmtId="0" fontId="0" fillId="17" borderId="0" xfId="0" applyFill="1" applyBorder="1" applyAlignment="1">
      <alignment horizontal="right"/>
    </xf>
    <xf numFmtId="0" fontId="0" fillId="14" borderId="0" xfId="0" applyFill="1" applyBorder="1" applyAlignment="1">
      <alignment horizontal="right"/>
    </xf>
    <xf numFmtId="0" fontId="0" fillId="13" borderId="0" xfId="0" applyFill="1" applyBorder="1" applyAlignment="1">
      <alignment horizontal="right"/>
    </xf>
    <xf numFmtId="0" fontId="0" fillId="15" borderId="0" xfId="0" applyFill="1" applyBorder="1" applyAlignment="1">
      <alignment horizontal="right"/>
    </xf>
    <xf numFmtId="0" fontId="0" fillId="11" borderId="0" xfId="0" applyFill="1" applyBorder="1" applyAlignment="1">
      <alignment horizontal="right"/>
    </xf>
    <xf numFmtId="0" fontId="0" fillId="18" borderId="0" xfId="0" applyFill="1" applyBorder="1" applyAlignment="1">
      <alignment horizontal="right"/>
    </xf>
    <xf numFmtId="0" fontId="0" fillId="39" borderId="0" xfId="0" applyFill="1" applyBorder="1" applyAlignment="1">
      <alignment horizontal="right"/>
    </xf>
    <xf numFmtId="0" fontId="0" fillId="20" borderId="0" xfId="0" applyFill="1" applyBorder="1" applyAlignment="1">
      <alignment horizontal="right"/>
    </xf>
    <xf numFmtId="0" fontId="0" fillId="6" borderId="0" xfId="0" applyFill="1" applyBorder="1" applyAlignment="1">
      <alignment horizontal="right"/>
    </xf>
    <xf numFmtId="0" fontId="0" fillId="42" borderId="0" xfId="0" applyFill="1" applyBorder="1" applyAlignment="1">
      <alignment horizontal="right"/>
    </xf>
    <xf numFmtId="0" fontId="0" fillId="0" borderId="0" xfId="0" applyAlignment="1">
      <alignment horizontal="center"/>
    </xf>
    <xf numFmtId="2" fontId="0" fillId="19" borderId="0" xfId="0" applyNumberFormat="1" applyFill="1"/>
    <xf numFmtId="0" fontId="0" fillId="13" borderId="6" xfId="0" applyFill="1" applyBorder="1"/>
    <xf numFmtId="0" fontId="0" fillId="0" borderId="21" xfId="0" applyFill="1" applyBorder="1"/>
    <xf numFmtId="0" fontId="0" fillId="6" borderId="21" xfId="0" applyFill="1" applyBorder="1"/>
    <xf numFmtId="0" fontId="0" fillId="3" borderId="21" xfId="0" applyFill="1" applyBorder="1"/>
    <xf numFmtId="0" fontId="0" fillId="4" borderId="21" xfId="0" applyFill="1" applyBorder="1"/>
    <xf numFmtId="0" fontId="0" fillId="5" borderId="21" xfId="0" applyFill="1" applyBorder="1"/>
    <xf numFmtId="0" fontId="0" fillId="8" borderId="3" xfId="0" applyFill="1" applyBorder="1"/>
    <xf numFmtId="0" fontId="0" fillId="8" borderId="21" xfId="0" applyFill="1" applyBorder="1"/>
    <xf numFmtId="1" fontId="0" fillId="0" borderId="3" xfId="0" applyNumberFormat="1" applyBorder="1"/>
    <xf numFmtId="1" fontId="0" fillId="6" borderId="3" xfId="0" applyNumberFormat="1" applyFill="1" applyBorder="1"/>
    <xf numFmtId="1" fontId="0" fillId="3" borderId="3" xfId="0" applyNumberFormat="1" applyFill="1" applyBorder="1"/>
    <xf numFmtId="1" fontId="0" fillId="4" borderId="3" xfId="0" applyNumberFormat="1" applyFill="1" applyBorder="1"/>
    <xf numFmtId="1" fontId="0" fillId="5" borderId="3" xfId="0" applyNumberFormat="1" applyFill="1" applyBorder="1"/>
    <xf numFmtId="14" fontId="0" fillId="0" borderId="9" xfId="0" applyNumberFormat="1" applyBorder="1"/>
    <xf numFmtId="0" fontId="0" fillId="0" borderId="9" xfId="0" applyBorder="1"/>
    <xf numFmtId="0" fontId="0" fillId="0" borderId="22" xfId="0" applyBorder="1"/>
    <xf numFmtId="0" fontId="0" fillId="6" borderId="9" xfId="0" applyFill="1" applyBorder="1"/>
    <xf numFmtId="0" fontId="0" fillId="6" borderId="22" xfId="0" applyFill="1" applyBorder="1"/>
    <xf numFmtId="0" fontId="0" fillId="3" borderId="9" xfId="0" applyFill="1" applyBorder="1"/>
    <xf numFmtId="0" fontId="0" fillId="3" borderId="22" xfId="0" applyFill="1" applyBorder="1"/>
    <xf numFmtId="0" fontId="0" fillId="4" borderId="9" xfId="0" applyFill="1" applyBorder="1"/>
    <xf numFmtId="0" fontId="0" fillId="4" borderId="22" xfId="0" applyFill="1" applyBorder="1"/>
    <xf numFmtId="0" fontId="0" fillId="5" borderId="9" xfId="0" applyFill="1" applyBorder="1"/>
    <xf numFmtId="0" fontId="0" fillId="5" borderId="22" xfId="0" applyFill="1" applyBorder="1"/>
    <xf numFmtId="0" fontId="0" fillId="8" borderId="9" xfId="0" applyFill="1" applyBorder="1"/>
    <xf numFmtId="0" fontId="0" fillId="8" borderId="22" xfId="0" applyFill="1" applyBorder="1"/>
    <xf numFmtId="0" fontId="0" fillId="0" borderId="9" xfId="0" applyFill="1" applyBorder="1"/>
    <xf numFmtId="1" fontId="0" fillId="0" borderId="9" xfId="0" applyNumberFormat="1" applyBorder="1"/>
    <xf numFmtId="1" fontId="0" fillId="6" borderId="9" xfId="0" applyNumberFormat="1" applyFill="1" applyBorder="1"/>
    <xf numFmtId="1" fontId="0" fillId="3" borderId="9" xfId="0" applyNumberFormat="1" applyFill="1" applyBorder="1"/>
    <xf numFmtId="1" fontId="0" fillId="4" borderId="9" xfId="0" applyNumberFormat="1" applyFill="1" applyBorder="1"/>
    <xf numFmtId="1" fontId="0" fillId="5" borderId="9" xfId="0" applyNumberFormat="1" applyFill="1" applyBorder="1"/>
    <xf numFmtId="14" fontId="0" fillId="13" borderId="0" xfId="0" applyNumberFormat="1" applyFill="1"/>
    <xf numFmtId="165" fontId="0" fillId="0" borderId="9" xfId="0" applyNumberFormat="1" applyBorder="1"/>
    <xf numFmtId="165" fontId="0" fillId="0" borderId="23" xfId="0" applyNumberFormat="1" applyBorder="1"/>
    <xf numFmtId="165" fontId="0" fillId="6" borderId="9" xfId="0" applyNumberFormat="1" applyFill="1" applyBorder="1"/>
    <xf numFmtId="165" fontId="0" fillId="6" borderId="23" xfId="0" applyNumberFormat="1" applyFill="1" applyBorder="1"/>
    <xf numFmtId="165" fontId="0" fillId="3" borderId="9" xfId="0" applyNumberFormat="1" applyFill="1" applyBorder="1"/>
    <xf numFmtId="165" fontId="0" fillId="3" borderId="23" xfId="0" applyNumberFormat="1" applyFill="1" applyBorder="1"/>
    <xf numFmtId="165" fontId="0" fillId="4" borderId="9" xfId="0" applyNumberFormat="1" applyFill="1" applyBorder="1"/>
    <xf numFmtId="165" fontId="0" fillId="4" borderId="23" xfId="0" applyNumberFormat="1" applyFill="1" applyBorder="1"/>
    <xf numFmtId="165" fontId="0" fillId="18" borderId="9" xfId="0" applyNumberFormat="1" applyFill="1" applyBorder="1"/>
    <xf numFmtId="165" fontId="0" fillId="18" borderId="23" xfId="0" applyNumberFormat="1" applyFill="1" applyBorder="1"/>
    <xf numFmtId="1" fontId="0" fillId="18" borderId="9" xfId="0" applyNumberFormat="1" applyFill="1" applyBorder="1"/>
    <xf numFmtId="165" fontId="0" fillId="0" borderId="0" xfId="0" applyNumberFormat="1" applyBorder="1"/>
    <xf numFmtId="1" fontId="0" fillId="0" borderId="0" xfId="0" applyNumberFormat="1" applyBorder="1" applyAlignment="1">
      <alignment wrapText="1"/>
    </xf>
    <xf numFmtId="1" fontId="0" fillId="6" borderId="0" xfId="0" applyNumberFormat="1" applyFill="1" applyBorder="1" applyAlignment="1">
      <alignment wrapText="1"/>
    </xf>
    <xf numFmtId="1" fontId="0" fillId="3" borderId="0" xfId="0" applyNumberFormat="1" applyFill="1" applyBorder="1" applyAlignment="1">
      <alignment wrapText="1"/>
    </xf>
    <xf numFmtId="1" fontId="0" fillId="4" borderId="0" xfId="0" applyNumberFormat="1" applyFill="1" applyBorder="1" applyAlignment="1">
      <alignment wrapText="1"/>
    </xf>
    <xf numFmtId="1" fontId="2" fillId="18" borderId="0" xfId="0" applyNumberFormat="1" applyFont="1" applyFill="1" applyBorder="1" applyAlignment="1">
      <alignment wrapText="1"/>
    </xf>
    <xf numFmtId="1" fontId="0" fillId="0" borderId="0" xfId="0" applyNumberFormat="1" applyBorder="1"/>
    <xf numFmtId="1" fontId="0" fillId="18" borderId="0" xfId="0" applyNumberFormat="1" applyFill="1" applyBorder="1" applyAlignment="1">
      <alignment wrapText="1"/>
    </xf>
    <xf numFmtId="0" fontId="0" fillId="57" borderId="0" xfId="0" applyFill="1"/>
    <xf numFmtId="0" fontId="0" fillId="0" borderId="0" xfId="0" applyAlignment="1">
      <alignment horizontal="center" wrapText="1"/>
    </xf>
    <xf numFmtId="165" fontId="0" fillId="16" borderId="0" xfId="0" applyNumberFormat="1" applyFill="1" applyBorder="1"/>
    <xf numFmtId="165" fontId="0" fillId="8" borderId="0" xfId="0" applyNumberFormat="1" applyFill="1" applyBorder="1"/>
    <xf numFmtId="165" fontId="0" fillId="17" borderId="0" xfId="0" applyNumberFormat="1" applyFill="1" applyBorder="1"/>
    <xf numFmtId="165" fontId="0" fillId="14" borderId="0" xfId="0" applyNumberFormat="1" applyFill="1" applyBorder="1"/>
    <xf numFmtId="165" fontId="0" fillId="13" borderId="0" xfId="0" applyNumberFormat="1" applyFill="1" applyBorder="1"/>
    <xf numFmtId="165" fontId="0" fillId="15" borderId="0" xfId="0" applyNumberFormat="1" applyFill="1" applyBorder="1"/>
    <xf numFmtId="165" fontId="0" fillId="11" borderId="0" xfId="0" applyNumberFormat="1" applyFill="1" applyBorder="1"/>
    <xf numFmtId="165" fontId="0" fillId="39" borderId="0" xfId="0" applyNumberFormat="1" applyFill="1" applyBorder="1"/>
    <xf numFmtId="165" fontId="0" fillId="20" borderId="0" xfId="0" applyNumberFormat="1" applyFill="1" applyBorder="1"/>
    <xf numFmtId="165" fontId="0" fillId="42" borderId="0" xfId="0" applyNumberFormat="1" applyFill="1" applyBorder="1"/>
    <xf numFmtId="0" fontId="2" fillId="58" borderId="0" xfId="0" applyFont="1" applyFill="1"/>
    <xf numFmtId="0" fontId="0" fillId="0" borderId="0" xfId="0" applyBorder="1" applyAlignment="1">
      <alignment horizontal="center" wrapText="1"/>
    </xf>
    <xf numFmtId="0" fontId="0" fillId="0" borderId="0" xfId="0" applyBorder="1" applyAlignment="1">
      <alignment horizontal="left" wrapText="1"/>
    </xf>
    <xf numFmtId="18" fontId="0" fillId="0" borderId="0" xfId="0" applyNumberFormat="1" applyBorder="1" applyAlignment="1">
      <alignment horizontal="center" wrapText="1"/>
    </xf>
    <xf numFmtId="2" fontId="0" fillId="0" borderId="0" xfId="0" applyNumberFormat="1" applyBorder="1" applyAlignment="1">
      <alignment horizontal="center"/>
    </xf>
    <xf numFmtId="2" fontId="3" fillId="0" borderId="0" xfId="0" applyNumberFormat="1" applyFont="1" applyBorder="1"/>
    <xf numFmtId="0" fontId="0" fillId="3" borderId="0" xfId="0" applyFill="1" applyAlignment="1">
      <alignment horizontal="center" wrapText="1"/>
    </xf>
    <xf numFmtId="0" fontId="0" fillId="4" borderId="0" xfId="0" applyFill="1" applyAlignment="1">
      <alignment horizontal="center" wrapText="1"/>
    </xf>
    <xf numFmtId="0" fontId="0" fillId="6" borderId="0" xfId="0" applyFill="1" applyAlignment="1">
      <alignment horizontal="center" wrapText="1"/>
    </xf>
    <xf numFmtId="0" fontId="0" fillId="2" borderId="0" xfId="0" applyFill="1" applyAlignment="1">
      <alignment horizontal="center" wrapText="1"/>
    </xf>
    <xf numFmtId="0" fontId="0" fillId="5" borderId="0" xfId="0" applyFill="1" applyAlignment="1">
      <alignment horizontal="center" wrapText="1"/>
    </xf>
    <xf numFmtId="0" fontId="0" fillId="14" borderId="0" xfId="0" applyFill="1" applyAlignment="1">
      <alignment horizontal="center" wrapText="1"/>
    </xf>
    <xf numFmtId="0" fontId="0" fillId="21" borderId="0" xfId="0" applyFill="1" applyAlignment="1">
      <alignment horizontal="center" wrapText="1"/>
    </xf>
    <xf numFmtId="0" fontId="0" fillId="13" borderId="0" xfId="0" applyFill="1" applyAlignment="1">
      <alignment horizontal="center" wrapText="1"/>
    </xf>
    <xf numFmtId="0" fontId="0" fillId="8" borderId="0" xfId="0" applyFill="1" applyAlignment="1">
      <alignment horizontal="center" wrapText="1"/>
    </xf>
    <xf numFmtId="0" fontId="2" fillId="9" borderId="0" xfId="0" applyFont="1" applyFill="1" applyAlignment="1">
      <alignment horizontal="center" wrapText="1"/>
    </xf>
    <xf numFmtId="0" fontId="0" fillId="15" borderId="0" xfId="0" applyFill="1" applyAlignment="1">
      <alignment horizontal="center" wrapText="1"/>
    </xf>
    <xf numFmtId="0" fontId="0" fillId="18" borderId="0" xfId="0" applyFill="1" applyAlignment="1">
      <alignment horizontal="center" wrapText="1"/>
    </xf>
    <xf numFmtId="0" fontId="0" fillId="11" borderId="0" xfId="0" applyFill="1" applyAlignment="1">
      <alignment horizontal="center" wrapText="1"/>
    </xf>
    <xf numFmtId="0" fontId="0" fillId="0" borderId="0" xfId="0" applyAlignment="1">
      <alignment horizontal="center"/>
    </xf>
    <xf numFmtId="0" fontId="0" fillId="0" borderId="0" xfId="0" applyFill="1" applyBorder="1" applyAlignment="1"/>
    <xf numFmtId="0" fontId="0" fillId="0" borderId="0" xfId="0" applyAlignment="1"/>
    <xf numFmtId="0" fontId="0" fillId="43" borderId="0" xfId="0" applyFill="1" applyAlignment="1">
      <alignment horizontal="center"/>
    </xf>
    <xf numFmtId="0" fontId="0" fillId="6" borderId="0" xfId="0" applyFill="1" applyAlignment="1">
      <alignment horizontal="center"/>
    </xf>
    <xf numFmtId="0" fontId="0" fillId="26" borderId="0" xfId="0" applyFill="1" applyAlignment="1">
      <alignment horizontal="center"/>
    </xf>
    <xf numFmtId="0" fontId="0" fillId="15" borderId="0" xfId="0" applyFill="1" applyAlignment="1">
      <alignment horizontal="center"/>
    </xf>
    <xf numFmtId="0" fontId="0" fillId="4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5" borderId="0" xfId="0" applyFill="1" applyBorder="1" applyAlignment="1">
      <alignment horizontal="center"/>
    </xf>
    <xf numFmtId="0" fontId="0" fillId="22" borderId="0" xfId="0" applyFill="1" applyAlignment="1">
      <alignment horizontal="center"/>
    </xf>
    <xf numFmtId="2" fontId="0" fillId="6" borderId="0" xfId="0" applyNumberFormat="1" applyFill="1" applyAlignment="1"/>
    <xf numFmtId="2" fontId="0" fillId="3" borderId="0" xfId="0" applyNumberFormat="1" applyFill="1" applyAlignment="1">
      <alignment horizontal="center"/>
    </xf>
    <xf numFmtId="2" fontId="0" fillId="4" borderId="0" xfId="0" applyNumberFormat="1" applyFill="1" applyAlignment="1">
      <alignment horizontal="center"/>
    </xf>
    <xf numFmtId="0" fontId="0" fillId="5" borderId="0" xfId="0" applyFill="1" applyAlignment="1">
      <alignment horizontal="center"/>
    </xf>
    <xf numFmtId="0" fontId="0" fillId="0" borderId="0" xfId="0" applyAlignment="1">
      <alignment wrapText="1"/>
    </xf>
    <xf numFmtId="0" fontId="0" fillId="2" borderId="0" xfId="0" applyFill="1" applyAlignment="1">
      <alignment horizontal="center"/>
    </xf>
    <xf numFmtId="0" fontId="0" fillId="20" borderId="7" xfId="0" applyFill="1" applyBorder="1" applyAlignment="1">
      <alignment horizontal="center"/>
    </xf>
    <xf numFmtId="0" fontId="0" fillId="20" borderId="0" xfId="0" applyFill="1" applyAlignment="1">
      <alignment horizontal="center"/>
    </xf>
    <xf numFmtId="0" fontId="0" fillId="20" borderId="1" xfId="0" applyFill="1" applyBorder="1" applyAlignment="1">
      <alignment horizontal="center"/>
    </xf>
    <xf numFmtId="0" fontId="0" fillId="6" borderId="7" xfId="0" applyFill="1" applyBorder="1" applyAlignment="1">
      <alignment horizontal="center"/>
    </xf>
    <xf numFmtId="0" fontId="0" fillId="6" borderId="1" xfId="0" applyFill="1" applyBorder="1" applyAlignment="1">
      <alignment horizontal="center"/>
    </xf>
    <xf numFmtId="0" fontId="0" fillId="11" borderId="0" xfId="0" applyFill="1" applyAlignment="1">
      <alignment horizontal="center"/>
    </xf>
    <xf numFmtId="0" fontId="0" fillId="11" borderId="1" xfId="0" applyFill="1" applyBorder="1" applyAlignment="1">
      <alignment horizontal="center"/>
    </xf>
    <xf numFmtId="0" fontId="0" fillId="21" borderId="0" xfId="0" applyFill="1" applyAlignment="1">
      <alignment horizontal="center"/>
    </xf>
    <xf numFmtId="0" fontId="0" fillId="42" borderId="7" xfId="0" applyFill="1" applyBorder="1" applyAlignment="1">
      <alignment horizontal="center"/>
    </xf>
    <xf numFmtId="0" fontId="0" fillId="42" borderId="1" xfId="0" applyFill="1" applyBorder="1" applyAlignment="1">
      <alignment horizontal="center"/>
    </xf>
    <xf numFmtId="0" fontId="0" fillId="46" borderId="7" xfId="0" applyFill="1" applyBorder="1" applyAlignment="1">
      <alignment horizontal="center"/>
    </xf>
    <xf numFmtId="0" fontId="0" fillId="46" borderId="0" xfId="0" applyFill="1" applyAlignment="1">
      <alignment horizontal="center"/>
    </xf>
    <xf numFmtId="0" fontId="0" fillId="46" borderId="1" xfId="0" applyFill="1" applyBorder="1" applyAlignment="1">
      <alignment horizontal="center"/>
    </xf>
    <xf numFmtId="0" fontId="0" fillId="39" borderId="0" xfId="0" applyFill="1" applyAlignment="1">
      <alignment horizontal="center"/>
    </xf>
    <xf numFmtId="0" fontId="0" fillId="39" borderId="1" xfId="0" applyFill="1" applyBorder="1" applyAlignment="1">
      <alignment horizontal="center"/>
    </xf>
    <xf numFmtId="0" fontId="2" fillId="53" borderId="7" xfId="0" applyFont="1" applyFill="1" applyBorder="1" applyAlignment="1">
      <alignment horizontal="center"/>
    </xf>
    <xf numFmtId="0" fontId="2" fillId="53" borderId="0" xfId="0" applyFont="1" applyFill="1" applyBorder="1" applyAlignment="1">
      <alignment horizontal="center"/>
    </xf>
    <xf numFmtId="0" fontId="2" fillId="53" borderId="19" xfId="0" applyFont="1" applyFill="1" applyBorder="1" applyAlignment="1">
      <alignment horizontal="center"/>
    </xf>
    <xf numFmtId="0" fontId="2" fillId="33" borderId="20" xfId="0" applyFont="1" applyFill="1" applyBorder="1" applyAlignment="1">
      <alignment horizontal="center"/>
    </xf>
    <xf numFmtId="0" fontId="2" fillId="33" borderId="0" xfId="0" applyFont="1" applyFill="1" applyAlignment="1">
      <alignment horizontal="center"/>
    </xf>
    <xf numFmtId="0" fontId="2" fillId="33" borderId="19" xfId="0" applyFont="1" applyFill="1" applyBorder="1" applyAlignment="1">
      <alignment horizontal="center"/>
    </xf>
    <xf numFmtId="0" fontId="9" fillId="34" borderId="20" xfId="0" applyFont="1" applyFill="1" applyBorder="1" applyAlignment="1">
      <alignment horizontal="center"/>
    </xf>
    <xf numFmtId="0" fontId="9" fillId="34" borderId="0" xfId="0" applyFont="1" applyFill="1" applyAlignment="1">
      <alignment horizontal="center"/>
    </xf>
    <xf numFmtId="0" fontId="9" fillId="34" borderId="19" xfId="0" applyFont="1" applyFill="1" applyBorder="1" applyAlignment="1">
      <alignment horizontal="center"/>
    </xf>
    <xf numFmtId="0" fontId="9" fillId="54" borderId="20" xfId="0" applyFont="1" applyFill="1" applyBorder="1" applyAlignment="1">
      <alignment horizontal="center"/>
    </xf>
    <xf numFmtId="0" fontId="9" fillId="54" borderId="0" xfId="0" applyFont="1" applyFill="1" applyAlignment="1">
      <alignment horizontal="center"/>
    </xf>
    <xf numFmtId="0" fontId="9" fillId="54" borderId="19" xfId="0" applyFont="1" applyFill="1" applyBorder="1" applyAlignment="1">
      <alignment horizontal="center"/>
    </xf>
    <xf numFmtId="0" fontId="2" fillId="55" borderId="20" xfId="0" applyFont="1" applyFill="1" applyBorder="1" applyAlignment="1">
      <alignment horizontal="center"/>
    </xf>
    <xf numFmtId="0" fontId="2" fillId="55" borderId="0" xfId="0" applyFont="1" applyFill="1" applyAlignment="1">
      <alignment horizontal="center"/>
    </xf>
    <xf numFmtId="0" fontId="2" fillId="55" borderId="19" xfId="0" applyFont="1" applyFill="1" applyBorder="1" applyAlignment="1">
      <alignment horizontal="center"/>
    </xf>
    <xf numFmtId="0" fontId="0" fillId="37" borderId="7" xfId="0" applyFill="1" applyBorder="1" applyAlignment="1">
      <alignment horizontal="center"/>
    </xf>
    <xf numFmtId="0" fontId="0" fillId="37" borderId="0" xfId="0" applyFill="1" applyAlignment="1">
      <alignment horizontal="center"/>
    </xf>
    <xf numFmtId="0" fontId="0" fillId="37" borderId="1" xfId="0" applyFill="1" applyBorder="1" applyAlignment="1">
      <alignment horizontal="center"/>
    </xf>
    <xf numFmtId="0" fontId="0" fillId="38" borderId="7" xfId="0" applyFill="1" applyBorder="1" applyAlignment="1">
      <alignment horizontal="center"/>
    </xf>
    <xf numFmtId="0" fontId="0" fillId="38" borderId="0" xfId="0" applyFill="1" applyAlignment="1">
      <alignment horizontal="center"/>
    </xf>
    <xf numFmtId="0" fontId="0" fillId="38" borderId="1" xfId="0" applyFill="1" applyBorder="1" applyAlignment="1">
      <alignment horizontal="center"/>
    </xf>
    <xf numFmtId="0" fontId="9" fillId="15" borderId="7" xfId="0" applyFont="1" applyFill="1" applyBorder="1" applyAlignment="1">
      <alignment horizontal="center"/>
    </xf>
    <xf numFmtId="0" fontId="0" fillId="15" borderId="1" xfId="0" applyFill="1" applyBorder="1" applyAlignment="1">
      <alignment horizontal="center"/>
    </xf>
    <xf numFmtId="0" fontId="9" fillId="51" borderId="7" xfId="0" applyFont="1" applyFill="1" applyBorder="1" applyAlignment="1">
      <alignment horizontal="center"/>
    </xf>
    <xf numFmtId="0" fontId="0" fillId="51" borderId="0" xfId="0" applyFill="1" applyAlignment="1">
      <alignment horizontal="center"/>
    </xf>
    <xf numFmtId="0" fontId="0" fillId="51" borderId="1" xfId="0" applyFill="1" applyBorder="1" applyAlignment="1">
      <alignment horizontal="center"/>
    </xf>
    <xf numFmtId="0" fontId="0" fillId="52" borderId="7" xfId="0" applyFill="1" applyBorder="1" applyAlignment="1">
      <alignment horizontal="center"/>
    </xf>
    <xf numFmtId="0" fontId="0" fillId="52" borderId="0" xfId="0" applyFill="1" applyAlignment="1">
      <alignment horizontal="center"/>
    </xf>
    <xf numFmtId="0" fontId="0" fillId="52" borderId="1" xfId="0" applyFill="1" applyBorder="1" applyAlignment="1">
      <alignment horizontal="center"/>
    </xf>
    <xf numFmtId="0" fontId="0" fillId="48" borderId="7" xfId="0" applyFill="1" applyBorder="1" applyAlignment="1">
      <alignment horizontal="center"/>
    </xf>
    <xf numFmtId="0" fontId="0" fillId="48" borderId="0" xfId="0" applyFill="1" applyAlignment="1">
      <alignment horizontal="center"/>
    </xf>
    <xf numFmtId="0" fontId="0" fillId="48" borderId="1" xfId="0" applyFill="1" applyBorder="1" applyAlignment="1">
      <alignment horizontal="center"/>
    </xf>
    <xf numFmtId="0" fontId="0" fillId="3" borderId="7" xfId="0" applyFill="1" applyBorder="1" applyAlignment="1">
      <alignment horizontal="center"/>
    </xf>
    <xf numFmtId="0" fontId="0" fillId="3" borderId="1" xfId="0" applyFill="1" applyBorder="1" applyAlignment="1">
      <alignment horizontal="center"/>
    </xf>
    <xf numFmtId="0" fontId="9" fillId="49" borderId="7" xfId="0" applyFont="1" applyFill="1" applyBorder="1" applyAlignment="1">
      <alignment horizontal="center"/>
    </xf>
    <xf numFmtId="0" fontId="0" fillId="49" borderId="0" xfId="0" applyFill="1" applyAlignment="1">
      <alignment horizontal="center"/>
    </xf>
    <xf numFmtId="0" fontId="0" fillId="49" borderId="1" xfId="0" applyFill="1" applyBorder="1" applyAlignment="1">
      <alignment horizontal="center"/>
    </xf>
    <xf numFmtId="0" fontId="9" fillId="50" borderId="7" xfId="0" applyFont="1" applyFill="1" applyBorder="1" applyAlignment="1">
      <alignment horizontal="center"/>
    </xf>
    <xf numFmtId="0" fontId="0" fillId="50" borderId="0" xfId="0" applyFill="1" applyAlignment="1">
      <alignment horizontal="center"/>
    </xf>
    <xf numFmtId="0" fontId="0" fillId="50" borderId="1" xfId="0" applyFill="1" applyBorder="1" applyAlignment="1">
      <alignment horizontal="center"/>
    </xf>
    <xf numFmtId="0" fontId="0" fillId="26" borderId="7" xfId="0" applyFill="1" applyBorder="1" applyAlignment="1">
      <alignment horizontal="center"/>
    </xf>
    <xf numFmtId="0" fontId="0" fillId="26" borderId="1" xfId="0" applyFill="1" applyBorder="1" applyAlignment="1">
      <alignment horizontal="center"/>
    </xf>
    <xf numFmtId="0" fontId="9" fillId="47" borderId="7" xfId="0" applyFont="1" applyFill="1" applyBorder="1" applyAlignment="1">
      <alignment horizontal="center"/>
    </xf>
    <xf numFmtId="0" fontId="0" fillId="47" borderId="0" xfId="0" applyFill="1" applyAlignment="1">
      <alignment horizontal="center"/>
    </xf>
    <xf numFmtId="0" fontId="0" fillId="47" borderId="1" xfId="0" applyFill="1" applyBorder="1" applyAlignment="1">
      <alignment horizontal="center"/>
    </xf>
    <xf numFmtId="0" fontId="0" fillId="43" borderId="7" xfId="0" applyFill="1" applyBorder="1" applyAlignment="1">
      <alignment horizontal="center"/>
    </xf>
    <xf numFmtId="0" fontId="0" fillId="43" borderId="1" xfId="0" applyFill="1" applyBorder="1" applyAlignment="1">
      <alignment horizontal="center"/>
    </xf>
    <xf numFmtId="0" fontId="0" fillId="15" borderId="7" xfId="0" applyFill="1" applyBorder="1" applyAlignment="1">
      <alignment horizontal="center"/>
    </xf>
    <xf numFmtId="0" fontId="0" fillId="0" borderId="1" xfId="0" applyBorder="1" applyAlignment="1">
      <alignment horizontal="center"/>
    </xf>
    <xf numFmtId="0" fontId="9" fillId="4" borderId="7" xfId="0" applyFont="1" applyFill="1" applyBorder="1" applyAlignment="1">
      <alignment horizontal="center"/>
    </xf>
    <xf numFmtId="0" fontId="9" fillId="5" borderId="7" xfId="0" applyFont="1" applyFill="1" applyBorder="1" applyAlignment="1">
      <alignment horizontal="center"/>
    </xf>
    <xf numFmtId="0" fontId="0" fillId="13" borderId="7" xfId="0" applyFill="1" applyBorder="1" applyAlignment="1">
      <alignment horizontal="center"/>
    </xf>
    <xf numFmtId="0" fontId="0" fillId="4" borderId="7" xfId="0" applyFill="1" applyBorder="1" applyAlignment="1">
      <alignment horizontal="center"/>
    </xf>
    <xf numFmtId="0" fontId="0" fillId="14" borderId="7" xfId="0" applyFill="1" applyBorder="1" applyAlignment="1">
      <alignment horizontal="center"/>
    </xf>
    <xf numFmtId="0" fontId="9" fillId="18" borderId="7" xfId="0" applyFont="1" applyFill="1" applyBorder="1" applyAlignment="1">
      <alignment horizontal="center"/>
    </xf>
    <xf numFmtId="0" fontId="0" fillId="18" borderId="0" xfId="0" applyFill="1" applyAlignment="1">
      <alignment horizontal="center"/>
    </xf>
    <xf numFmtId="0" fontId="0" fillId="18" borderId="1" xfId="0" applyFill="1" applyBorder="1" applyAlignment="1">
      <alignment horizontal="center"/>
    </xf>
    <xf numFmtId="0" fontId="0" fillId="4" borderId="1" xfId="0" applyFill="1" applyBorder="1" applyAlignment="1">
      <alignment horizontal="center"/>
    </xf>
    <xf numFmtId="0" fontId="9" fillId="11" borderId="7" xfId="0" applyFont="1" applyFill="1" applyBorder="1" applyAlignment="1">
      <alignment horizontal="center"/>
    </xf>
    <xf numFmtId="0" fontId="0" fillId="0" borderId="0" xfId="0" applyAlignment="1">
      <alignment horizontal="center" wrapText="1"/>
    </xf>
    <xf numFmtId="0" fontId="0" fillId="0" borderId="6" xfId="0" applyBorder="1" applyAlignment="1">
      <alignment horizontal="center"/>
    </xf>
    <xf numFmtId="2" fontId="0" fillId="0" borderId="6" xfId="0" applyNumberFormat="1" applyBorder="1" applyAlignment="1">
      <alignment horizontal="center"/>
    </xf>
  </cellXfs>
  <cellStyles count="1">
    <cellStyle name="Normal" xfId="0" builtinId="0"/>
  </cellStyles>
  <dxfs count="0"/>
  <tableStyles count="0" defaultTableStyle="TableStyleMedium2" defaultPivotStyle="PivotStyleLight16"/>
  <colors>
    <mruColors>
      <color rgb="FFE6C0FF"/>
      <color rgb="FFFF40FF"/>
      <color rgb="FFF4AD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9/1/21</a:t>
            </a:r>
            <a:r>
              <a:rPr lang="en-US" baseline="0"/>
              <a:t> F Standards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Height</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Runs'!$C$3:$C$9</c:f>
              <c:numCache>
                <c:formatCode>General</c:formatCode>
                <c:ptCount val="7"/>
                <c:pt idx="0">
                  <c:v>1</c:v>
                </c:pt>
                <c:pt idx="1">
                  <c:v>1.5</c:v>
                </c:pt>
                <c:pt idx="2">
                  <c:v>2</c:v>
                </c:pt>
                <c:pt idx="3">
                  <c:v>2.5</c:v>
                </c:pt>
                <c:pt idx="4">
                  <c:v>3</c:v>
                </c:pt>
                <c:pt idx="5">
                  <c:v>5</c:v>
                </c:pt>
                <c:pt idx="6">
                  <c:v>2</c:v>
                </c:pt>
              </c:numCache>
            </c:numRef>
          </c:xVal>
          <c:yVal>
            <c:numRef>
              <c:f>'Standards All Runs'!$F$3:$F$9</c:f>
              <c:numCache>
                <c:formatCode>General</c:formatCode>
                <c:ptCount val="7"/>
                <c:pt idx="0">
                  <c:v>2.6877</c:v>
                </c:pt>
                <c:pt idx="1">
                  <c:v>4.8263999999999996</c:v>
                </c:pt>
                <c:pt idx="2">
                  <c:v>7.0991999999999997</c:v>
                </c:pt>
                <c:pt idx="3">
                  <c:v>9.3192000000000004</c:v>
                </c:pt>
                <c:pt idx="4">
                  <c:v>11.8286</c:v>
                </c:pt>
                <c:pt idx="5">
                  <c:v>20.738600000000002</c:v>
                </c:pt>
                <c:pt idx="6">
                  <c:v>8.6674000000000007</c:v>
                </c:pt>
              </c:numCache>
            </c:numRef>
          </c:yVal>
          <c:smooth val="0"/>
          <c:extLst>
            <c:ext xmlns:c16="http://schemas.microsoft.com/office/drawing/2014/chart" uri="{C3380CC4-5D6E-409C-BE32-E72D297353CC}">
              <c16:uniqueId val="{00000000-BC20-854C-A7D0-018D81FCE6F2}"/>
            </c:ext>
          </c:extLst>
        </c:ser>
        <c:ser>
          <c:idx val="1"/>
          <c:order val="1"/>
          <c:tx>
            <c:v>Area Actual</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9.0449475065616791E-2"/>
                  <c:y val="0.1416309419655876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Runs'!$C$3:$C$9</c:f>
              <c:numCache>
                <c:formatCode>General</c:formatCode>
                <c:ptCount val="7"/>
                <c:pt idx="0">
                  <c:v>1</c:v>
                </c:pt>
                <c:pt idx="1">
                  <c:v>1.5</c:v>
                </c:pt>
                <c:pt idx="2">
                  <c:v>2</c:v>
                </c:pt>
                <c:pt idx="3">
                  <c:v>2.5</c:v>
                </c:pt>
                <c:pt idx="4">
                  <c:v>3</c:v>
                </c:pt>
                <c:pt idx="5">
                  <c:v>5</c:v>
                </c:pt>
                <c:pt idx="6">
                  <c:v>2</c:v>
                </c:pt>
              </c:numCache>
            </c:numRef>
          </c:xVal>
          <c:yVal>
            <c:numRef>
              <c:f>'Standards All Runs'!$E$3:$E$9</c:f>
              <c:numCache>
                <c:formatCode>General</c:formatCode>
                <c:ptCount val="7"/>
                <c:pt idx="0">
                  <c:v>1.2836000000000001</c:v>
                </c:pt>
                <c:pt idx="1">
                  <c:v>2.4954000000000001</c:v>
                </c:pt>
                <c:pt idx="2">
                  <c:v>4.3090000000000002</c:v>
                </c:pt>
                <c:pt idx="3">
                  <c:v>5.5429000000000004</c:v>
                </c:pt>
                <c:pt idx="4">
                  <c:v>6.5406000000000004</c:v>
                </c:pt>
                <c:pt idx="5">
                  <c:v>12.372199999999999</c:v>
                </c:pt>
                <c:pt idx="6">
                  <c:v>4.5476999999999999</c:v>
                </c:pt>
              </c:numCache>
            </c:numRef>
          </c:yVal>
          <c:smooth val="0"/>
          <c:extLst>
            <c:ext xmlns:c16="http://schemas.microsoft.com/office/drawing/2014/chart" uri="{C3380CC4-5D6E-409C-BE32-E72D297353CC}">
              <c16:uniqueId val="{00000002-BC20-854C-A7D0-018D81FCE6F2}"/>
            </c:ext>
          </c:extLst>
        </c:ser>
        <c:dLbls>
          <c:showLegendKey val="0"/>
          <c:showVal val="0"/>
          <c:showCatName val="0"/>
          <c:showSerName val="0"/>
          <c:showPercent val="0"/>
          <c:showBubbleSize val="0"/>
        </c:dLbls>
        <c:axId val="594425584"/>
        <c:axId val="969097808"/>
      </c:scatterChart>
      <c:valAx>
        <c:axId val="5944255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097808"/>
        <c:crosses val="autoZero"/>
        <c:crossBetween val="midCat"/>
      </c:valAx>
      <c:valAx>
        <c:axId val="969097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4255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t>
            </a:r>
            <a:r>
              <a:rPr lang="en-US" baseline="0"/>
              <a:t> Standards 10/4/21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Runs'!$C$142:$C$149</c:f>
              <c:numCache>
                <c:formatCode>General</c:formatCode>
                <c:ptCount val="8"/>
                <c:pt idx="0">
                  <c:v>0.5</c:v>
                </c:pt>
                <c:pt idx="1">
                  <c:v>1</c:v>
                </c:pt>
                <c:pt idx="2">
                  <c:v>1.5</c:v>
                </c:pt>
                <c:pt idx="3">
                  <c:v>2</c:v>
                </c:pt>
                <c:pt idx="4">
                  <c:v>2.5</c:v>
                </c:pt>
                <c:pt idx="5">
                  <c:v>3</c:v>
                </c:pt>
                <c:pt idx="6">
                  <c:v>5</c:v>
                </c:pt>
                <c:pt idx="7">
                  <c:v>1</c:v>
                </c:pt>
              </c:numCache>
            </c:numRef>
          </c:xVal>
          <c:yVal>
            <c:numRef>
              <c:f>'Standards All Runs'!$E$142:$E$149</c:f>
              <c:numCache>
                <c:formatCode>General</c:formatCode>
                <c:ptCount val="8"/>
                <c:pt idx="0">
                  <c:v>1.4991000000000001</c:v>
                </c:pt>
                <c:pt idx="1">
                  <c:v>3.1472000000000002</c:v>
                </c:pt>
                <c:pt idx="2">
                  <c:v>4.7533000000000003</c:v>
                </c:pt>
                <c:pt idx="3">
                  <c:v>6.4043000000000001</c:v>
                </c:pt>
                <c:pt idx="4">
                  <c:v>7.9714999999999998</c:v>
                </c:pt>
                <c:pt idx="5">
                  <c:v>9.7218999999999998</c:v>
                </c:pt>
                <c:pt idx="6">
                  <c:v>16.019100000000002</c:v>
                </c:pt>
                <c:pt idx="7">
                  <c:v>3.1322000000000001</c:v>
                </c:pt>
              </c:numCache>
            </c:numRef>
          </c:yVal>
          <c:smooth val="0"/>
          <c:extLst>
            <c:ext xmlns:c16="http://schemas.microsoft.com/office/drawing/2014/chart" uri="{C3380CC4-5D6E-409C-BE32-E72D297353CC}">
              <c16:uniqueId val="{00000000-C2F4-0247-940A-D2BB068156E7}"/>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Runs'!$C$141:$C$149</c:f>
              <c:numCache>
                <c:formatCode>General</c:formatCode>
                <c:ptCount val="9"/>
                <c:pt idx="0">
                  <c:v>0</c:v>
                </c:pt>
                <c:pt idx="1">
                  <c:v>0.5</c:v>
                </c:pt>
                <c:pt idx="2">
                  <c:v>1</c:v>
                </c:pt>
                <c:pt idx="3">
                  <c:v>1.5</c:v>
                </c:pt>
                <c:pt idx="4">
                  <c:v>2</c:v>
                </c:pt>
                <c:pt idx="5">
                  <c:v>2.5</c:v>
                </c:pt>
                <c:pt idx="6">
                  <c:v>3</c:v>
                </c:pt>
                <c:pt idx="7">
                  <c:v>5</c:v>
                </c:pt>
                <c:pt idx="8">
                  <c:v>1</c:v>
                </c:pt>
              </c:numCache>
            </c:numRef>
          </c:xVal>
          <c:yVal>
            <c:numRef>
              <c:f>'Standards All Runs'!$F$141:$F$149</c:f>
              <c:numCache>
                <c:formatCode>General</c:formatCode>
                <c:ptCount val="9"/>
                <c:pt idx="0">
                  <c:v>0</c:v>
                </c:pt>
                <c:pt idx="1">
                  <c:v>9.9013000000000009</c:v>
                </c:pt>
                <c:pt idx="2">
                  <c:v>20.935300000000002</c:v>
                </c:pt>
                <c:pt idx="3">
                  <c:v>31.7041</c:v>
                </c:pt>
                <c:pt idx="4">
                  <c:v>42.191499999999998</c:v>
                </c:pt>
                <c:pt idx="5">
                  <c:v>51.408700000000003</c:v>
                </c:pt>
                <c:pt idx="6">
                  <c:v>61.845700000000001</c:v>
                </c:pt>
                <c:pt idx="7">
                  <c:v>92.608699999999999</c:v>
                </c:pt>
                <c:pt idx="8">
                  <c:v>20.417200000000001</c:v>
                </c:pt>
              </c:numCache>
            </c:numRef>
          </c:yVal>
          <c:smooth val="0"/>
          <c:extLst>
            <c:ext xmlns:c16="http://schemas.microsoft.com/office/drawing/2014/chart" uri="{C3380CC4-5D6E-409C-BE32-E72D297353CC}">
              <c16:uniqueId val="{00000002-AECA-4E4D-9076-DF2B241D236F}"/>
            </c:ext>
          </c:extLst>
        </c:ser>
        <c:dLbls>
          <c:showLegendKey val="0"/>
          <c:showVal val="0"/>
          <c:showCatName val="0"/>
          <c:showSerName val="0"/>
          <c:showPercent val="0"/>
          <c:showBubbleSize val="0"/>
        </c:dLbls>
        <c:axId val="1541881328"/>
        <c:axId val="1541881728"/>
      </c:scatterChart>
      <c:valAx>
        <c:axId val="1541881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881728"/>
        <c:crosses val="autoZero"/>
        <c:crossBetween val="midCat"/>
      </c:valAx>
      <c:valAx>
        <c:axId val="1541881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18813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Tank 2</c:v>
          </c:tx>
          <c:spPr>
            <a:ln w="19050" cap="rnd">
              <a:noFill/>
              <a:round/>
            </a:ln>
            <a:effectLst/>
          </c:spPr>
          <c:marker>
            <c:symbol val="circle"/>
            <c:size val="5"/>
            <c:spPr>
              <a:solidFill>
                <a:schemeClr val="accent1"/>
              </a:solidFill>
              <a:ln w="9525">
                <a:solidFill>
                  <a:schemeClr val="accent1"/>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1&amp;2'!$Z$3:$Z$19</c:f>
              <c:numCache>
                <c:formatCode>0.00</c:formatCode>
                <c:ptCount val="17"/>
                <c:pt idx="0">
                  <c:v>2.9350000000000001</c:v>
                </c:pt>
                <c:pt idx="1">
                  <c:v>6.0490000000000004</c:v>
                </c:pt>
                <c:pt idx="2">
                  <c:v>5.3209999999999997</c:v>
                </c:pt>
                <c:pt idx="3">
                  <c:v>5.82</c:v>
                </c:pt>
                <c:pt idx="4">
                  <c:v>8</c:v>
                </c:pt>
                <c:pt idx="5">
                  <c:v>9.0210000000000008</c:v>
                </c:pt>
                <c:pt idx="6">
                  <c:v>9.4849999999999994</c:v>
                </c:pt>
                <c:pt idx="7">
                  <c:v>8.4600000000000009</c:v>
                </c:pt>
                <c:pt idx="8">
                  <c:v>6.915</c:v>
                </c:pt>
                <c:pt idx="9">
                  <c:v>6.9489999999999998</c:v>
                </c:pt>
                <c:pt idx="10" formatCode="General">
                  <c:v>5.8579999999999997</c:v>
                </c:pt>
                <c:pt idx="11" formatCode="General">
                  <c:v>6.657</c:v>
                </c:pt>
                <c:pt idx="12" formatCode="General">
                  <c:v>5.9660000000000002</c:v>
                </c:pt>
                <c:pt idx="13" formatCode="General">
                  <c:v>5.4770000000000003</c:v>
                </c:pt>
                <c:pt idx="14" formatCode="General">
                  <c:v>5.1040000000000001</c:v>
                </c:pt>
                <c:pt idx="15" formatCode="General">
                  <c:v>6.069</c:v>
                </c:pt>
                <c:pt idx="16" formatCode="General">
                  <c:v>10.95</c:v>
                </c:pt>
              </c:numCache>
            </c:numRef>
          </c:yVal>
          <c:smooth val="0"/>
          <c:extLst>
            <c:ext xmlns:c16="http://schemas.microsoft.com/office/drawing/2014/chart" uri="{C3380CC4-5D6E-409C-BE32-E72D297353CC}">
              <c16:uniqueId val="{00000000-EC4E-A543-8DE4-61D81E5EDBB8}"/>
            </c:ext>
          </c:extLst>
        </c:ser>
        <c:ser>
          <c:idx val="1"/>
          <c:order val="1"/>
          <c:tx>
            <c:v>2 Control</c:v>
          </c:tx>
          <c:spPr>
            <a:ln w="25400" cap="rnd">
              <a:noFill/>
              <a:round/>
            </a:ln>
            <a:effectLst/>
          </c:spPr>
          <c:marker>
            <c:symbol val="circle"/>
            <c:size val="5"/>
            <c:spPr>
              <a:solidFill>
                <a:schemeClr val="accent2"/>
              </a:solidFill>
              <a:ln w="9525">
                <a:solidFill>
                  <a:schemeClr val="accent2"/>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1&amp;2'!$AC$3:$AC$19</c:f>
              <c:numCache>
                <c:formatCode>0.00</c:formatCode>
                <c:ptCount val="17"/>
                <c:pt idx="0">
                  <c:v>6.1580000000000004</c:v>
                </c:pt>
                <c:pt idx="1">
                  <c:v>7.0750000000000002</c:v>
                </c:pt>
                <c:pt idx="2">
                  <c:v>5.665</c:v>
                </c:pt>
                <c:pt idx="3">
                  <c:v>4.9630000000000001</c:v>
                </c:pt>
                <c:pt idx="4">
                  <c:v>6.5289999999999999</c:v>
                </c:pt>
                <c:pt idx="5">
                  <c:v>8.0909999999999993</c:v>
                </c:pt>
                <c:pt idx="6">
                  <c:v>9.0530000000000008</c:v>
                </c:pt>
                <c:pt idx="7">
                  <c:v>7.4269999999999996</c:v>
                </c:pt>
                <c:pt idx="8">
                  <c:v>6.6550000000000002</c:v>
                </c:pt>
                <c:pt idx="9">
                  <c:v>5.2720000000000002</c:v>
                </c:pt>
                <c:pt idx="10" formatCode="General">
                  <c:v>5.9450000000000003</c:v>
                </c:pt>
                <c:pt idx="11" formatCode="General">
                  <c:v>6.3769999999999998</c:v>
                </c:pt>
                <c:pt idx="12" formatCode="General">
                  <c:v>6.3710000000000004</c:v>
                </c:pt>
                <c:pt idx="13" formatCode="General">
                  <c:v>5.6929999999999996</c:v>
                </c:pt>
                <c:pt idx="14" formatCode="General">
                  <c:v>4.5170000000000003</c:v>
                </c:pt>
                <c:pt idx="15" formatCode="General">
                  <c:v>5.41</c:v>
                </c:pt>
                <c:pt idx="16" formatCode="General">
                  <c:v>-4.2229999999999999</c:v>
                </c:pt>
              </c:numCache>
            </c:numRef>
          </c:yVal>
          <c:smooth val="0"/>
          <c:extLst>
            <c:ext xmlns:c16="http://schemas.microsoft.com/office/drawing/2014/chart" uri="{C3380CC4-5D6E-409C-BE32-E72D297353CC}">
              <c16:uniqueId val="{00000002-EC4E-A543-8DE4-61D81E5EDBB8}"/>
            </c:ext>
          </c:extLst>
        </c:ser>
        <c:ser>
          <c:idx val="2"/>
          <c:order val="2"/>
          <c:tx>
            <c:v>2A</c:v>
          </c:tx>
          <c:spPr>
            <a:ln w="25400" cap="rnd">
              <a:noFill/>
              <a:round/>
            </a:ln>
            <a:effectLst/>
          </c:spPr>
          <c:marker>
            <c:symbol val="circle"/>
            <c:size val="5"/>
            <c:spPr>
              <a:solidFill>
                <a:schemeClr val="accent3"/>
              </a:solidFill>
              <a:ln w="9525">
                <a:solidFill>
                  <a:schemeClr val="accent3"/>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1&amp;2'!$AG$3:$AG$19</c:f>
              <c:numCache>
                <c:formatCode>0.00</c:formatCode>
                <c:ptCount val="17"/>
                <c:pt idx="0">
                  <c:v>4.5890000000000004</c:v>
                </c:pt>
                <c:pt idx="1">
                  <c:v>5.8639999999999999</c:v>
                </c:pt>
                <c:pt idx="2">
                  <c:v>6.0759999999999996</c:v>
                </c:pt>
                <c:pt idx="3">
                  <c:v>3.879</c:v>
                </c:pt>
                <c:pt idx="4">
                  <c:v>6.4989999999999997</c:v>
                </c:pt>
                <c:pt idx="5">
                  <c:v>8.2119999999999997</c:v>
                </c:pt>
                <c:pt idx="6">
                  <c:v>6.8620000000000001</c:v>
                </c:pt>
                <c:pt idx="7">
                  <c:v>5.859</c:v>
                </c:pt>
                <c:pt idx="8">
                  <c:v>6.2039999999999997</c:v>
                </c:pt>
                <c:pt idx="9">
                  <c:v>5.7140000000000004</c:v>
                </c:pt>
                <c:pt idx="10" formatCode="General">
                  <c:v>5.9969999999999999</c:v>
                </c:pt>
                <c:pt idx="11" formatCode="General">
                  <c:v>6.4729999999999999</c:v>
                </c:pt>
                <c:pt idx="12" formatCode="General">
                  <c:v>5.9889999999999999</c:v>
                </c:pt>
                <c:pt idx="13" formatCode="General">
                  <c:v>5.7629999999999999</c:v>
                </c:pt>
                <c:pt idx="14" formatCode="General">
                  <c:v>4.4130000000000003</c:v>
                </c:pt>
                <c:pt idx="15" formatCode="General">
                  <c:v>5.6050000000000004</c:v>
                </c:pt>
                <c:pt idx="16" formatCode="General">
                  <c:v>-7.2960000000000003</c:v>
                </c:pt>
              </c:numCache>
            </c:numRef>
          </c:yVal>
          <c:smooth val="0"/>
          <c:extLst>
            <c:ext xmlns:c16="http://schemas.microsoft.com/office/drawing/2014/chart" uri="{C3380CC4-5D6E-409C-BE32-E72D297353CC}">
              <c16:uniqueId val="{00000003-EC4E-A543-8DE4-61D81E5EDBB8}"/>
            </c:ext>
          </c:extLst>
        </c:ser>
        <c:ser>
          <c:idx val="3"/>
          <c:order val="3"/>
          <c:tx>
            <c:v>2B</c:v>
          </c:tx>
          <c:spPr>
            <a:ln w="25400" cap="rnd">
              <a:noFill/>
              <a:round/>
            </a:ln>
            <a:effectLst/>
          </c:spPr>
          <c:marker>
            <c:symbol val="circle"/>
            <c:size val="5"/>
            <c:spPr>
              <a:solidFill>
                <a:schemeClr val="accent4"/>
              </a:solidFill>
              <a:ln w="9525">
                <a:solidFill>
                  <a:schemeClr val="accent4"/>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1&amp;2'!$AK$3:$AK$19</c:f>
              <c:numCache>
                <c:formatCode>0.00</c:formatCode>
                <c:ptCount val="17"/>
                <c:pt idx="0">
                  <c:v>2.5030000000000001</c:v>
                </c:pt>
                <c:pt idx="1">
                  <c:v>3.9950000000000001</c:v>
                </c:pt>
                <c:pt idx="2">
                  <c:v>4.8280000000000003</c:v>
                </c:pt>
                <c:pt idx="3">
                  <c:v>3.3679999999999999</c:v>
                </c:pt>
                <c:pt idx="4">
                  <c:v>6.3040000000000003</c:v>
                </c:pt>
                <c:pt idx="5">
                  <c:v>7.0439999999999996</c:v>
                </c:pt>
                <c:pt idx="6">
                  <c:v>8.1809999999999992</c:v>
                </c:pt>
                <c:pt idx="7">
                  <c:v>5.6550000000000002</c:v>
                </c:pt>
                <c:pt idx="8">
                  <c:v>5.4989999999999997</c:v>
                </c:pt>
                <c:pt idx="9">
                  <c:v>6.649</c:v>
                </c:pt>
                <c:pt idx="10" formatCode="General">
                  <c:v>5.8289999999999997</c:v>
                </c:pt>
                <c:pt idx="11" formatCode="General">
                  <c:v>6.22</c:v>
                </c:pt>
                <c:pt idx="12" formatCode="General">
                  <c:v>5.968</c:v>
                </c:pt>
                <c:pt idx="13" formatCode="General">
                  <c:v>5.7960000000000003</c:v>
                </c:pt>
                <c:pt idx="14" formatCode="General">
                  <c:v>4.5330000000000004</c:v>
                </c:pt>
                <c:pt idx="15" formatCode="General">
                  <c:v>5.39</c:v>
                </c:pt>
                <c:pt idx="16" formatCode="General">
                  <c:v>5.875</c:v>
                </c:pt>
              </c:numCache>
            </c:numRef>
          </c:yVal>
          <c:smooth val="0"/>
          <c:extLst>
            <c:ext xmlns:c16="http://schemas.microsoft.com/office/drawing/2014/chart" uri="{C3380CC4-5D6E-409C-BE32-E72D297353CC}">
              <c16:uniqueId val="{00000004-EC4E-A543-8DE4-61D81E5EDBB8}"/>
            </c:ext>
          </c:extLst>
        </c:ser>
        <c:ser>
          <c:idx val="4"/>
          <c:order val="4"/>
          <c:tx>
            <c:v>2C</c:v>
          </c:tx>
          <c:spPr>
            <a:ln w="25400" cap="rnd">
              <a:noFill/>
              <a:round/>
            </a:ln>
            <a:effectLst/>
          </c:spPr>
          <c:marker>
            <c:symbol val="circle"/>
            <c:size val="5"/>
            <c:spPr>
              <a:solidFill>
                <a:schemeClr val="accent5"/>
              </a:solidFill>
              <a:ln w="9525">
                <a:solidFill>
                  <a:schemeClr val="accent5"/>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1&amp;2'!$AO$3:$AO$19</c:f>
              <c:numCache>
                <c:formatCode>0.00</c:formatCode>
                <c:ptCount val="17"/>
                <c:pt idx="0">
                  <c:v>5.07</c:v>
                </c:pt>
                <c:pt idx="1">
                  <c:v>3.9820000000000002</c:v>
                </c:pt>
                <c:pt idx="2">
                  <c:v>2.3849999999999998</c:v>
                </c:pt>
                <c:pt idx="3">
                  <c:v>4.2699999999999996</c:v>
                </c:pt>
                <c:pt idx="4">
                  <c:v>6.569</c:v>
                </c:pt>
                <c:pt idx="5">
                  <c:v>6.9989999999999997</c:v>
                </c:pt>
                <c:pt idx="6">
                  <c:v>8.2469999999999999</c:v>
                </c:pt>
                <c:pt idx="7">
                  <c:v>5.1260000000000003</c:v>
                </c:pt>
                <c:pt idx="8">
                  <c:v>5.4020000000000001</c:v>
                </c:pt>
                <c:pt idx="9">
                  <c:v>8.9350000000000005</c:v>
                </c:pt>
                <c:pt idx="10" formatCode="General">
                  <c:v>5.52</c:v>
                </c:pt>
                <c:pt idx="11" formatCode="General">
                  <c:v>6.508</c:v>
                </c:pt>
                <c:pt idx="12" formatCode="General">
                  <c:v>5.8540000000000001</c:v>
                </c:pt>
                <c:pt idx="13" formatCode="General">
                  <c:v>5.93</c:v>
                </c:pt>
                <c:pt idx="14" formatCode="General">
                  <c:v>4.5679999999999996</c:v>
                </c:pt>
                <c:pt idx="15" formatCode="General">
                  <c:v>5.4390000000000001</c:v>
                </c:pt>
                <c:pt idx="16" formatCode="General">
                  <c:v>2.173</c:v>
                </c:pt>
              </c:numCache>
            </c:numRef>
          </c:yVal>
          <c:smooth val="0"/>
          <c:extLst>
            <c:ext xmlns:c16="http://schemas.microsoft.com/office/drawing/2014/chart" uri="{C3380CC4-5D6E-409C-BE32-E72D297353CC}">
              <c16:uniqueId val="{00000005-EC4E-A543-8DE4-61D81E5EDBB8}"/>
            </c:ext>
          </c:extLst>
        </c:ser>
        <c:ser>
          <c:idx val="5"/>
          <c:order val="5"/>
          <c:tx>
            <c:v>2 0</c:v>
          </c:tx>
          <c:spPr>
            <a:ln w="25400" cap="rnd">
              <a:noFill/>
              <a:round/>
            </a:ln>
            <a:effectLst/>
          </c:spPr>
          <c:marker>
            <c:symbol val="circle"/>
            <c:size val="5"/>
            <c:spPr>
              <a:solidFill>
                <a:schemeClr val="accent6"/>
              </a:solidFill>
              <a:ln w="9525">
                <a:solidFill>
                  <a:schemeClr val="accent6"/>
                </a:solidFill>
              </a:ln>
              <a:effectLst/>
            </c:spPr>
          </c:marker>
          <c:xVal>
            <c:numRef>
              <c:f>'TOC 1&amp;2'!$B$19</c:f>
              <c:numCache>
                <c:formatCode>m/d/yyyy</c:formatCode>
                <c:ptCount val="1"/>
                <c:pt idx="0">
                  <c:v>44503</c:v>
                </c:pt>
              </c:numCache>
            </c:numRef>
          </c:xVal>
          <c:yVal>
            <c:numRef>
              <c:f>'TOC 1&amp;2'!$AS$19</c:f>
              <c:numCache>
                <c:formatCode>0.00</c:formatCode>
                <c:ptCount val="1"/>
                <c:pt idx="0">
                  <c:v>-0.15939999999999999</c:v>
                </c:pt>
              </c:numCache>
            </c:numRef>
          </c:yVal>
          <c:smooth val="0"/>
          <c:extLst>
            <c:ext xmlns:c16="http://schemas.microsoft.com/office/drawing/2014/chart" uri="{C3380CC4-5D6E-409C-BE32-E72D297353CC}">
              <c16:uniqueId val="{00000006-EC4E-A543-8DE4-61D81E5EDBB8}"/>
            </c:ext>
          </c:extLst>
        </c:ser>
        <c:dLbls>
          <c:showLegendKey val="0"/>
          <c:showVal val="0"/>
          <c:showCatName val="0"/>
          <c:showSerName val="0"/>
          <c:showPercent val="0"/>
          <c:showBubbleSize val="0"/>
        </c:dLbls>
        <c:axId val="182969872"/>
        <c:axId val="197875152"/>
      </c:scatterChart>
      <c:valAx>
        <c:axId val="182969872"/>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875152"/>
        <c:crosses val="autoZero"/>
        <c:crossBetween val="midCat"/>
      </c:valAx>
      <c:valAx>
        <c:axId val="197875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969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 1 Avg. % of Tank (modified to exclude sand native TOC)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1 Avg. % of Tank</c:v>
          </c:tx>
          <c:spPr>
            <a:ln w="19050" cap="rnd">
              <a:noFill/>
              <a:round/>
            </a:ln>
            <a:effectLst/>
          </c:spPr>
          <c:marker>
            <c:symbol val="circle"/>
            <c:size val="5"/>
            <c:spPr>
              <a:solidFill>
                <a:schemeClr val="accent1"/>
              </a:solidFill>
              <a:ln w="9525">
                <a:solidFill>
                  <a:schemeClr val="accent1"/>
                </a:solidFill>
              </a:ln>
              <a:effectLst/>
            </c:spPr>
          </c:marker>
          <c:xVal>
            <c:numRef>
              <c:f>'TOC 1&amp;2'!$BI$4:$BI$30</c:f>
              <c:numCache>
                <c:formatCode>0.00</c:formatCode>
                <c:ptCount val="27"/>
              </c:numCache>
            </c:numRef>
          </c:xVal>
          <c:yVal>
            <c:numRef>
              <c:f>'TOC 1&amp;2'!$CC$4:$CC$30</c:f>
              <c:numCache>
                <c:formatCode>0.00</c:formatCode>
                <c:ptCount val="27"/>
              </c:numCache>
            </c:numRef>
          </c:yVal>
          <c:smooth val="0"/>
          <c:extLst>
            <c:ext xmlns:c16="http://schemas.microsoft.com/office/drawing/2014/chart" uri="{C3380CC4-5D6E-409C-BE32-E72D297353CC}">
              <c16:uniqueId val="{00000000-F93D-E04A-968F-DA4BAD1701D8}"/>
            </c:ext>
          </c:extLst>
        </c:ser>
        <c:dLbls>
          <c:showLegendKey val="0"/>
          <c:showVal val="0"/>
          <c:showCatName val="0"/>
          <c:showSerName val="0"/>
          <c:showPercent val="0"/>
          <c:showBubbleSize val="0"/>
        </c:dLbls>
        <c:axId val="789422656"/>
        <c:axId val="307040608"/>
      </c:scatterChart>
      <c:valAx>
        <c:axId val="789422656"/>
        <c:scaling>
          <c:orientation val="minMax"/>
          <c:min val="9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 from column start)</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7040608"/>
        <c:crosses val="autoZero"/>
        <c:crossBetween val="midCat"/>
      </c:valAx>
      <c:valAx>
        <c:axId val="307040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a:t>
                </a:r>
                <a:r>
                  <a:rPr lang="en-US" baseline="0"/>
                  <a:t> TOC Effluent/ TOC Influent</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94226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2 % of Tank (modified to exclude sand native TOC)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'TOC 1&amp;2'!$CG$3:$CG$31</c:f>
              <c:numCache>
                <c:formatCode>0.00</c:formatCode>
                <c:ptCount val="29"/>
              </c:numCache>
            </c:numRef>
          </c:xVal>
          <c:yVal>
            <c:numRef>
              <c:f>'TOC 1&amp;2'!$DA$3:$DA$31</c:f>
              <c:numCache>
                <c:formatCode>0.00</c:formatCode>
                <c:ptCount val="29"/>
              </c:numCache>
            </c:numRef>
          </c:yVal>
          <c:smooth val="0"/>
          <c:extLst>
            <c:ext xmlns:c16="http://schemas.microsoft.com/office/drawing/2014/chart" uri="{C3380CC4-5D6E-409C-BE32-E72D297353CC}">
              <c16:uniqueId val="{00000000-6DE6-3340-B4A5-4EB98E90D0B8}"/>
            </c:ext>
          </c:extLst>
        </c:ser>
        <c:dLbls>
          <c:showLegendKey val="0"/>
          <c:showVal val="0"/>
          <c:showCatName val="0"/>
          <c:showSerName val="0"/>
          <c:showPercent val="0"/>
          <c:showBubbleSize val="0"/>
        </c:dLbls>
        <c:axId val="352937984"/>
        <c:axId val="311498144"/>
      </c:scatterChart>
      <c:valAx>
        <c:axId val="352937984"/>
        <c:scaling>
          <c:orientation val="minMax"/>
          <c:min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 from column start)</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1498144"/>
        <c:crosses val="autoZero"/>
        <c:crossBetween val="midCat"/>
      </c:valAx>
      <c:valAx>
        <c:axId val="311498144"/>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TOC</a:t>
                </a:r>
                <a:r>
                  <a:rPr lang="en-US" baseline="0"/>
                  <a:t> effluent/ TOC influent</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293798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Sets</a:t>
            </a:r>
            <a:r>
              <a:rPr lang="en-US" baseline="0"/>
              <a:t> 1 &amp; 2 % of Tank (exclude sand native TOC)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1 % Tank</c:v>
          </c:tx>
          <c:spPr>
            <a:ln w="19050" cap="rnd">
              <a:noFill/>
              <a:round/>
            </a:ln>
            <a:effectLst/>
          </c:spPr>
          <c:marker>
            <c:symbol val="circle"/>
            <c:size val="5"/>
            <c:spPr>
              <a:solidFill>
                <a:schemeClr val="accent1"/>
              </a:solidFill>
              <a:ln w="9525">
                <a:solidFill>
                  <a:schemeClr val="accent1"/>
                </a:solidFill>
              </a:ln>
              <a:effectLst/>
            </c:spPr>
          </c:marker>
          <c:xVal>
            <c:numRef>
              <c:f>'TOC 1&amp;2'!$BI$4:$BI$30</c:f>
              <c:numCache>
                <c:formatCode>0.00</c:formatCode>
                <c:ptCount val="27"/>
              </c:numCache>
            </c:numRef>
          </c:xVal>
          <c:yVal>
            <c:numRef>
              <c:f>'TOC 1&amp;2'!$CC$4:$CC$30</c:f>
              <c:numCache>
                <c:formatCode>0.00</c:formatCode>
                <c:ptCount val="27"/>
              </c:numCache>
            </c:numRef>
          </c:yVal>
          <c:smooth val="0"/>
          <c:extLst>
            <c:ext xmlns:c16="http://schemas.microsoft.com/office/drawing/2014/chart" uri="{C3380CC4-5D6E-409C-BE32-E72D297353CC}">
              <c16:uniqueId val="{00000000-FF58-F24E-9B6A-415583212544}"/>
            </c:ext>
          </c:extLst>
        </c:ser>
        <c:ser>
          <c:idx val="1"/>
          <c:order val="1"/>
          <c:tx>
            <c:v>Set 2 % Tank</c:v>
          </c:tx>
          <c:spPr>
            <a:ln w="25400" cap="rnd">
              <a:noFill/>
              <a:round/>
            </a:ln>
            <a:effectLst/>
          </c:spPr>
          <c:marker>
            <c:symbol val="circle"/>
            <c:size val="5"/>
            <c:spPr>
              <a:solidFill>
                <a:schemeClr val="accent2"/>
              </a:solidFill>
              <a:ln w="9525">
                <a:solidFill>
                  <a:schemeClr val="accent2"/>
                </a:solidFill>
              </a:ln>
              <a:effectLst/>
            </c:spPr>
          </c:marker>
          <c:xVal>
            <c:numRef>
              <c:f>'TOC 1&amp;2'!$CG$3:$CG$31</c:f>
              <c:numCache>
                <c:formatCode>0.00</c:formatCode>
                <c:ptCount val="29"/>
              </c:numCache>
            </c:numRef>
          </c:xVal>
          <c:yVal>
            <c:numRef>
              <c:f>'TOC 1&amp;2'!$DA$3:$DA$31</c:f>
              <c:numCache>
                <c:formatCode>0.00</c:formatCode>
                <c:ptCount val="29"/>
              </c:numCache>
            </c:numRef>
          </c:yVal>
          <c:smooth val="0"/>
          <c:extLst>
            <c:ext xmlns:c16="http://schemas.microsoft.com/office/drawing/2014/chart" uri="{C3380CC4-5D6E-409C-BE32-E72D297353CC}">
              <c16:uniqueId val="{00000002-FF58-F24E-9B6A-415583212544}"/>
            </c:ext>
          </c:extLst>
        </c:ser>
        <c:dLbls>
          <c:showLegendKey val="0"/>
          <c:showVal val="0"/>
          <c:showCatName val="0"/>
          <c:showSerName val="0"/>
          <c:showPercent val="0"/>
          <c:showBubbleSize val="0"/>
        </c:dLbls>
        <c:axId val="356100880"/>
        <c:axId val="337059712"/>
      </c:scatterChart>
      <c:valAx>
        <c:axId val="356100880"/>
        <c:scaling>
          <c:orientation val="minMax"/>
          <c:min val="50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7059712"/>
        <c:crosses val="autoZero"/>
        <c:crossBetween val="midCat"/>
      </c:valAx>
      <c:valAx>
        <c:axId val="33705971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61008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 1&amp;2 Difference</a:t>
            </a:r>
            <a:r>
              <a:rPr lang="en-US" baseline="0"/>
              <a:t> Between Tank and Avg. Effluent TOC (mg/L)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1</c:v>
          </c:tx>
          <c:spPr>
            <a:ln w="19050" cap="rnd">
              <a:noFill/>
              <a:round/>
            </a:ln>
            <a:effectLst/>
          </c:spPr>
          <c:marker>
            <c:symbol val="circle"/>
            <c:size val="5"/>
            <c:spPr>
              <a:solidFill>
                <a:schemeClr val="accent1"/>
              </a:solidFill>
              <a:ln w="9525">
                <a:solidFill>
                  <a:schemeClr val="accent1"/>
                </a:solidFill>
              </a:ln>
              <a:effectLst/>
            </c:spPr>
          </c:marker>
          <c:xVal>
            <c:numRef>
              <c:f>'TOC 1&amp;2'!$BI$3:$BI$30</c:f>
              <c:numCache>
                <c:formatCode>0.00</c:formatCode>
                <c:ptCount val="28"/>
              </c:numCache>
            </c:numRef>
          </c:xVal>
          <c:yVal>
            <c:numRef>
              <c:f>'TOC 1&amp;2'!$CD$3:$CD$30</c:f>
              <c:numCache>
                <c:formatCode>0.00</c:formatCode>
                <c:ptCount val="28"/>
              </c:numCache>
            </c:numRef>
          </c:yVal>
          <c:smooth val="0"/>
          <c:extLst>
            <c:ext xmlns:c16="http://schemas.microsoft.com/office/drawing/2014/chart" uri="{C3380CC4-5D6E-409C-BE32-E72D297353CC}">
              <c16:uniqueId val="{00000000-EB19-C34A-8FC3-C23EDA31935B}"/>
            </c:ext>
          </c:extLst>
        </c:ser>
        <c:ser>
          <c:idx val="1"/>
          <c:order val="1"/>
          <c:tx>
            <c:v>Set 2</c:v>
          </c:tx>
          <c:spPr>
            <a:ln w="25400" cap="rnd">
              <a:noFill/>
              <a:round/>
            </a:ln>
            <a:effectLst/>
          </c:spPr>
          <c:marker>
            <c:symbol val="circle"/>
            <c:size val="5"/>
            <c:spPr>
              <a:solidFill>
                <a:schemeClr val="accent2"/>
              </a:solidFill>
              <a:ln w="9525">
                <a:solidFill>
                  <a:schemeClr val="accent2"/>
                </a:solidFill>
              </a:ln>
              <a:effectLst/>
            </c:spPr>
          </c:marker>
          <c:xVal>
            <c:numRef>
              <c:f>'TOC 1&amp;2'!$CG$3:$CG$31</c:f>
              <c:numCache>
                <c:formatCode>0.00</c:formatCode>
                <c:ptCount val="29"/>
              </c:numCache>
            </c:numRef>
          </c:xVal>
          <c:yVal>
            <c:numRef>
              <c:f>'TOC 1&amp;2'!$DB$3:$DB$31</c:f>
              <c:numCache>
                <c:formatCode>0.00</c:formatCode>
                <c:ptCount val="29"/>
              </c:numCache>
            </c:numRef>
          </c:yVal>
          <c:smooth val="0"/>
          <c:extLst>
            <c:ext xmlns:c16="http://schemas.microsoft.com/office/drawing/2014/chart" uri="{C3380CC4-5D6E-409C-BE32-E72D297353CC}">
              <c16:uniqueId val="{00000002-EB19-C34A-8FC3-C23EDA31935B}"/>
            </c:ext>
          </c:extLst>
        </c:ser>
        <c:dLbls>
          <c:showLegendKey val="0"/>
          <c:showVal val="0"/>
          <c:showCatName val="0"/>
          <c:showSerName val="0"/>
          <c:showPercent val="0"/>
          <c:showBubbleSize val="0"/>
        </c:dLbls>
        <c:axId val="336833440"/>
        <c:axId val="335560832"/>
      </c:scatterChart>
      <c:valAx>
        <c:axId val="336833440"/>
        <c:scaling>
          <c:orientation val="minMax"/>
          <c:min val="5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(hoiurs, from column start)</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5560832"/>
        <c:crosses val="autoZero"/>
        <c:crossBetween val="midCat"/>
      </c:valAx>
      <c:valAx>
        <c:axId val="3355608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TOC</a:t>
                </a:r>
                <a:r>
                  <a:rPr lang="en-US" baseline="0"/>
                  <a:t> mg/L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8334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Difference</a:t>
            </a:r>
            <a:r>
              <a:rPr lang="en-US" baseline="0"/>
              <a:t> between Avg. Effluent and Tank in relation to Tank TOC concentration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1</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218133957564904"/>
                  <c:y val="-2.109764850822218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'TOC 1&amp;2'!$BJ$3:$BJ$30</c:f>
              <c:numCache>
                <c:formatCode>0.00</c:formatCode>
                <c:ptCount val="28"/>
              </c:numCache>
            </c:numRef>
          </c:xVal>
          <c:yVal>
            <c:numRef>
              <c:f>'TOC 1&amp;2'!$CD$3:$CD$30</c:f>
              <c:numCache>
                <c:formatCode>0.00</c:formatCode>
                <c:ptCount val="28"/>
              </c:numCache>
            </c:numRef>
          </c:yVal>
          <c:smooth val="0"/>
          <c:extLst>
            <c:ext xmlns:c16="http://schemas.microsoft.com/office/drawing/2014/chart" uri="{C3380CC4-5D6E-409C-BE32-E72D297353CC}">
              <c16:uniqueId val="{00000000-4749-C446-8747-609D6DDFBED3}"/>
            </c:ext>
          </c:extLst>
        </c:ser>
        <c:ser>
          <c:idx val="1"/>
          <c:order val="1"/>
          <c:tx>
            <c:v>Set 2</c:v>
          </c:tx>
          <c:spPr>
            <a:ln w="25400" cap="rnd">
              <a:noFill/>
              <a:round/>
            </a:ln>
            <a:effectLst/>
          </c:spPr>
          <c:marker>
            <c:symbol val="circle"/>
            <c:size val="5"/>
            <c:spPr>
              <a:solidFill>
                <a:schemeClr val="accent2"/>
              </a:solidFill>
              <a:ln w="9525">
                <a:solidFill>
                  <a:schemeClr val="accent2"/>
                </a:solidFill>
              </a:ln>
              <a:effectLst/>
            </c:spPr>
          </c:marker>
          <c:xVal>
            <c:numRef>
              <c:f>'TOC 1&amp;2'!$CH$3:$CH$31</c:f>
              <c:numCache>
                <c:formatCode>0.00</c:formatCode>
                <c:ptCount val="29"/>
              </c:numCache>
            </c:numRef>
          </c:xVal>
          <c:yVal>
            <c:numRef>
              <c:f>'TOC 1&amp;2'!$DB$3:$DB$31</c:f>
              <c:numCache>
                <c:formatCode>0.00</c:formatCode>
                <c:ptCount val="29"/>
              </c:numCache>
            </c:numRef>
          </c:yVal>
          <c:smooth val="0"/>
          <c:extLst>
            <c:ext xmlns:c16="http://schemas.microsoft.com/office/drawing/2014/chart" uri="{C3380CC4-5D6E-409C-BE32-E72D297353CC}">
              <c16:uniqueId val="{00000002-4749-C446-8747-609D6DDFBED3}"/>
            </c:ext>
          </c:extLst>
        </c:ser>
        <c:dLbls>
          <c:showLegendKey val="0"/>
          <c:showVal val="0"/>
          <c:showCatName val="0"/>
          <c:showSerName val="0"/>
          <c:showPercent val="0"/>
          <c:showBubbleSize val="0"/>
        </c:dLbls>
        <c:axId val="387679248"/>
        <c:axId val="387511232"/>
      </c:scatterChart>
      <c:valAx>
        <c:axId val="3876792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TOC</a:t>
                </a:r>
                <a:r>
                  <a:rPr lang="en-US" baseline="0"/>
                  <a:t> in Tank (mg/L)</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511232"/>
        <c:crosses val="autoZero"/>
        <c:crossBetween val="midCat"/>
      </c:valAx>
      <c:valAx>
        <c:axId val="38751123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Influent</a:t>
                </a:r>
                <a:r>
                  <a:rPr lang="en-US" baseline="0"/>
                  <a:t> - Effluent Avg. (mg/L)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76792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Set 1 %</a:t>
            </a:r>
            <a:r>
              <a:rPr lang="en-US" baseline="0"/>
              <a:t> of Tank vs Absolute value of influent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'TOC 1&amp;2'!$BJ$3:$BJ$30</c:f>
              <c:numCache>
                <c:formatCode>0.00</c:formatCode>
                <c:ptCount val="28"/>
              </c:numCache>
            </c:numRef>
          </c:xVal>
          <c:yVal>
            <c:numRef>
              <c:f>'TOC 1&amp;2'!$CC$4:$CC$30</c:f>
              <c:numCache>
                <c:formatCode>0.00</c:formatCode>
                <c:ptCount val="27"/>
              </c:numCache>
            </c:numRef>
          </c:yVal>
          <c:smooth val="0"/>
          <c:extLst>
            <c:ext xmlns:c16="http://schemas.microsoft.com/office/drawing/2014/chart" uri="{C3380CC4-5D6E-409C-BE32-E72D297353CC}">
              <c16:uniqueId val="{00000000-C22D-D141-8089-697680A97DB5}"/>
            </c:ext>
          </c:extLst>
        </c:ser>
        <c:dLbls>
          <c:showLegendKey val="0"/>
          <c:showVal val="0"/>
          <c:showCatName val="0"/>
          <c:showSerName val="0"/>
          <c:showPercent val="0"/>
          <c:showBubbleSize val="0"/>
        </c:dLbls>
        <c:axId val="426370080"/>
        <c:axId val="89408816"/>
      </c:scatterChart>
      <c:valAx>
        <c:axId val="426370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Tank</a:t>
                </a:r>
                <a:r>
                  <a:rPr lang="en-US" baseline="0"/>
                  <a:t> TOC concentration (mg/L)</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408816"/>
        <c:crosses val="autoZero"/>
        <c:crossBetween val="midCat"/>
      </c:valAx>
      <c:valAx>
        <c:axId val="894088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of Tank Influent</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370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2 Average % of tank vs Absolute Tank concentration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'TOC 1&amp;2'!$CH$3:$CH$31</c:f>
              <c:numCache>
                <c:formatCode>0.00</c:formatCode>
                <c:ptCount val="29"/>
              </c:numCache>
            </c:numRef>
          </c:xVal>
          <c:yVal>
            <c:numRef>
              <c:f>'TOC 1&amp;2'!$DA$3:$DA$31</c:f>
              <c:numCache>
                <c:formatCode>0.00</c:formatCode>
                <c:ptCount val="29"/>
              </c:numCache>
            </c:numRef>
          </c:yVal>
          <c:smooth val="0"/>
          <c:extLst>
            <c:ext xmlns:c16="http://schemas.microsoft.com/office/drawing/2014/chart" uri="{C3380CC4-5D6E-409C-BE32-E72D297353CC}">
              <c16:uniqueId val="{00000000-7A80-D543-9D91-8364B61DFAE2}"/>
            </c:ext>
          </c:extLst>
        </c:ser>
        <c:dLbls>
          <c:showLegendKey val="0"/>
          <c:showVal val="0"/>
          <c:showCatName val="0"/>
          <c:showSerName val="0"/>
          <c:showPercent val="0"/>
          <c:showBubbleSize val="0"/>
        </c:dLbls>
        <c:axId val="90998464"/>
        <c:axId val="91040512"/>
      </c:scatterChart>
      <c:valAx>
        <c:axId val="909984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Tank</a:t>
                </a:r>
                <a:r>
                  <a:rPr lang="en-US" baseline="0"/>
                  <a:t> TOC concentration (mg/L)</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040512"/>
        <c:crosses val="autoZero"/>
        <c:crossBetween val="midCat"/>
      </c:valAx>
      <c:valAx>
        <c:axId val="9104051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of tank TOC in effluent</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9984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3 TOC (exclusing sand native TOC)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Tank 3</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'TOC 3'!$AP$2:$AP$17</c:f>
              <c:numCache>
                <c:formatCode>0.00</c:formatCode>
                <c:ptCount val="16"/>
                <c:pt idx="0">
                  <c:v>954.58333333333337</c:v>
                </c:pt>
                <c:pt idx="1">
                  <c:v>979.75</c:v>
                </c:pt>
                <c:pt idx="2">
                  <c:v>1099.45</c:v>
                </c:pt>
                <c:pt idx="3">
                  <c:v>1147.6166666666666</c:v>
                </c:pt>
                <c:pt idx="4">
                  <c:v>1219.55</c:v>
                </c:pt>
                <c:pt idx="5">
                  <c:v>1267.7166666666667</c:v>
                </c:pt>
                <c:pt idx="6">
                  <c:v>1313.85</c:v>
                </c:pt>
                <c:pt idx="7">
                  <c:v>1393</c:v>
                </c:pt>
                <c:pt idx="8">
                  <c:v>1441</c:v>
                </c:pt>
                <c:pt idx="9">
                  <c:v>1650.9166666666667</c:v>
                </c:pt>
                <c:pt idx="10">
                  <c:v>1722.3</c:v>
                </c:pt>
                <c:pt idx="11">
                  <c:v>1770.7</c:v>
                </c:pt>
                <c:pt idx="12">
                  <c:v>2513.4666666666672</c:v>
                </c:pt>
                <c:pt idx="13">
                  <c:v>2633.7166666666672</c:v>
                </c:pt>
                <c:pt idx="14">
                  <c:v>2681.2500000000005</c:v>
                </c:pt>
                <c:pt idx="15">
                  <c:v>2728.7000000000003</c:v>
                </c:pt>
              </c:numCache>
            </c:numRef>
          </c:xVal>
          <c:yVal>
            <c:numRef>
              <c:f>'TOC 3'!$AR$2:$AR$17</c:f>
              <c:numCache>
                <c:formatCode>0.00</c:formatCode>
                <c:ptCount val="16"/>
                <c:pt idx="0">
                  <c:v>3.9319999999999999</c:v>
                </c:pt>
                <c:pt idx="1">
                  <c:v>1.4390000000000001</c:v>
                </c:pt>
                <c:pt idx="2">
                  <c:v>2.0640000000000001</c:v>
                </c:pt>
                <c:pt idx="3">
                  <c:v>2.5379999999999998</c:v>
                </c:pt>
                <c:pt idx="4">
                  <c:v>2.4449999999999998</c:v>
                </c:pt>
                <c:pt idx="5">
                  <c:v>1.6859999999999999</c:v>
                </c:pt>
                <c:pt idx="6">
                  <c:v>1.296</c:v>
                </c:pt>
                <c:pt idx="7">
                  <c:v>2.5219999999999998</c:v>
                </c:pt>
                <c:pt idx="8">
                  <c:v>2.4020000000000001</c:v>
                </c:pt>
                <c:pt idx="9">
                  <c:v>2.089</c:v>
                </c:pt>
                <c:pt idx="10">
                  <c:v>2.6120000000000001</c:v>
                </c:pt>
                <c:pt idx="11">
                  <c:v>3.7170000000000001</c:v>
                </c:pt>
                <c:pt idx="12">
                  <c:v>12.85</c:v>
                </c:pt>
                <c:pt idx="13">
                  <c:v>13.28</c:v>
                </c:pt>
                <c:pt idx="14">
                  <c:v>14.22</c:v>
                </c:pt>
                <c:pt idx="15">
                  <c:v>13.76</c:v>
                </c:pt>
              </c:numCache>
            </c:numRef>
          </c:yVal>
          <c:smooth val="0"/>
          <c:extLst>
            <c:ext xmlns:c16="http://schemas.microsoft.com/office/drawing/2014/chart" uri="{C3380CC4-5D6E-409C-BE32-E72D297353CC}">
              <c16:uniqueId val="{00000000-908E-FC4C-A2CC-72BEB0B9D71D}"/>
            </c:ext>
          </c:extLst>
        </c:ser>
        <c:ser>
          <c:idx val="1"/>
          <c:order val="1"/>
          <c:tx>
            <c:v>3Control</c:v>
          </c:tx>
          <c:spPr>
            <a:ln w="25400" cap="rnd">
              <a:noFill/>
              <a:round/>
            </a:ln>
            <a:effectLst/>
          </c:spPr>
          <c:marker>
            <c:symbol val="circle"/>
            <c:size val="5"/>
            <c:spPr>
              <a:solidFill>
                <a:schemeClr val="accent2"/>
              </a:solidFill>
              <a:ln w="9525">
                <a:solidFill>
                  <a:schemeClr val="accent2"/>
                </a:solidFill>
              </a:ln>
              <a:effectLst/>
            </c:spPr>
          </c:marker>
          <c:xVal>
            <c:numRef>
              <c:f>'TOC 3'!$AP$2:$AP$17</c:f>
              <c:numCache>
                <c:formatCode>0.00</c:formatCode>
                <c:ptCount val="16"/>
                <c:pt idx="0">
                  <c:v>954.58333333333337</c:v>
                </c:pt>
                <c:pt idx="1">
                  <c:v>979.75</c:v>
                </c:pt>
                <c:pt idx="2">
                  <c:v>1099.45</c:v>
                </c:pt>
                <c:pt idx="3">
                  <c:v>1147.6166666666666</c:v>
                </c:pt>
                <c:pt idx="4">
                  <c:v>1219.55</c:v>
                </c:pt>
                <c:pt idx="5">
                  <c:v>1267.7166666666667</c:v>
                </c:pt>
                <c:pt idx="6">
                  <c:v>1313.85</c:v>
                </c:pt>
                <c:pt idx="7">
                  <c:v>1393</c:v>
                </c:pt>
                <c:pt idx="8">
                  <c:v>1441</c:v>
                </c:pt>
                <c:pt idx="9">
                  <c:v>1650.9166666666667</c:v>
                </c:pt>
                <c:pt idx="10">
                  <c:v>1722.3</c:v>
                </c:pt>
                <c:pt idx="11">
                  <c:v>1770.7</c:v>
                </c:pt>
                <c:pt idx="12">
                  <c:v>2513.4666666666672</c:v>
                </c:pt>
                <c:pt idx="13">
                  <c:v>2633.7166666666672</c:v>
                </c:pt>
                <c:pt idx="14">
                  <c:v>2681.2500000000005</c:v>
                </c:pt>
                <c:pt idx="15">
                  <c:v>2728.7000000000003</c:v>
                </c:pt>
              </c:numCache>
            </c:numRef>
          </c:xVal>
          <c:yVal>
            <c:numRef>
              <c:f>'TOC 3'!$AT$2:$AT$17</c:f>
              <c:numCache>
                <c:formatCode>0.00</c:formatCode>
                <c:ptCount val="16"/>
                <c:pt idx="0">
                  <c:v>0</c:v>
                </c:pt>
                <c:pt idx="1">
                  <c:v>0.1513500000000001</c:v>
                </c:pt>
                <c:pt idx="2">
                  <c:v>0.8144499999999999</c:v>
                </c:pt>
                <c:pt idx="3">
                  <c:v>0.79265000000000008</c:v>
                </c:pt>
                <c:pt idx="4">
                  <c:v>0.89145000000000008</c:v>
                </c:pt>
                <c:pt idx="5">
                  <c:v>0.29039999999999999</c:v>
                </c:pt>
                <c:pt idx="6">
                  <c:v>0.44750000000000001</c:v>
                </c:pt>
                <c:pt idx="7">
                  <c:v>0.72865000000000013</c:v>
                </c:pt>
                <c:pt idx="8">
                  <c:v>0.73025000000000007</c:v>
                </c:pt>
                <c:pt idx="9">
                  <c:v>0.81125000000000003</c:v>
                </c:pt>
                <c:pt idx="10">
                  <c:v>0.64924999999999988</c:v>
                </c:pt>
                <c:pt idx="11">
                  <c:v>0.10499999999999998</c:v>
                </c:pt>
                <c:pt idx="12">
                  <c:v>5.2270000000000003</c:v>
                </c:pt>
                <c:pt idx="13">
                  <c:v>29.052999999999997</c:v>
                </c:pt>
                <c:pt idx="14">
                  <c:v>7.9710000000000001</c:v>
                </c:pt>
                <c:pt idx="15">
                  <c:v>5.8639999999999999</c:v>
                </c:pt>
              </c:numCache>
            </c:numRef>
          </c:yVal>
          <c:smooth val="0"/>
          <c:extLst>
            <c:ext xmlns:c16="http://schemas.microsoft.com/office/drawing/2014/chart" uri="{C3380CC4-5D6E-409C-BE32-E72D297353CC}">
              <c16:uniqueId val="{00000002-908E-FC4C-A2CC-72BEB0B9D71D}"/>
            </c:ext>
          </c:extLst>
        </c:ser>
        <c:ser>
          <c:idx val="2"/>
          <c:order val="2"/>
          <c:tx>
            <c:v>3A</c:v>
          </c:tx>
          <c:spPr>
            <a:ln w="25400" cap="rnd">
              <a:noFill/>
              <a:round/>
            </a:ln>
            <a:effectLst/>
          </c:spPr>
          <c:marker>
            <c:symbol val="circle"/>
            <c:size val="5"/>
            <c:spPr>
              <a:solidFill>
                <a:schemeClr val="accent3"/>
              </a:solidFill>
              <a:ln w="9525">
                <a:solidFill>
                  <a:schemeClr val="accent3"/>
                </a:solidFill>
              </a:ln>
              <a:effectLst/>
            </c:spPr>
          </c:marker>
          <c:xVal>
            <c:numRef>
              <c:f>'TOC 3'!$AP$2:$AP$17</c:f>
              <c:numCache>
                <c:formatCode>0.00</c:formatCode>
                <c:ptCount val="16"/>
                <c:pt idx="0">
                  <c:v>954.58333333333337</c:v>
                </c:pt>
                <c:pt idx="1">
                  <c:v>979.75</c:v>
                </c:pt>
                <c:pt idx="2">
                  <c:v>1099.45</c:v>
                </c:pt>
                <c:pt idx="3">
                  <c:v>1147.6166666666666</c:v>
                </c:pt>
                <c:pt idx="4">
                  <c:v>1219.55</c:v>
                </c:pt>
                <c:pt idx="5">
                  <c:v>1267.7166666666667</c:v>
                </c:pt>
                <c:pt idx="6">
                  <c:v>1313.85</c:v>
                </c:pt>
                <c:pt idx="7">
                  <c:v>1393</c:v>
                </c:pt>
                <c:pt idx="8">
                  <c:v>1441</c:v>
                </c:pt>
                <c:pt idx="9">
                  <c:v>1650.9166666666667</c:v>
                </c:pt>
                <c:pt idx="10">
                  <c:v>1722.3</c:v>
                </c:pt>
                <c:pt idx="11">
                  <c:v>1770.7</c:v>
                </c:pt>
                <c:pt idx="12">
                  <c:v>2513.4666666666672</c:v>
                </c:pt>
                <c:pt idx="13">
                  <c:v>2633.7166666666672</c:v>
                </c:pt>
                <c:pt idx="14">
                  <c:v>2681.2500000000005</c:v>
                </c:pt>
                <c:pt idx="15">
                  <c:v>2728.7000000000003</c:v>
                </c:pt>
              </c:numCache>
            </c:numRef>
          </c:xVal>
          <c:yVal>
            <c:numRef>
              <c:f>'TOC 3'!$AW$2:$AW$17</c:f>
              <c:numCache>
                <c:formatCode>0.00</c:formatCode>
                <c:ptCount val="16"/>
                <c:pt idx="0">
                  <c:v>0</c:v>
                </c:pt>
                <c:pt idx="1">
                  <c:v>0.38719999999999999</c:v>
                </c:pt>
                <c:pt idx="2">
                  <c:v>0.88229999999999997</c:v>
                </c:pt>
                <c:pt idx="3">
                  <c:v>1.2741</c:v>
                </c:pt>
                <c:pt idx="4">
                  <c:v>1.0472999999999999</c:v>
                </c:pt>
                <c:pt idx="5">
                  <c:v>0.75860000000000005</c:v>
                </c:pt>
                <c:pt idx="6">
                  <c:v>0.68499999999999994</c:v>
                </c:pt>
                <c:pt idx="7">
                  <c:v>0.53620000000000001</c:v>
                </c:pt>
                <c:pt idx="8">
                  <c:v>0.77550000000000008</c:v>
                </c:pt>
                <c:pt idx="9">
                  <c:v>0.72250000000000003</c:v>
                </c:pt>
                <c:pt idx="10">
                  <c:v>0.73349999999999993</c:v>
                </c:pt>
                <c:pt idx="11">
                  <c:v>1.998</c:v>
                </c:pt>
                <c:pt idx="12">
                  <c:v>5.1459999999999999</c:v>
                </c:pt>
                <c:pt idx="13">
                  <c:v>17.012</c:v>
                </c:pt>
                <c:pt idx="14">
                  <c:v>8.4160000000000004</c:v>
                </c:pt>
                <c:pt idx="15">
                  <c:v>6.641</c:v>
                </c:pt>
              </c:numCache>
            </c:numRef>
          </c:yVal>
          <c:smooth val="0"/>
          <c:extLst>
            <c:ext xmlns:c16="http://schemas.microsoft.com/office/drawing/2014/chart" uri="{C3380CC4-5D6E-409C-BE32-E72D297353CC}">
              <c16:uniqueId val="{00000003-908E-FC4C-A2CC-72BEB0B9D71D}"/>
            </c:ext>
          </c:extLst>
        </c:ser>
        <c:ser>
          <c:idx val="3"/>
          <c:order val="3"/>
          <c:tx>
            <c:v>3B</c:v>
          </c:tx>
          <c:spPr>
            <a:ln w="25400" cap="rnd">
              <a:noFill/>
              <a:round/>
            </a:ln>
            <a:effectLst/>
          </c:spPr>
          <c:marker>
            <c:symbol val="circle"/>
            <c:size val="5"/>
            <c:spPr>
              <a:solidFill>
                <a:schemeClr val="accent4"/>
              </a:solidFill>
              <a:ln w="9525">
                <a:solidFill>
                  <a:schemeClr val="accent4"/>
                </a:solidFill>
              </a:ln>
              <a:effectLst/>
            </c:spPr>
          </c:marker>
          <c:xVal>
            <c:numRef>
              <c:f>'TOC 3'!$AP$2:$AP$17</c:f>
              <c:numCache>
                <c:formatCode>0.00</c:formatCode>
                <c:ptCount val="16"/>
                <c:pt idx="0">
                  <c:v>954.58333333333337</c:v>
                </c:pt>
                <c:pt idx="1">
                  <c:v>979.75</c:v>
                </c:pt>
                <c:pt idx="2">
                  <c:v>1099.45</c:v>
                </c:pt>
                <c:pt idx="3">
                  <c:v>1147.6166666666666</c:v>
                </c:pt>
                <c:pt idx="4">
                  <c:v>1219.55</c:v>
                </c:pt>
                <c:pt idx="5">
                  <c:v>1267.7166666666667</c:v>
                </c:pt>
                <c:pt idx="6">
                  <c:v>1313.85</c:v>
                </c:pt>
                <c:pt idx="7">
                  <c:v>1393</c:v>
                </c:pt>
                <c:pt idx="8">
                  <c:v>1441</c:v>
                </c:pt>
                <c:pt idx="9">
                  <c:v>1650.9166666666667</c:v>
                </c:pt>
                <c:pt idx="10">
                  <c:v>1722.3</c:v>
                </c:pt>
                <c:pt idx="11">
                  <c:v>1770.7</c:v>
                </c:pt>
                <c:pt idx="12">
                  <c:v>2513.4666666666672</c:v>
                </c:pt>
                <c:pt idx="13">
                  <c:v>2633.7166666666672</c:v>
                </c:pt>
                <c:pt idx="14">
                  <c:v>2681.2500000000005</c:v>
                </c:pt>
                <c:pt idx="15">
                  <c:v>2728.7000000000003</c:v>
                </c:pt>
              </c:numCache>
            </c:numRef>
          </c:xVal>
          <c:yVal>
            <c:numRef>
              <c:f>'TOC 3'!$AZ$2:$AZ$18</c:f>
              <c:numCache>
                <c:formatCode>0.00</c:formatCode>
                <c:ptCount val="17"/>
                <c:pt idx="0">
                  <c:v>0</c:v>
                </c:pt>
                <c:pt idx="1">
                  <c:v>0.51939999999999997</c:v>
                </c:pt>
                <c:pt idx="2">
                  <c:v>1.1122999999999998</c:v>
                </c:pt>
                <c:pt idx="3">
                  <c:v>1.1380999999999999</c:v>
                </c:pt>
                <c:pt idx="4">
                  <c:v>1.1032999999999999</c:v>
                </c:pt>
                <c:pt idx="5">
                  <c:v>0.46860000000000002</c:v>
                </c:pt>
                <c:pt idx="6">
                  <c:v>0.74600000000000011</c:v>
                </c:pt>
                <c:pt idx="7">
                  <c:v>3.5000000000000031E-2</c:v>
                </c:pt>
                <c:pt idx="8">
                  <c:v>0.46249999999999991</c:v>
                </c:pt>
                <c:pt idx="9">
                  <c:v>0.57850000000000013</c:v>
                </c:pt>
                <c:pt idx="10">
                  <c:v>0.78149999999999997</c:v>
                </c:pt>
                <c:pt idx="11">
                  <c:v>4.5579999999999998</c:v>
                </c:pt>
                <c:pt idx="12">
                  <c:v>4.976</c:v>
                </c:pt>
                <c:pt idx="13">
                  <c:v>15.002000000000001</c:v>
                </c:pt>
                <c:pt idx="14">
                  <c:v>7.4849999999999994</c:v>
                </c:pt>
                <c:pt idx="15">
                  <c:v>4.492</c:v>
                </c:pt>
              </c:numCache>
            </c:numRef>
          </c:yVal>
          <c:smooth val="0"/>
          <c:extLst>
            <c:ext xmlns:c16="http://schemas.microsoft.com/office/drawing/2014/chart" uri="{C3380CC4-5D6E-409C-BE32-E72D297353CC}">
              <c16:uniqueId val="{00000004-908E-FC4C-A2CC-72BEB0B9D71D}"/>
            </c:ext>
          </c:extLst>
        </c:ser>
        <c:ser>
          <c:idx val="4"/>
          <c:order val="4"/>
          <c:tx>
            <c:v>3C</c:v>
          </c:tx>
          <c:spPr>
            <a:ln w="25400" cap="rnd">
              <a:noFill/>
              <a:round/>
            </a:ln>
            <a:effectLst/>
          </c:spPr>
          <c:marker>
            <c:symbol val="circle"/>
            <c:size val="5"/>
            <c:spPr>
              <a:solidFill>
                <a:schemeClr val="accent5"/>
              </a:solidFill>
              <a:ln w="9525">
                <a:solidFill>
                  <a:schemeClr val="accent5"/>
                </a:solidFill>
              </a:ln>
              <a:effectLst/>
            </c:spPr>
          </c:marker>
          <c:xVal>
            <c:numRef>
              <c:f>'TOC 3'!$AP$2:$AP$17</c:f>
              <c:numCache>
                <c:formatCode>0.00</c:formatCode>
                <c:ptCount val="16"/>
                <c:pt idx="0">
                  <c:v>954.58333333333337</c:v>
                </c:pt>
                <c:pt idx="1">
                  <c:v>979.75</c:v>
                </c:pt>
                <c:pt idx="2">
                  <c:v>1099.45</c:v>
                </c:pt>
                <c:pt idx="3">
                  <c:v>1147.6166666666666</c:v>
                </c:pt>
                <c:pt idx="4">
                  <c:v>1219.55</c:v>
                </c:pt>
                <c:pt idx="5">
                  <c:v>1267.7166666666667</c:v>
                </c:pt>
                <c:pt idx="6">
                  <c:v>1313.85</c:v>
                </c:pt>
                <c:pt idx="7">
                  <c:v>1393</c:v>
                </c:pt>
                <c:pt idx="8">
                  <c:v>1441</c:v>
                </c:pt>
                <c:pt idx="9">
                  <c:v>1650.9166666666667</c:v>
                </c:pt>
                <c:pt idx="10">
                  <c:v>1722.3</c:v>
                </c:pt>
                <c:pt idx="11">
                  <c:v>1770.7</c:v>
                </c:pt>
                <c:pt idx="12">
                  <c:v>2513.4666666666672</c:v>
                </c:pt>
                <c:pt idx="13">
                  <c:v>2633.7166666666672</c:v>
                </c:pt>
                <c:pt idx="14">
                  <c:v>2681.2500000000005</c:v>
                </c:pt>
                <c:pt idx="15">
                  <c:v>2728.7000000000003</c:v>
                </c:pt>
              </c:numCache>
            </c:numRef>
          </c:xVal>
          <c:yVal>
            <c:numRef>
              <c:f>'TOC 3'!$BC$2:$BC$17</c:f>
              <c:numCache>
                <c:formatCode>0.00</c:formatCode>
                <c:ptCount val="16"/>
                <c:pt idx="0">
                  <c:v>0</c:v>
                </c:pt>
                <c:pt idx="1">
                  <c:v>0.15600000000000003</c:v>
                </c:pt>
                <c:pt idx="2">
                  <c:v>0.75230000000000008</c:v>
                </c:pt>
                <c:pt idx="3">
                  <c:v>1.1251</c:v>
                </c:pt>
                <c:pt idx="4">
                  <c:v>1.1233</c:v>
                </c:pt>
                <c:pt idx="5">
                  <c:v>0.58760000000000001</c:v>
                </c:pt>
                <c:pt idx="6">
                  <c:v>0.67600000000000005</c:v>
                </c:pt>
                <c:pt idx="7">
                  <c:v>0.80909999999999993</c:v>
                </c:pt>
                <c:pt idx="8">
                  <c:v>0.64149999999999996</c:v>
                </c:pt>
                <c:pt idx="9">
                  <c:v>0.70750000000000013</c:v>
                </c:pt>
                <c:pt idx="10">
                  <c:v>0</c:v>
                </c:pt>
                <c:pt idx="11">
                  <c:v>4.048</c:v>
                </c:pt>
                <c:pt idx="12">
                  <c:v>4.798</c:v>
                </c:pt>
                <c:pt idx="13">
                  <c:v>7.4409999999999998</c:v>
                </c:pt>
                <c:pt idx="14">
                  <c:v>7.6479999999999997</c:v>
                </c:pt>
                <c:pt idx="15">
                  <c:v>5.298</c:v>
                </c:pt>
              </c:numCache>
            </c:numRef>
          </c:yVal>
          <c:smooth val="0"/>
          <c:extLst>
            <c:ext xmlns:c16="http://schemas.microsoft.com/office/drawing/2014/chart" uri="{C3380CC4-5D6E-409C-BE32-E72D297353CC}">
              <c16:uniqueId val="{00000005-908E-FC4C-A2CC-72BEB0B9D71D}"/>
            </c:ext>
          </c:extLst>
        </c:ser>
        <c:ser>
          <c:idx val="5"/>
          <c:order val="5"/>
          <c:tx>
            <c:v>30</c:v>
          </c:tx>
          <c:spPr>
            <a:ln w="25400" cap="rnd">
              <a:noFill/>
              <a:round/>
            </a:ln>
            <a:effectLst/>
          </c:spPr>
          <c:marker>
            <c:symbol val="circle"/>
            <c:size val="5"/>
            <c:spPr>
              <a:solidFill>
                <a:schemeClr val="accent6"/>
              </a:solidFill>
              <a:ln w="9525">
                <a:solidFill>
                  <a:schemeClr val="accent6"/>
                </a:solidFill>
              </a:ln>
              <a:effectLst/>
            </c:spPr>
          </c:marker>
          <c:xVal>
            <c:numRef>
              <c:f>'TOC 3'!$AQ$2:$AQ$23</c:f>
              <c:numCache>
                <c:formatCode>0.00</c:formatCode>
                <c:ptCount val="22"/>
                <c:pt idx="0">
                  <c:v>21.616666666666667</c:v>
                </c:pt>
                <c:pt idx="1">
                  <c:v>46.8</c:v>
                </c:pt>
                <c:pt idx="2">
                  <c:v>166.5</c:v>
                </c:pt>
                <c:pt idx="3">
                  <c:v>214.66666666666666</c:v>
                </c:pt>
                <c:pt idx="4">
                  <c:v>286.59999999999997</c:v>
                </c:pt>
                <c:pt idx="5">
                  <c:v>334.76666666666659</c:v>
                </c:pt>
                <c:pt idx="6">
                  <c:v>380.89999999999992</c:v>
                </c:pt>
                <c:pt idx="7">
                  <c:v>459.88333333333327</c:v>
                </c:pt>
                <c:pt idx="8">
                  <c:v>507.81666666666661</c:v>
                </c:pt>
                <c:pt idx="9">
                  <c:v>717.73333333333335</c:v>
                </c:pt>
                <c:pt idx="10">
                  <c:v>790.18333333333328</c:v>
                </c:pt>
                <c:pt idx="11">
                  <c:v>838.58333333333337</c:v>
                </c:pt>
                <c:pt idx="12">
                  <c:v>1581.3499999999997</c:v>
                </c:pt>
                <c:pt idx="13">
                  <c:v>1701.5999999999997</c:v>
                </c:pt>
                <c:pt idx="14">
                  <c:v>1749.133333333333</c:v>
                </c:pt>
                <c:pt idx="15">
                  <c:v>1796.583333333333</c:v>
                </c:pt>
                <c:pt idx="16">
                  <c:v>1867.3999999999999</c:v>
                </c:pt>
                <c:pt idx="17">
                  <c:v>1916.1999999999998</c:v>
                </c:pt>
                <c:pt idx="18">
                  <c:v>1964.883333333333</c:v>
                </c:pt>
                <c:pt idx="19">
                  <c:v>2060.8833333333332</c:v>
                </c:pt>
                <c:pt idx="20">
                  <c:v>2116.3666666666668</c:v>
                </c:pt>
                <c:pt idx="21">
                  <c:v>2162.9499999999998</c:v>
                </c:pt>
              </c:numCache>
            </c:numRef>
          </c:xVal>
          <c:yVal>
            <c:numRef>
              <c:f>'TOC 3'!$BF$2:$BF$21</c:f>
              <c:numCache>
                <c:formatCode>0.00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yVal>
          <c:smooth val="0"/>
          <c:extLst>
            <c:ext xmlns:c16="http://schemas.microsoft.com/office/drawing/2014/chart" uri="{C3380CC4-5D6E-409C-BE32-E72D297353CC}">
              <c16:uniqueId val="{00000006-908E-FC4C-A2CC-72BEB0B9D71D}"/>
            </c:ext>
          </c:extLst>
        </c:ser>
        <c:dLbls>
          <c:showLegendKey val="0"/>
          <c:showVal val="0"/>
          <c:showCatName val="0"/>
          <c:showSerName val="0"/>
          <c:showPercent val="0"/>
          <c:showBubbleSize val="0"/>
        </c:dLbls>
        <c:axId val="392830464"/>
        <c:axId val="354919744"/>
      </c:scatterChart>
      <c:valAx>
        <c:axId val="392830464"/>
        <c:scaling>
          <c:orientation val="minMax"/>
          <c:min val="1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 from column start)</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919744"/>
        <c:crosses val="autoZero"/>
        <c:crossBetween val="midCat"/>
      </c:valAx>
      <c:valAx>
        <c:axId val="354919744"/>
        <c:scaling>
          <c:orientation val="minMax"/>
          <c:max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TOC</a:t>
                </a:r>
                <a:r>
                  <a:rPr lang="en-US" baseline="0"/>
                  <a:t> (mg/L)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8304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3 % of Tank (excl. sand native TOC)</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'TOC 3'!$AP$2:$AP$17</c:f>
              <c:numCache>
                <c:formatCode>0.00</c:formatCode>
                <c:ptCount val="16"/>
                <c:pt idx="0">
                  <c:v>954.58333333333337</c:v>
                </c:pt>
                <c:pt idx="1">
                  <c:v>979.75</c:v>
                </c:pt>
                <c:pt idx="2">
                  <c:v>1099.45</c:v>
                </c:pt>
                <c:pt idx="3">
                  <c:v>1147.6166666666666</c:v>
                </c:pt>
                <c:pt idx="4">
                  <c:v>1219.55</c:v>
                </c:pt>
                <c:pt idx="5">
                  <c:v>1267.7166666666667</c:v>
                </c:pt>
                <c:pt idx="6">
                  <c:v>1313.85</c:v>
                </c:pt>
                <c:pt idx="7">
                  <c:v>1393</c:v>
                </c:pt>
                <c:pt idx="8">
                  <c:v>1441</c:v>
                </c:pt>
                <c:pt idx="9">
                  <c:v>1650.9166666666667</c:v>
                </c:pt>
                <c:pt idx="10">
                  <c:v>1722.3</c:v>
                </c:pt>
                <c:pt idx="11">
                  <c:v>1770.7</c:v>
                </c:pt>
                <c:pt idx="12">
                  <c:v>2513.4666666666672</c:v>
                </c:pt>
                <c:pt idx="13">
                  <c:v>2633.7166666666672</c:v>
                </c:pt>
                <c:pt idx="14">
                  <c:v>2681.2500000000005</c:v>
                </c:pt>
                <c:pt idx="15">
                  <c:v>2728.7000000000003</c:v>
                </c:pt>
              </c:numCache>
            </c:numRef>
          </c:xVal>
          <c:yVal>
            <c:numRef>
              <c:f>'TOC 3'!$BJ$2:$BJ$17</c:f>
              <c:numCache>
                <c:formatCode>0.00</c:formatCode>
                <c:ptCount val="16"/>
                <c:pt idx="0">
                  <c:v>0</c:v>
                </c:pt>
                <c:pt idx="1">
                  <c:v>0.24614315496872829</c:v>
                </c:pt>
                <c:pt idx="2">
                  <c:v>0.44362080103359164</c:v>
                </c:pt>
                <c:pt idx="3">
                  <c:v>0.4645784081954295</c:v>
                </c:pt>
                <c:pt idx="4">
                  <c:v>0.44633946830265847</c:v>
                </c:pt>
                <c:pt idx="5">
                  <c:v>0.35879794385132463</c:v>
                </c:pt>
                <c:pt idx="6">
                  <c:v>0.54192386831275718</c:v>
                </c:pt>
                <c:pt idx="7">
                  <c:v>0.18243457573354482</c:v>
                </c:pt>
                <c:pt idx="8">
                  <c:v>0.26082431307243958</c:v>
                </c:pt>
                <c:pt idx="9">
                  <c:v>0.32048827190043089</c:v>
                </c:pt>
                <c:pt idx="10">
                  <c:v>0.2900076569678407</c:v>
                </c:pt>
                <c:pt idx="11">
                  <c:v>0.9509461034884763</c:v>
                </c:pt>
                <c:pt idx="12">
                  <c:v>0.38702983138780805</c:v>
                </c:pt>
                <c:pt idx="13">
                  <c:v>0.99033634538152637</c:v>
                </c:pt>
                <c:pt idx="14">
                  <c:v>0.55201593999062348</c:v>
                </c:pt>
                <c:pt idx="15">
                  <c:v>0.39803779069767437</c:v>
                </c:pt>
              </c:numCache>
            </c:numRef>
          </c:yVal>
          <c:smooth val="0"/>
          <c:extLst>
            <c:ext xmlns:c16="http://schemas.microsoft.com/office/drawing/2014/chart" uri="{C3380CC4-5D6E-409C-BE32-E72D297353CC}">
              <c16:uniqueId val="{00000000-5377-C346-8286-244D4380C7C6}"/>
            </c:ext>
          </c:extLst>
        </c:ser>
        <c:dLbls>
          <c:showLegendKey val="0"/>
          <c:showVal val="0"/>
          <c:showCatName val="0"/>
          <c:showSerName val="0"/>
          <c:showPercent val="0"/>
          <c:showBubbleSize val="0"/>
        </c:dLbls>
        <c:axId val="431856624"/>
        <c:axId val="311691824"/>
      </c:scatterChart>
      <c:valAx>
        <c:axId val="431856624"/>
        <c:scaling>
          <c:orientation val="minMax"/>
          <c:min val="10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 start of column)</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1691824"/>
        <c:crosses val="autoZero"/>
        <c:crossBetween val="midCat"/>
      </c:valAx>
      <c:valAx>
        <c:axId val="311691824"/>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Effluent/</a:t>
                </a:r>
                <a:r>
                  <a:rPr lang="en-US" baseline="0"/>
                  <a:t> Influent</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856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t>
            </a:r>
            <a:r>
              <a:rPr lang="en-US" baseline="0"/>
              <a:t> standard 10/11/21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Runs'!$C$156:$C$162</c:f>
              <c:numCache>
                <c:formatCode>General</c:formatCode>
                <c:ptCount val="7"/>
                <c:pt idx="0">
                  <c:v>0.5</c:v>
                </c:pt>
                <c:pt idx="1">
                  <c:v>1</c:v>
                </c:pt>
                <c:pt idx="2">
                  <c:v>1.5</c:v>
                </c:pt>
                <c:pt idx="3">
                  <c:v>2</c:v>
                </c:pt>
                <c:pt idx="4">
                  <c:v>2.5</c:v>
                </c:pt>
                <c:pt idx="5">
                  <c:v>3</c:v>
                </c:pt>
                <c:pt idx="6">
                  <c:v>5</c:v>
                </c:pt>
              </c:numCache>
            </c:numRef>
          </c:xVal>
          <c:yVal>
            <c:numRef>
              <c:f>'Standards All Runs'!$E$156:$E$162</c:f>
              <c:numCache>
                <c:formatCode>General</c:formatCode>
                <c:ptCount val="7"/>
                <c:pt idx="0">
                  <c:v>1.5525</c:v>
                </c:pt>
                <c:pt idx="1">
                  <c:v>3.1534</c:v>
                </c:pt>
                <c:pt idx="2">
                  <c:v>4.7354000000000003</c:v>
                </c:pt>
                <c:pt idx="3">
                  <c:v>6.4612999999999996</c:v>
                </c:pt>
                <c:pt idx="4">
                  <c:v>8.3467000000000002</c:v>
                </c:pt>
                <c:pt idx="5">
                  <c:v>9.8404000000000007</c:v>
                </c:pt>
                <c:pt idx="6">
                  <c:v>16.260899999999999</c:v>
                </c:pt>
              </c:numCache>
            </c:numRef>
          </c:yVal>
          <c:smooth val="0"/>
          <c:extLst>
            <c:ext xmlns:c16="http://schemas.microsoft.com/office/drawing/2014/chart" uri="{C3380CC4-5D6E-409C-BE32-E72D297353CC}">
              <c16:uniqueId val="{00000000-C758-C749-8D46-8009C2DC1039}"/>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Runs'!$C$155:$C$162</c:f>
              <c:numCache>
                <c:formatCode>General</c:formatCode>
                <c:ptCount val="8"/>
                <c:pt idx="0">
                  <c:v>0</c:v>
                </c:pt>
                <c:pt idx="1">
                  <c:v>0.5</c:v>
                </c:pt>
                <c:pt idx="2">
                  <c:v>1</c:v>
                </c:pt>
                <c:pt idx="3">
                  <c:v>1.5</c:v>
                </c:pt>
                <c:pt idx="4">
                  <c:v>2</c:v>
                </c:pt>
                <c:pt idx="5">
                  <c:v>2.5</c:v>
                </c:pt>
                <c:pt idx="6">
                  <c:v>3</c:v>
                </c:pt>
                <c:pt idx="7">
                  <c:v>5</c:v>
                </c:pt>
              </c:numCache>
            </c:numRef>
          </c:xVal>
          <c:yVal>
            <c:numRef>
              <c:f>'Standards All Runs'!$F$155:$F$162</c:f>
              <c:numCache>
                <c:formatCode>General</c:formatCode>
                <c:ptCount val="8"/>
                <c:pt idx="0">
                  <c:v>0</c:v>
                </c:pt>
                <c:pt idx="1">
                  <c:v>9.3980999999999995</c:v>
                </c:pt>
                <c:pt idx="2">
                  <c:v>20.150099999999998</c:v>
                </c:pt>
                <c:pt idx="3">
                  <c:v>30.7729</c:v>
                </c:pt>
                <c:pt idx="4">
                  <c:v>41.502899999999997</c:v>
                </c:pt>
                <c:pt idx="5">
                  <c:v>50.786000000000001</c:v>
                </c:pt>
                <c:pt idx="6">
                  <c:v>61.246499999999997</c:v>
                </c:pt>
                <c:pt idx="7">
                  <c:v>92.012299999999996</c:v>
                </c:pt>
              </c:numCache>
            </c:numRef>
          </c:yVal>
          <c:smooth val="0"/>
          <c:extLst>
            <c:ext xmlns:c16="http://schemas.microsoft.com/office/drawing/2014/chart" uri="{C3380CC4-5D6E-409C-BE32-E72D297353CC}">
              <c16:uniqueId val="{00000002-3304-7146-81A9-6B093B851D76}"/>
            </c:ext>
          </c:extLst>
        </c:ser>
        <c:dLbls>
          <c:showLegendKey val="0"/>
          <c:showVal val="0"/>
          <c:showCatName val="0"/>
          <c:showSerName val="0"/>
          <c:showPercent val="0"/>
          <c:showBubbleSize val="0"/>
        </c:dLbls>
        <c:axId val="1900247648"/>
        <c:axId val="1900249296"/>
      </c:scatterChart>
      <c:valAx>
        <c:axId val="19002476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249296"/>
        <c:crosses val="autoZero"/>
        <c:crossBetween val="midCat"/>
      </c:valAx>
      <c:valAx>
        <c:axId val="1900249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2476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Avg.</a:t>
            </a:r>
            <a:r>
              <a:rPr lang="en-US" baseline="0"/>
              <a:t> Difference Between Influent and Effluent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'TOC 3'!$AP$2:$AP$17</c:f>
              <c:numCache>
                <c:formatCode>0.00</c:formatCode>
                <c:ptCount val="16"/>
                <c:pt idx="0">
                  <c:v>954.58333333333337</c:v>
                </c:pt>
                <c:pt idx="1">
                  <c:v>979.75</c:v>
                </c:pt>
                <c:pt idx="2">
                  <c:v>1099.45</c:v>
                </c:pt>
                <c:pt idx="3">
                  <c:v>1147.6166666666666</c:v>
                </c:pt>
                <c:pt idx="4">
                  <c:v>1219.55</c:v>
                </c:pt>
                <c:pt idx="5">
                  <c:v>1267.7166666666667</c:v>
                </c:pt>
                <c:pt idx="6">
                  <c:v>1313.85</c:v>
                </c:pt>
                <c:pt idx="7">
                  <c:v>1393</c:v>
                </c:pt>
                <c:pt idx="8">
                  <c:v>1441</c:v>
                </c:pt>
                <c:pt idx="9">
                  <c:v>1650.9166666666667</c:v>
                </c:pt>
                <c:pt idx="10">
                  <c:v>1722.3</c:v>
                </c:pt>
                <c:pt idx="11">
                  <c:v>1770.7</c:v>
                </c:pt>
                <c:pt idx="12">
                  <c:v>2513.4666666666672</c:v>
                </c:pt>
                <c:pt idx="13">
                  <c:v>2633.7166666666672</c:v>
                </c:pt>
                <c:pt idx="14">
                  <c:v>2681.2500000000005</c:v>
                </c:pt>
                <c:pt idx="15">
                  <c:v>2728.7000000000003</c:v>
                </c:pt>
              </c:numCache>
            </c:numRef>
          </c:xVal>
          <c:yVal>
            <c:numRef>
              <c:f>'TOC 3'!$BK$2:$BK$17</c:f>
              <c:numCache>
                <c:formatCode>0.00</c:formatCode>
                <c:ptCount val="16"/>
                <c:pt idx="0">
                  <c:v>3.9319999999999999</c:v>
                </c:pt>
                <c:pt idx="1">
                  <c:v>1.0848</c:v>
                </c:pt>
                <c:pt idx="2">
                  <c:v>1.1483666666666668</c:v>
                </c:pt>
                <c:pt idx="3">
                  <c:v>1.3589</c:v>
                </c:pt>
                <c:pt idx="4">
                  <c:v>1.3536999999999999</c:v>
                </c:pt>
                <c:pt idx="5">
                  <c:v>1.0810666666666666</c:v>
                </c:pt>
                <c:pt idx="6">
                  <c:v>0.59366666666666668</c:v>
                </c:pt>
                <c:pt idx="7">
                  <c:v>2.0618999999999996</c:v>
                </c:pt>
                <c:pt idx="8">
                  <c:v>1.7755000000000001</c:v>
                </c:pt>
                <c:pt idx="9">
                  <c:v>1.4195</c:v>
                </c:pt>
                <c:pt idx="10">
                  <c:v>1.8545000000000003</c:v>
                </c:pt>
                <c:pt idx="11">
                  <c:v>0.18233333333333346</c:v>
                </c:pt>
                <c:pt idx="12">
                  <c:v>7.876666666666666</c:v>
                </c:pt>
                <c:pt idx="13">
                  <c:v>0.12833333333333238</c:v>
                </c:pt>
                <c:pt idx="14">
                  <c:v>6.3703333333333347</c:v>
                </c:pt>
                <c:pt idx="15">
                  <c:v>8.2829999999999995</c:v>
                </c:pt>
              </c:numCache>
            </c:numRef>
          </c:yVal>
          <c:smooth val="0"/>
          <c:extLst>
            <c:ext xmlns:c16="http://schemas.microsoft.com/office/drawing/2014/chart" uri="{C3380CC4-5D6E-409C-BE32-E72D297353CC}">
              <c16:uniqueId val="{00000000-F7FF-2649-B12B-C0504333FFCF}"/>
            </c:ext>
          </c:extLst>
        </c:ser>
        <c:dLbls>
          <c:showLegendKey val="0"/>
          <c:showVal val="0"/>
          <c:showCatName val="0"/>
          <c:showSerName val="0"/>
          <c:showPercent val="0"/>
          <c:showBubbleSize val="0"/>
        </c:dLbls>
        <c:axId val="422360112"/>
        <c:axId val="392734288"/>
      </c:scatterChart>
      <c:valAx>
        <c:axId val="422360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 from start of column)</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2734288"/>
        <c:crosses val="autoZero"/>
        <c:crossBetween val="midCat"/>
      </c:valAx>
      <c:valAx>
        <c:axId val="392734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Influent-</a:t>
                </a:r>
                <a:r>
                  <a:rPr lang="en-US" baseline="0"/>
                  <a:t> Effluent (mg/L)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3601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Diff.</a:t>
            </a:r>
            <a:r>
              <a:rPr lang="en-US" baseline="0"/>
              <a:t> Between Influent and Avg. Effluent in relation to Influent TOC value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'TOC 3'!$AR$2:$AR$17</c:f>
              <c:numCache>
                <c:formatCode>0.00</c:formatCode>
                <c:ptCount val="16"/>
                <c:pt idx="0">
                  <c:v>3.9319999999999999</c:v>
                </c:pt>
                <c:pt idx="1">
                  <c:v>1.4390000000000001</c:v>
                </c:pt>
                <c:pt idx="2">
                  <c:v>2.0640000000000001</c:v>
                </c:pt>
                <c:pt idx="3">
                  <c:v>2.5379999999999998</c:v>
                </c:pt>
                <c:pt idx="4">
                  <c:v>2.4449999999999998</c:v>
                </c:pt>
                <c:pt idx="5">
                  <c:v>1.6859999999999999</c:v>
                </c:pt>
                <c:pt idx="6">
                  <c:v>1.296</c:v>
                </c:pt>
                <c:pt idx="7">
                  <c:v>2.5219999999999998</c:v>
                </c:pt>
                <c:pt idx="8">
                  <c:v>2.4020000000000001</c:v>
                </c:pt>
                <c:pt idx="9">
                  <c:v>2.089</c:v>
                </c:pt>
                <c:pt idx="10">
                  <c:v>2.6120000000000001</c:v>
                </c:pt>
                <c:pt idx="11">
                  <c:v>3.7170000000000001</c:v>
                </c:pt>
                <c:pt idx="12">
                  <c:v>12.85</c:v>
                </c:pt>
                <c:pt idx="13">
                  <c:v>13.28</c:v>
                </c:pt>
                <c:pt idx="14">
                  <c:v>14.22</c:v>
                </c:pt>
                <c:pt idx="15">
                  <c:v>13.76</c:v>
                </c:pt>
              </c:numCache>
            </c:numRef>
          </c:xVal>
          <c:yVal>
            <c:numRef>
              <c:f>'TOC 3'!$BK$2:$BK$17</c:f>
              <c:numCache>
                <c:formatCode>0.00</c:formatCode>
                <c:ptCount val="16"/>
                <c:pt idx="0">
                  <c:v>3.9319999999999999</c:v>
                </c:pt>
                <c:pt idx="1">
                  <c:v>1.0848</c:v>
                </c:pt>
                <c:pt idx="2">
                  <c:v>1.1483666666666668</c:v>
                </c:pt>
                <c:pt idx="3">
                  <c:v>1.3589</c:v>
                </c:pt>
                <c:pt idx="4">
                  <c:v>1.3536999999999999</c:v>
                </c:pt>
                <c:pt idx="5">
                  <c:v>1.0810666666666666</c:v>
                </c:pt>
                <c:pt idx="6">
                  <c:v>0.59366666666666668</c:v>
                </c:pt>
                <c:pt idx="7">
                  <c:v>2.0618999999999996</c:v>
                </c:pt>
                <c:pt idx="8">
                  <c:v>1.7755000000000001</c:v>
                </c:pt>
                <c:pt idx="9">
                  <c:v>1.4195</c:v>
                </c:pt>
                <c:pt idx="10">
                  <c:v>1.8545000000000003</c:v>
                </c:pt>
                <c:pt idx="11">
                  <c:v>0.18233333333333346</c:v>
                </c:pt>
                <c:pt idx="12">
                  <c:v>7.876666666666666</c:v>
                </c:pt>
                <c:pt idx="13">
                  <c:v>0.12833333333333238</c:v>
                </c:pt>
                <c:pt idx="14">
                  <c:v>6.3703333333333347</c:v>
                </c:pt>
                <c:pt idx="15">
                  <c:v>8.2829999999999995</c:v>
                </c:pt>
              </c:numCache>
            </c:numRef>
          </c:yVal>
          <c:smooth val="0"/>
          <c:extLst>
            <c:ext xmlns:c16="http://schemas.microsoft.com/office/drawing/2014/chart" uri="{C3380CC4-5D6E-409C-BE32-E72D297353CC}">
              <c16:uniqueId val="{00000000-CA1F-AF4C-A186-555510908501}"/>
            </c:ext>
          </c:extLst>
        </c:ser>
        <c:dLbls>
          <c:showLegendKey val="0"/>
          <c:showVal val="0"/>
          <c:showCatName val="0"/>
          <c:showSerName val="0"/>
          <c:showPercent val="0"/>
          <c:showBubbleSize val="0"/>
        </c:dLbls>
        <c:axId val="470125520"/>
        <c:axId val="420310544"/>
      </c:scatterChart>
      <c:valAx>
        <c:axId val="4701255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Tank</a:t>
                </a:r>
                <a:r>
                  <a:rPr lang="en-US" baseline="0"/>
                  <a:t> (Influent) TOC (mg/L)</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10544"/>
        <c:crosses val="autoZero"/>
        <c:crossBetween val="midCat"/>
      </c:valAx>
      <c:valAx>
        <c:axId val="42031054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Influent</a:t>
                </a:r>
                <a:r>
                  <a:rPr lang="en-US" baseline="0"/>
                  <a:t> - Effluent (mg/L)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01255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Set 7</c:v>
          </c:tx>
          <c:spPr>
            <a:ln w="19050" cap="rnd">
              <a:noFill/>
              <a:round/>
            </a:ln>
            <a:effectLst/>
          </c:spPr>
          <c:marker>
            <c:symbol val="circle"/>
            <c:size val="5"/>
            <c:spPr>
              <a:solidFill>
                <a:schemeClr val="accent1"/>
              </a:solidFill>
              <a:ln w="9525">
                <a:solidFill>
                  <a:schemeClr val="accent1"/>
                </a:solidFill>
              </a:ln>
              <a:effectLst/>
            </c:spPr>
          </c:marker>
          <c:xVal>
            <c:numRef>
              <c:f>'TOC 7,8,9,10'!$B$3:$B$7</c:f>
              <c:numCache>
                <c:formatCode>m/d/yyyy</c:formatCode>
                <c:ptCount val="5"/>
                <c:pt idx="0">
                  <c:v>44694</c:v>
                </c:pt>
                <c:pt idx="1">
                  <c:v>44697</c:v>
                </c:pt>
                <c:pt idx="2">
                  <c:v>44700</c:v>
                </c:pt>
                <c:pt idx="3">
                  <c:v>44704</c:v>
                </c:pt>
                <c:pt idx="4">
                  <c:v>44706</c:v>
                </c:pt>
              </c:numCache>
            </c:numRef>
          </c:xVal>
          <c:yVal>
            <c:numRef>
              <c:f>'TOC 7,8,9,10'!$BT$3:$BT$7</c:f>
              <c:numCache>
                <c:formatCode>0.00</c:formatCode>
                <c:ptCount val="5"/>
                <c:pt idx="0">
                  <c:v>0.42919566898685235</c:v>
                </c:pt>
                <c:pt idx="1">
                  <c:v>0.52532679738562083</c:v>
                </c:pt>
                <c:pt idx="2">
                  <c:v>0.60766904298984659</c:v>
                </c:pt>
                <c:pt idx="3">
                  <c:v>0.73692174664937304</c:v>
                </c:pt>
                <c:pt idx="4">
                  <c:v>0.70814332247556999</c:v>
                </c:pt>
              </c:numCache>
            </c:numRef>
          </c:yVal>
          <c:smooth val="0"/>
          <c:extLst>
            <c:ext xmlns:c16="http://schemas.microsoft.com/office/drawing/2014/chart" uri="{C3380CC4-5D6E-409C-BE32-E72D297353CC}">
              <c16:uniqueId val="{00000000-49A9-774F-BF1F-B49D234408F4}"/>
            </c:ext>
          </c:extLst>
        </c:ser>
        <c:ser>
          <c:idx val="1"/>
          <c:order val="1"/>
          <c:tx>
            <c:v>Set 8</c:v>
          </c:tx>
          <c:spPr>
            <a:ln w="25400" cap="rnd">
              <a:noFill/>
              <a:round/>
            </a:ln>
            <a:effectLst/>
          </c:spPr>
          <c:marker>
            <c:symbol val="circle"/>
            <c:size val="5"/>
            <c:spPr>
              <a:solidFill>
                <a:schemeClr val="accent2"/>
              </a:solidFill>
              <a:ln w="9525">
                <a:solidFill>
                  <a:schemeClr val="accent2"/>
                </a:solidFill>
              </a:ln>
              <a:effectLst/>
            </c:spPr>
          </c:marker>
          <c:xVal>
            <c:numRef>
              <c:f>'TOC 7,8,9,10'!$B$3:$B$7</c:f>
              <c:numCache>
                <c:formatCode>m/d/yyyy</c:formatCode>
                <c:ptCount val="5"/>
                <c:pt idx="0">
                  <c:v>44694</c:v>
                </c:pt>
                <c:pt idx="1">
                  <c:v>44697</c:v>
                </c:pt>
                <c:pt idx="2">
                  <c:v>44700</c:v>
                </c:pt>
                <c:pt idx="3">
                  <c:v>44704</c:v>
                </c:pt>
                <c:pt idx="4">
                  <c:v>44706</c:v>
                </c:pt>
              </c:numCache>
            </c:numRef>
          </c:xVal>
          <c:yVal>
            <c:numRef>
              <c:f>'TOC 7,8,9,10'!$CC$3:$CC$7</c:f>
              <c:numCache>
                <c:formatCode>0.00</c:formatCode>
                <c:ptCount val="5"/>
                <c:pt idx="0">
                  <c:v>0.61669278996865207</c:v>
                </c:pt>
                <c:pt idx="1">
                  <c:v>0.45953926022063596</c:v>
                </c:pt>
                <c:pt idx="2">
                  <c:v>0.67286228622862287</c:v>
                </c:pt>
                <c:pt idx="3">
                  <c:v>0.63401360544217689</c:v>
                </c:pt>
                <c:pt idx="4">
                  <c:v>0.61772908366533863</c:v>
                </c:pt>
              </c:numCache>
            </c:numRef>
          </c:yVal>
          <c:smooth val="0"/>
          <c:extLst>
            <c:ext xmlns:c16="http://schemas.microsoft.com/office/drawing/2014/chart" uri="{C3380CC4-5D6E-409C-BE32-E72D297353CC}">
              <c16:uniqueId val="{00000001-49A9-774F-BF1F-B49D234408F4}"/>
            </c:ext>
          </c:extLst>
        </c:ser>
        <c:ser>
          <c:idx val="2"/>
          <c:order val="2"/>
          <c:tx>
            <c:v>Set 9A</c:v>
          </c:tx>
          <c:spPr>
            <a:ln w="25400" cap="rnd">
              <a:noFill/>
              <a:round/>
            </a:ln>
            <a:effectLst/>
          </c:spPr>
          <c:marker>
            <c:symbol val="circle"/>
            <c:size val="5"/>
            <c:spPr>
              <a:solidFill>
                <a:schemeClr val="accent3"/>
              </a:solidFill>
              <a:ln w="9525">
                <a:solidFill>
                  <a:schemeClr val="accent3"/>
                </a:solidFill>
              </a:ln>
              <a:effectLst/>
            </c:spPr>
          </c:marker>
          <c:xVal>
            <c:numRef>
              <c:f>'TOC 7,8,9,10'!$B$3:$B$7</c:f>
              <c:numCache>
                <c:formatCode>m/d/yyyy</c:formatCode>
                <c:ptCount val="5"/>
                <c:pt idx="0">
                  <c:v>44694</c:v>
                </c:pt>
                <c:pt idx="1">
                  <c:v>44697</c:v>
                </c:pt>
                <c:pt idx="2">
                  <c:v>44700</c:v>
                </c:pt>
                <c:pt idx="3">
                  <c:v>44704</c:v>
                </c:pt>
                <c:pt idx="4">
                  <c:v>44706</c:v>
                </c:pt>
              </c:numCache>
            </c:numRef>
          </c:xVal>
          <c:yVal>
            <c:numRef>
              <c:f>'TOC 7,8,9,10'!$CL$3:$CL$7</c:f>
              <c:numCache>
                <c:formatCode>0.00</c:formatCode>
                <c:ptCount val="5"/>
                <c:pt idx="0">
                  <c:v>0.28653922739944249</c:v>
                </c:pt>
                <c:pt idx="1">
                  <c:v>0.35985708280790252</c:v>
                </c:pt>
                <c:pt idx="2">
                  <c:v>0.37766531713900137</c:v>
                </c:pt>
                <c:pt idx="3">
                  <c:v>0.60799131378935944</c:v>
                </c:pt>
                <c:pt idx="4">
                  <c:v>0.43252136752136755</c:v>
                </c:pt>
              </c:numCache>
            </c:numRef>
          </c:yVal>
          <c:smooth val="0"/>
          <c:extLst>
            <c:ext xmlns:c16="http://schemas.microsoft.com/office/drawing/2014/chart" uri="{C3380CC4-5D6E-409C-BE32-E72D297353CC}">
              <c16:uniqueId val="{00000002-49A9-774F-BF1F-B49D234408F4}"/>
            </c:ext>
          </c:extLst>
        </c:ser>
        <c:ser>
          <c:idx val="3"/>
          <c:order val="3"/>
          <c:tx>
            <c:v>Set 9D</c:v>
          </c:tx>
          <c:spPr>
            <a:ln w="25400" cap="rnd">
              <a:noFill/>
              <a:round/>
            </a:ln>
            <a:effectLst/>
          </c:spPr>
          <c:marker>
            <c:symbol val="circle"/>
            <c:size val="5"/>
            <c:spPr>
              <a:solidFill>
                <a:schemeClr val="accent4"/>
              </a:solidFill>
              <a:ln w="9525">
                <a:solidFill>
                  <a:schemeClr val="accent4"/>
                </a:solidFill>
              </a:ln>
              <a:effectLst/>
            </c:spPr>
          </c:marker>
          <c:xVal>
            <c:numRef>
              <c:f>'TOC 7,8,9,10'!$B$3:$B$7</c:f>
              <c:numCache>
                <c:formatCode>m/d/yyyy</c:formatCode>
                <c:ptCount val="5"/>
                <c:pt idx="0">
                  <c:v>44694</c:v>
                </c:pt>
                <c:pt idx="1">
                  <c:v>44697</c:v>
                </c:pt>
                <c:pt idx="2">
                  <c:v>44700</c:v>
                </c:pt>
                <c:pt idx="3">
                  <c:v>44704</c:v>
                </c:pt>
                <c:pt idx="4">
                  <c:v>44706</c:v>
                </c:pt>
              </c:numCache>
            </c:numRef>
          </c:xVal>
          <c:yVal>
            <c:numRef>
              <c:f>'TOC 7,8,9,10'!$CS$3:$CS$7</c:f>
              <c:numCache>
                <c:formatCode>0.00</c:formatCode>
                <c:ptCount val="5"/>
                <c:pt idx="0">
                  <c:v>0.49369122257053294</c:v>
                </c:pt>
                <c:pt idx="1">
                  <c:v>0.41988968202465926</c:v>
                </c:pt>
                <c:pt idx="2">
                  <c:v>0.57434743474347438</c:v>
                </c:pt>
                <c:pt idx="3">
                  <c:v>0.55374149659863947</c:v>
                </c:pt>
                <c:pt idx="4">
                  <c:v>0.52699203187250987</c:v>
                </c:pt>
              </c:numCache>
            </c:numRef>
          </c:yVal>
          <c:smooth val="0"/>
          <c:extLst>
            <c:ext xmlns:c16="http://schemas.microsoft.com/office/drawing/2014/chart" uri="{C3380CC4-5D6E-409C-BE32-E72D297353CC}">
              <c16:uniqueId val="{00000003-49A9-774F-BF1F-B49D234408F4}"/>
            </c:ext>
          </c:extLst>
        </c:ser>
        <c:dLbls>
          <c:showLegendKey val="0"/>
          <c:showVal val="0"/>
          <c:showCatName val="0"/>
          <c:showSerName val="0"/>
          <c:showPercent val="0"/>
          <c:showBubbleSize val="0"/>
        </c:dLbls>
        <c:axId val="1226729247"/>
        <c:axId val="1226730895"/>
      </c:scatterChart>
      <c:valAx>
        <c:axId val="1226729247"/>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6730895"/>
        <c:crosses val="autoZero"/>
        <c:crossBetween val="midCat"/>
      </c:valAx>
      <c:valAx>
        <c:axId val="1226730895"/>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672924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Comparison</a:t>
            </a:r>
            <a:r>
              <a:rPr lang="en-US" baseline="0"/>
              <a:t> of Feedstock Variation Fluoride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1 0</c:v>
          </c:tx>
          <c:spPr>
            <a:ln w="19050" cap="rnd">
              <a:noFill/>
              <a:round/>
            </a:ln>
            <a:effectLst/>
          </c:spPr>
          <c:marker>
            <c:symbol val="circle"/>
            <c:size val="7"/>
            <c:spPr>
              <a:pattFill prst="lgGrid">
                <a:fgClr>
                  <a:schemeClr val="accent1"/>
                </a:fgClr>
                <a:bgClr>
                  <a:schemeClr val="bg1"/>
                </a:bgClr>
              </a:pattFill>
              <a:ln w="9525">
                <a:solidFill>
                  <a:schemeClr val="accent1"/>
                </a:solidFill>
              </a:ln>
              <a:effectLst/>
            </c:spPr>
          </c:marker>
          <c:xVal>
            <c:numRef>
              <c:f>'Group Fluoride'!$A$2:$A$57</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formatCode="General">
                  <c:v>1056.8666666666666</c:v>
                </c:pt>
                <c:pt idx="30" formatCode="General">
                  <c:v>1109.33</c:v>
                </c:pt>
                <c:pt idx="31" formatCode="General">
                  <c:v>1176.8800000000001</c:v>
                </c:pt>
                <c:pt idx="32" formatCode="General">
                  <c:v>1225.4000000000001</c:v>
                </c:pt>
                <c:pt idx="33" formatCode="General">
                  <c:v>1273.28</c:v>
                </c:pt>
                <c:pt idx="34" formatCode="General">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'Group Fluoride'!$D$2:$D$57</c:f>
              <c:numCache>
                <c:formatCode>0.00</c:formatCode>
                <c:ptCount val="56"/>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pt idx="45">
                  <c:v>0.51158964716942334</c:v>
                </c:pt>
                <c:pt idx="46">
                  <c:v>0.55548047827491998</c:v>
                </c:pt>
                <c:pt idx="47">
                  <c:v>0.62963075060532681</c:v>
                </c:pt>
                <c:pt idx="48">
                  <c:v>0.70226997578692496</c:v>
                </c:pt>
                <c:pt idx="49">
                  <c:v>0.97433414043583533</c:v>
                </c:pt>
                <c:pt idx="50">
                  <c:v>1.0375760863014523</c:v>
                </c:pt>
                <c:pt idx="51">
                  <c:v>0.8973663593081419</c:v>
                </c:pt>
                <c:pt idx="52">
                  <c:v>1.0204905683119387</c:v>
                </c:pt>
                <c:pt idx="53">
                  <c:v>1.0347236673900764</c:v>
                </c:pt>
                <c:pt idx="54">
                  <c:v>1.1060142105419628</c:v>
                </c:pt>
                <c:pt idx="55">
                  <c:v>1.1120476674901905</c:v>
                </c:pt>
              </c:numCache>
            </c:numRef>
          </c:yVal>
          <c:smooth val="0"/>
          <c:extLst>
            <c:ext xmlns:c16="http://schemas.microsoft.com/office/drawing/2014/chart" uri="{C3380CC4-5D6E-409C-BE32-E72D297353CC}">
              <c16:uniqueId val="{00000000-41AB-0444-B1C3-35AFF70DA1D8}"/>
            </c:ext>
          </c:extLst>
        </c:ser>
        <c:ser>
          <c:idx val="1"/>
          <c:order val="1"/>
          <c:tx>
            <c:v>Set 1</c:v>
          </c:tx>
          <c:spPr>
            <a:ln w="25400" cap="rnd">
              <a:noFill/>
              <a:round/>
            </a:ln>
            <a:effectLst/>
          </c:spPr>
          <c:marker>
            <c:symbol val="circle"/>
            <c:size val="7"/>
            <c:spPr>
              <a:solidFill>
                <a:schemeClr val="accent1"/>
              </a:solidFill>
              <a:ln w="9525">
                <a:solidFill>
                  <a:schemeClr val="accent1"/>
                </a:solidFill>
              </a:ln>
              <a:effectLst/>
            </c:spPr>
          </c:marker>
          <c:errBars>
            <c:errDir val="x"/>
            <c:errBarType val="both"/>
            <c:errValType val="cust"/>
            <c:noEndCap val="0"/>
            <c:plus>
              <c:numRef>
                <c:f>'Group Fluoride'!$G$2:$G$30</c:f>
                <c:numCache>
                  <c:formatCode>General</c:formatCode>
                  <c:ptCount val="29"/>
                  <c:pt idx="0">
                    <c:v>0.95998460966617227</c:v>
                  </c:pt>
                  <c:pt idx="1">
                    <c:v>0.68631583787502926</c:v>
                  </c:pt>
                  <c:pt idx="2">
                    <c:v>0.52714978349117381</c:v>
                  </c:pt>
                  <c:pt idx="3">
                    <c:v>0.98243089127923355</c:v>
                  </c:pt>
                  <c:pt idx="4">
                    <c:v>0.64329003099335347</c:v>
                  </c:pt>
                  <c:pt idx="5">
                    <c:v>0.64438354519395247</c:v>
                  </c:pt>
                  <c:pt idx="6">
                    <c:v>0.25215958777788433</c:v>
                  </c:pt>
                  <c:pt idx="7">
                    <c:v>9.7782104322705038E-2</c:v>
                  </c:pt>
                  <c:pt idx="8">
                    <c:v>0.54206014920674805</c:v>
                  </c:pt>
                  <c:pt idx="9">
                    <c:v>0.5182053763382124</c:v>
                  </c:pt>
                  <c:pt idx="10">
                    <c:v>0.19408419652116957</c:v>
                  </c:pt>
                  <c:pt idx="11">
                    <c:v>9.2161921265403041E-3</c:v>
                  </c:pt>
                  <c:pt idx="12">
                    <c:v>0.11833932235353366</c:v>
                  </c:pt>
                  <c:pt idx="13">
                    <c:v>0.19356007471616177</c:v>
                  </c:pt>
                  <c:pt idx="14">
                    <c:v>0.1688784486248254</c:v>
                  </c:pt>
                  <c:pt idx="15">
                    <c:v>0.18260320506892327</c:v>
                  </c:pt>
                  <c:pt idx="16">
                    <c:v>0.11533990616918668</c:v>
                  </c:pt>
                  <c:pt idx="17">
                    <c:v>0.21029618205274125</c:v>
                  </c:pt>
                  <c:pt idx="18">
                    <c:v>0.16629117030484128</c:v>
                  </c:pt>
                  <c:pt idx="19">
                    <c:v>0.16322373889661207</c:v>
                  </c:pt>
                  <c:pt idx="20">
                    <c:v>0.13538731197066842</c:v>
                  </c:pt>
                  <c:pt idx="21">
                    <c:v>0.11538915995934435</c:v>
                  </c:pt>
                  <c:pt idx="22">
                    <c:v>0.14473947765014739</c:v>
                  </c:pt>
                  <c:pt idx="23">
                    <c:v>0.22810797640638808</c:v>
                  </c:pt>
                  <c:pt idx="24">
                    <c:v>0.13297185414403867</c:v>
                  </c:pt>
                  <c:pt idx="25">
                    <c:v>0.21146598830151686</c:v>
                  </c:pt>
                  <c:pt idx="26">
                    <c:v>0.15924570380203734</c:v>
                  </c:pt>
                  <c:pt idx="27">
                    <c:v>0.58839737858589003</c:v>
                  </c:pt>
                  <c:pt idx="28">
                    <c:v>0.40002023336210174</c:v>
                  </c:pt>
                </c:numCache>
              </c:numRef>
            </c:plus>
            <c:minus>
              <c:numRef>
                <c:f>'Group Fluoride'!$G$2:$G$30</c:f>
                <c:numCache>
                  <c:formatCode>General</c:formatCode>
                  <c:ptCount val="29"/>
                  <c:pt idx="0">
                    <c:v>0.95998460966617227</c:v>
                  </c:pt>
                  <c:pt idx="1">
                    <c:v>0.68631583787502926</c:v>
                  </c:pt>
                  <c:pt idx="2">
                    <c:v>0.52714978349117381</c:v>
                  </c:pt>
                  <c:pt idx="3">
                    <c:v>0.98243089127923355</c:v>
                  </c:pt>
                  <c:pt idx="4">
                    <c:v>0.64329003099335347</c:v>
                  </c:pt>
                  <c:pt idx="5">
                    <c:v>0.64438354519395247</c:v>
                  </c:pt>
                  <c:pt idx="6">
                    <c:v>0.25215958777788433</c:v>
                  </c:pt>
                  <c:pt idx="7">
                    <c:v>9.7782104322705038E-2</c:v>
                  </c:pt>
                  <c:pt idx="8">
                    <c:v>0.54206014920674805</c:v>
                  </c:pt>
                  <c:pt idx="9">
                    <c:v>0.5182053763382124</c:v>
                  </c:pt>
                  <c:pt idx="10">
                    <c:v>0.19408419652116957</c:v>
                  </c:pt>
                  <c:pt idx="11">
                    <c:v>9.2161921265403041E-3</c:v>
                  </c:pt>
                  <c:pt idx="12">
                    <c:v>0.11833932235353366</c:v>
                  </c:pt>
                  <c:pt idx="13">
                    <c:v>0.19356007471616177</c:v>
                  </c:pt>
                  <c:pt idx="14">
                    <c:v>0.1688784486248254</c:v>
                  </c:pt>
                  <c:pt idx="15">
                    <c:v>0.18260320506892327</c:v>
                  </c:pt>
                  <c:pt idx="16">
                    <c:v>0.11533990616918668</c:v>
                  </c:pt>
                  <c:pt idx="17">
                    <c:v>0.21029618205274125</c:v>
                  </c:pt>
                  <c:pt idx="18">
                    <c:v>0.16629117030484128</c:v>
                  </c:pt>
                  <c:pt idx="19">
                    <c:v>0.16322373889661207</c:v>
                  </c:pt>
                  <c:pt idx="20">
                    <c:v>0.13538731197066842</c:v>
                  </c:pt>
                  <c:pt idx="21">
                    <c:v>0.11538915995934435</c:v>
                  </c:pt>
                  <c:pt idx="22">
                    <c:v>0.14473947765014739</c:v>
                  </c:pt>
                  <c:pt idx="23">
                    <c:v>0.22810797640638808</c:v>
                  </c:pt>
                  <c:pt idx="24">
                    <c:v>0.13297185414403867</c:v>
                  </c:pt>
                  <c:pt idx="25">
                    <c:v>0.21146598830151686</c:v>
                  </c:pt>
                  <c:pt idx="26">
                    <c:v>0.15924570380203734</c:v>
                  </c:pt>
                  <c:pt idx="27">
                    <c:v>0.58839737858589003</c:v>
                  </c:pt>
                  <c:pt idx="28">
                    <c:v>0.40002023336210174</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'Group Fluoride'!$A$2:$A$57</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formatCode="General">
                  <c:v>1056.8666666666666</c:v>
                </c:pt>
                <c:pt idx="30" formatCode="General">
                  <c:v>1109.33</c:v>
                </c:pt>
                <c:pt idx="31" formatCode="General">
                  <c:v>1176.8800000000001</c:v>
                </c:pt>
                <c:pt idx="32" formatCode="General">
                  <c:v>1225.4000000000001</c:v>
                </c:pt>
                <c:pt idx="33" formatCode="General">
                  <c:v>1273.28</c:v>
                </c:pt>
                <c:pt idx="34" formatCode="General">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'Group Fluoride'!$E$2:$E$57</c:f>
              <c:numCache>
                <c:formatCode>0.00</c:formatCode>
                <c:ptCount val="56"/>
                <c:pt idx="0">
                  <c:v>6.1062109384499408</c:v>
                </c:pt>
                <c:pt idx="1">
                  <c:v>3.3009289657352689</c:v>
                </c:pt>
                <c:pt idx="2">
                  <c:v>3.4404562145862214</c:v>
                </c:pt>
                <c:pt idx="3">
                  <c:v>3.2251039614795354</c:v>
                </c:pt>
                <c:pt idx="4">
                  <c:v>3.3159213054157242</c:v>
                </c:pt>
                <c:pt idx="5">
                  <c:v>3.4978478149850445</c:v>
                </c:pt>
                <c:pt idx="6">
                  <c:v>3.1863281534982129</c:v>
                </c:pt>
                <c:pt idx="7">
                  <c:v>2.4226758685930512</c:v>
                </c:pt>
                <c:pt idx="8">
                  <c:v>2.2741658066735462</c:v>
                </c:pt>
                <c:pt idx="9">
                  <c:v>2.2041086171310629</c:v>
                </c:pt>
                <c:pt idx="10">
                  <c:v>2.0054717062263503</c:v>
                </c:pt>
                <c:pt idx="11">
                  <c:v>1.7919891640866874</c:v>
                </c:pt>
                <c:pt idx="12">
                  <c:v>1.6995399036807706</c:v>
                </c:pt>
                <c:pt idx="13">
                  <c:v>1.5906139582641259</c:v>
                </c:pt>
                <c:pt idx="14">
                  <c:v>1.6211961062623941</c:v>
                </c:pt>
                <c:pt idx="15">
                  <c:v>1.5755242150615567</c:v>
                </c:pt>
                <c:pt idx="16">
                  <c:v>1.5891442434491989</c:v>
                </c:pt>
                <c:pt idx="17">
                  <c:v>1.5690060949852149</c:v>
                </c:pt>
                <c:pt idx="18">
                  <c:v>1.4300283628024861</c:v>
                </c:pt>
                <c:pt idx="19">
                  <c:v>1.4224146601492567</c:v>
                </c:pt>
                <c:pt idx="20">
                  <c:v>1.4984913402932831</c:v>
                </c:pt>
                <c:pt idx="21">
                  <c:v>1.3021811681803621</c:v>
                </c:pt>
                <c:pt idx="22">
                  <c:v>1.2782616781872849</c:v>
                </c:pt>
                <c:pt idx="23">
                  <c:v>1.114265935133236</c:v>
                </c:pt>
                <c:pt idx="24">
                  <c:v>1.2326158772623172</c:v>
                </c:pt>
                <c:pt idx="25">
                  <c:v>1.3060436553778805</c:v>
                </c:pt>
                <c:pt idx="26">
                  <c:v>1.3292191078413491</c:v>
                </c:pt>
                <c:pt idx="27">
                  <c:v>1.4983570319034534</c:v>
                </c:pt>
                <c:pt idx="28">
                  <c:v>1.3269307364480025</c:v>
                </c:pt>
                <c:pt idx="29">
                  <c:v>1.3741039842404366</c:v>
                </c:pt>
                <c:pt idx="30">
                  <c:v>1.3645739864063451</c:v>
                </c:pt>
                <c:pt idx="31">
                  <c:v>1.2342481718700042</c:v>
                </c:pt>
                <c:pt idx="32">
                  <c:v>1.1618059990471263</c:v>
                </c:pt>
                <c:pt idx="33">
                  <c:v>1.08491723180164</c:v>
                </c:pt>
                <c:pt idx="34">
                  <c:v>0.83797098804853565</c:v>
                </c:pt>
                <c:pt idx="35">
                  <c:v>0.99876160356985677</c:v>
                </c:pt>
                <c:pt idx="36">
                  <c:v>0.95482411700287606</c:v>
                </c:pt>
                <c:pt idx="37">
                  <c:v>0.92642287655950961</c:v>
                </c:pt>
                <c:pt idx="38">
                  <c:v>1.1702078763188135</c:v>
                </c:pt>
                <c:pt idx="39">
                  <c:v>1.0155437167032277</c:v>
                </c:pt>
                <c:pt idx="40">
                  <c:v>0.96605034994254668</c:v>
                </c:pt>
                <c:pt idx="41">
                  <c:v>1.3104969011207042</c:v>
                </c:pt>
                <c:pt idx="42">
                  <c:v>0.88173183644203468</c:v>
                </c:pt>
                <c:pt idx="43">
                  <c:v>0.91580039485877762</c:v>
                </c:pt>
                <c:pt idx="44">
                  <c:v>1.4326221846166243</c:v>
                </c:pt>
                <c:pt idx="45">
                  <c:v>1.2532291391247294</c:v>
                </c:pt>
                <c:pt idx="46">
                  <c:v>1.3482182202767412</c:v>
                </c:pt>
                <c:pt idx="47">
                  <c:v>1.4603712671509284</c:v>
                </c:pt>
                <c:pt idx="48">
                  <c:v>1.4436440677966103</c:v>
                </c:pt>
                <c:pt idx="49">
                  <c:v>1.6800645682001616</c:v>
                </c:pt>
                <c:pt idx="50">
                  <c:v>1.8565258442315031</c:v>
                </c:pt>
                <c:pt idx="51">
                  <c:v>1.7762409851543826</c:v>
                </c:pt>
                <c:pt idx="52">
                  <c:v>2.1223407460977519</c:v>
                </c:pt>
                <c:pt idx="53">
                  <c:v>2.2650652555221922</c:v>
                </c:pt>
                <c:pt idx="54">
                  <c:v>2.7852067663584741</c:v>
                </c:pt>
                <c:pt idx="55">
                  <c:v>2.6134379692874097</c:v>
                </c:pt>
              </c:numCache>
            </c:numRef>
          </c:yVal>
          <c:smooth val="0"/>
          <c:extLst>
            <c:ext xmlns:c16="http://schemas.microsoft.com/office/drawing/2014/chart" uri="{C3380CC4-5D6E-409C-BE32-E72D297353CC}">
              <c16:uniqueId val="{00000001-41AB-0444-B1C3-35AFF70DA1D8}"/>
            </c:ext>
          </c:extLst>
        </c:ser>
        <c:ser>
          <c:idx val="2"/>
          <c:order val="2"/>
          <c:tx>
            <c:v>1 Control</c:v>
          </c:tx>
          <c:spPr>
            <a:ln w="25400" cap="rnd">
              <a:noFill/>
              <a:round/>
            </a:ln>
            <a:effectLst/>
          </c:spPr>
          <c:marker>
            <c:symbol val="circle"/>
            <c:size val="7"/>
            <c:spPr>
              <a:noFill/>
              <a:ln w="9525">
                <a:solidFill>
                  <a:schemeClr val="accent1"/>
                </a:solidFill>
              </a:ln>
              <a:effectLst/>
            </c:spPr>
          </c:marker>
          <c:xVal>
            <c:numRef>
              <c:f>'Group Fluoride'!$A$2:$A$57</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formatCode="General">
                  <c:v>1056.8666666666666</c:v>
                </c:pt>
                <c:pt idx="30" formatCode="General">
                  <c:v>1109.33</c:v>
                </c:pt>
                <c:pt idx="31" formatCode="General">
                  <c:v>1176.8800000000001</c:v>
                </c:pt>
                <c:pt idx="32" formatCode="General">
                  <c:v>1225.4000000000001</c:v>
                </c:pt>
                <c:pt idx="33" formatCode="General">
                  <c:v>1273.28</c:v>
                </c:pt>
                <c:pt idx="34" formatCode="General">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'Group Fluoride'!$F$2:$F$57</c:f>
              <c:numCache>
                <c:formatCode>0.00</c:formatCode>
                <c:ptCount val="56"/>
                <c:pt idx="0">
                  <c:v>0.94739913912599394</c:v>
                </c:pt>
                <c:pt idx="1">
                  <c:v>0.51648792587728898</c:v>
                </c:pt>
                <c:pt idx="2">
                  <c:v>0</c:v>
                </c:pt>
                <c:pt idx="3">
                  <c:v>0</c:v>
                </c:pt>
                <c:pt idx="4">
                  <c:v>0</c:v>
                </c:pt>
                <c:pt idx="5">
                  <c:v>0</c:v>
                </c:pt>
                <c:pt idx="6">
                  <c:v>0</c:v>
                </c:pt>
                <c:pt idx="7">
                  <c:v>0</c:v>
                </c:pt>
                <c:pt idx="8">
                  <c:v>0</c:v>
                </c:pt>
                <c:pt idx="9">
                  <c:v>0</c:v>
                </c:pt>
                <c:pt idx="10">
                  <c:v>0</c:v>
                </c:pt>
                <c:pt idx="11">
                  <c:v>0</c:v>
                </c:pt>
                <c:pt idx="12">
                  <c:v>0</c:v>
                </c:pt>
                <c:pt idx="13">
                  <c:v>8.235436233503457E-2</c:v>
                </c:pt>
                <c:pt idx="14">
                  <c:v>8.3079153202669648E-2</c:v>
                </c:pt>
                <c:pt idx="15">
                  <c:v>4.5239029988222143E-2</c:v>
                </c:pt>
                <c:pt idx="16">
                  <c:v>4.2611663093045024E-2</c:v>
                </c:pt>
                <c:pt idx="17">
                  <c:v>5.3104821676422664E-2</c:v>
                </c:pt>
                <c:pt idx="18">
                  <c:v>4.3751131494780042E-2</c:v>
                </c:pt>
                <c:pt idx="19">
                  <c:v>6.4087864341319162E-2</c:v>
                </c:pt>
                <c:pt idx="20">
                  <c:v>8.6597067165530131E-2</c:v>
                </c:pt>
                <c:pt idx="21">
                  <c:v>0</c:v>
                </c:pt>
                <c:pt idx="22">
                  <c:v>0</c:v>
                </c:pt>
                <c:pt idx="23">
                  <c:v>0</c:v>
                </c:pt>
                <c:pt idx="24">
                  <c:v>4.6999452787742452E-2</c:v>
                </c:pt>
                <c:pt idx="25">
                  <c:v>4.9066699094059703E-2</c:v>
                </c:pt>
                <c:pt idx="26">
                  <c:v>5.4934030522283697E-2</c:v>
                </c:pt>
                <c:pt idx="27">
                  <c:v>2.9394192854582387E-2</c:v>
                </c:pt>
                <c:pt idx="28">
                  <c:v>2.9663042179471862E-2</c:v>
                </c:pt>
                <c:pt idx="29">
                  <c:v>5.3714533246696991E-2</c:v>
                </c:pt>
                <c:pt idx="30">
                  <c:v>0.10105510690306012</c:v>
                </c:pt>
                <c:pt idx="31">
                  <c:v>4.2575574739317432E-2</c:v>
                </c:pt>
                <c:pt idx="32">
                  <c:v>4.5585865036645079E-2</c:v>
                </c:pt>
                <c:pt idx="33">
                  <c:v>4.1723687011525706E-2</c:v>
                </c:pt>
                <c:pt idx="34">
                  <c:v>4.4186965909436493E-2</c:v>
                </c:pt>
                <c:pt idx="35">
                  <c:v>0</c:v>
                </c:pt>
                <c:pt idx="36">
                  <c:v>-4.5134944272160662E-3</c:v>
                </c:pt>
                <c:pt idx="37">
                  <c:v>2.7633639350302375E-4</c:v>
                </c:pt>
                <c:pt idx="38">
                  <c:v>1.3757442807897209E-2</c:v>
                </c:pt>
                <c:pt idx="39">
                  <c:v>1.6170479473519277E-2</c:v>
                </c:pt>
                <c:pt idx="40">
                  <c:v>3.0460670636164217E-2</c:v>
                </c:pt>
                <c:pt idx="41">
                  <c:v>9.5706750744025695E-2</c:v>
                </c:pt>
                <c:pt idx="42">
                  <c:v>6.2468691988095598E-2</c:v>
                </c:pt>
                <c:pt idx="43">
                  <c:v>3.1729723195938579E-3</c:v>
                </c:pt>
                <c:pt idx="44">
                  <c:v>1.6590112413876461E-2</c:v>
                </c:pt>
                <c:pt idx="45">
                  <c:v>0.1258556361820265</c:v>
                </c:pt>
                <c:pt idx="46">
                  <c:v>0.13690178912423984</c:v>
                </c:pt>
                <c:pt idx="47">
                  <c:v>8.4140435835351069E-3</c:v>
                </c:pt>
                <c:pt idx="48">
                  <c:v>3.6743341404358358E-2</c:v>
                </c:pt>
                <c:pt idx="49">
                  <c:v>1.6071428571428573E-2</c:v>
                </c:pt>
                <c:pt idx="50">
                  <c:v>0</c:v>
                </c:pt>
                <c:pt idx="51">
                  <c:v>0.17775568010606882</c:v>
                </c:pt>
                <c:pt idx="52">
                  <c:v>3.4321701922497436E-2</c:v>
                </c:pt>
                <c:pt idx="53">
                  <c:v>0.10069268959776437</c:v>
                </c:pt>
                <c:pt idx="54">
                  <c:v>0.10381425216279692</c:v>
                </c:pt>
                <c:pt idx="55">
                  <c:v>2.6798430460688853E-2</c:v>
                </c:pt>
              </c:numCache>
            </c:numRef>
          </c:yVal>
          <c:smooth val="0"/>
          <c:extLst>
            <c:ext xmlns:c16="http://schemas.microsoft.com/office/drawing/2014/chart" uri="{C3380CC4-5D6E-409C-BE32-E72D297353CC}">
              <c16:uniqueId val="{00000002-41AB-0444-B1C3-35AFF70DA1D8}"/>
            </c:ext>
          </c:extLst>
        </c:ser>
        <c:ser>
          <c:idx val="3"/>
          <c:order val="3"/>
          <c:tx>
            <c:v>Set 2</c:v>
          </c:tx>
          <c:spPr>
            <a:ln w="25400" cap="rnd">
              <a:noFill/>
              <a:round/>
            </a:ln>
            <a:effectLst/>
          </c:spPr>
          <c:marker>
            <c:symbol val="square"/>
            <c:size val="5"/>
            <c:spPr>
              <a:solidFill>
                <a:srgbClr val="C00000"/>
              </a:solidFill>
              <a:ln w="9525">
                <a:solidFill>
                  <a:srgbClr val="C00000"/>
                </a:solidFill>
              </a:ln>
              <a:effectLst/>
            </c:spPr>
          </c:marker>
          <c:errBars>
            <c:errDir val="x"/>
            <c:errBarType val="both"/>
            <c:errValType val="cust"/>
            <c:noEndCap val="0"/>
            <c:plus>
              <c:numRef>
                <c:f>'Group Fluoride'!$J$2:$J$18</c:f>
                <c:numCache>
                  <c:formatCode>General</c:formatCode>
                  <c:ptCount val="17"/>
                  <c:pt idx="0">
                    <c:v>1.5835893980893609</c:v>
                  </c:pt>
                  <c:pt idx="1">
                    <c:v>0.26314028585618437</c:v>
                  </c:pt>
                  <c:pt idx="2">
                    <c:v>0.11312416352214488</c:v>
                  </c:pt>
                  <c:pt idx="3">
                    <c:v>0.17836541077089213</c:v>
                  </c:pt>
                  <c:pt idx="4">
                    <c:v>0.16263634000401608</c:v>
                  </c:pt>
                  <c:pt idx="5">
                    <c:v>0.11989706984470333</c:v>
                  </c:pt>
                  <c:pt idx="6">
                    <c:v>0.1386760922945445</c:v>
                  </c:pt>
                  <c:pt idx="7">
                    <c:v>7.2546027727302898E-2</c:v>
                  </c:pt>
                  <c:pt idx="8">
                    <c:v>5.2813297329698992E-2</c:v>
                  </c:pt>
                  <c:pt idx="9">
                    <c:v>5.9940183435658753E-2</c:v>
                  </c:pt>
                  <c:pt idx="10">
                    <c:v>6.3121497518935019E-2</c:v>
                  </c:pt>
                  <c:pt idx="11">
                    <c:v>1.5968912502821682E-2</c:v>
                  </c:pt>
                  <c:pt idx="12">
                    <c:v>1.297408281646026E-2</c:v>
                  </c:pt>
                  <c:pt idx="13">
                    <c:v>0.12955006702661684</c:v>
                  </c:pt>
                  <c:pt idx="14">
                    <c:v>0.11765726963541022</c:v>
                  </c:pt>
                  <c:pt idx="15">
                    <c:v>0.3731758612139342</c:v>
                  </c:pt>
                  <c:pt idx="16">
                    <c:v>0.14526729519241305</c:v>
                  </c:pt>
                </c:numCache>
              </c:numRef>
            </c:plus>
            <c:minus>
              <c:numRef>
                <c:f>'Group Fluoride'!$J$2:$J$18</c:f>
                <c:numCache>
                  <c:formatCode>General</c:formatCode>
                  <c:ptCount val="17"/>
                  <c:pt idx="0">
                    <c:v>1.5835893980893609</c:v>
                  </c:pt>
                  <c:pt idx="1">
                    <c:v>0.26314028585618437</c:v>
                  </c:pt>
                  <c:pt idx="2">
                    <c:v>0.11312416352214488</c:v>
                  </c:pt>
                  <c:pt idx="3">
                    <c:v>0.17836541077089213</c:v>
                  </c:pt>
                  <c:pt idx="4">
                    <c:v>0.16263634000401608</c:v>
                  </c:pt>
                  <c:pt idx="5">
                    <c:v>0.11989706984470333</c:v>
                  </c:pt>
                  <c:pt idx="6">
                    <c:v>0.1386760922945445</c:v>
                  </c:pt>
                  <c:pt idx="7">
                    <c:v>7.2546027727302898E-2</c:v>
                  </c:pt>
                  <c:pt idx="8">
                    <c:v>5.2813297329698992E-2</c:v>
                  </c:pt>
                  <c:pt idx="9">
                    <c:v>5.9940183435658753E-2</c:v>
                  </c:pt>
                  <c:pt idx="10">
                    <c:v>6.3121497518935019E-2</c:v>
                  </c:pt>
                  <c:pt idx="11">
                    <c:v>1.5968912502821682E-2</c:v>
                  </c:pt>
                  <c:pt idx="12">
                    <c:v>1.297408281646026E-2</c:v>
                  </c:pt>
                  <c:pt idx="13">
                    <c:v>0.12955006702661684</c:v>
                  </c:pt>
                  <c:pt idx="14">
                    <c:v>0.11765726963541022</c:v>
                  </c:pt>
                  <c:pt idx="15">
                    <c:v>0.3731758612139342</c:v>
                  </c:pt>
                  <c:pt idx="16">
                    <c:v>0.14526729519241305</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'Group Fluoride'!$B$2:$B$46</c:f>
              <c:numCache>
                <c:formatCode>0.00</c:formatCode>
                <c:ptCount val="45"/>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formatCode="General">
                  <c:v>646.56666666666672</c:v>
                </c:pt>
                <c:pt idx="18" formatCode="General">
                  <c:v>699.03</c:v>
                </c:pt>
                <c:pt idx="19" formatCode="General">
                  <c:v>766.58</c:v>
                </c:pt>
                <c:pt idx="20" formatCode="General">
                  <c:v>815.1</c:v>
                </c:pt>
                <c:pt idx="21" formatCode="General">
                  <c:v>862.92</c:v>
                </c:pt>
                <c:pt idx="22" formatCode="General">
                  <c:v>935.88</c:v>
                </c:pt>
                <c:pt idx="23">
                  <c:v>982.4</c:v>
                </c:pt>
                <c:pt idx="24">
                  <c:v>1006.7833333333333</c:v>
                </c:pt>
                <c:pt idx="25">
                  <c:v>1106.5999999999999</c:v>
                </c:pt>
                <c:pt idx="26">
                  <c:v>1151.2</c:v>
                </c:pt>
                <c:pt idx="27">
                  <c:v>1176</c:v>
                </c:pt>
                <c:pt idx="28">
                  <c:v>1200.1166666666666</c:v>
                </c:pt>
                <c:pt idx="29">
                  <c:v>1223.9833333333333</c:v>
                </c:pt>
                <c:pt idx="30">
                  <c:v>1442.9166666666667</c:v>
                </c:pt>
                <c:pt idx="31">
                  <c:v>1462.7833333333333</c:v>
                </c:pt>
                <c:pt idx="32">
                  <c:v>1487.9666666666667</c:v>
                </c:pt>
                <c:pt idx="33">
                  <c:v>1607.6666666666667</c:v>
                </c:pt>
                <c:pt idx="34">
                  <c:v>1655.8333333333333</c:v>
                </c:pt>
                <c:pt idx="35">
                  <c:v>1727.7666666666667</c:v>
                </c:pt>
                <c:pt idx="36">
                  <c:v>1776.1166666666666</c:v>
                </c:pt>
                <c:pt idx="37">
                  <c:v>1822.25</c:v>
                </c:pt>
                <c:pt idx="38">
                  <c:v>1901.2333333333333</c:v>
                </c:pt>
                <c:pt idx="39">
                  <c:v>1949.1666666666667</c:v>
                </c:pt>
                <c:pt idx="40">
                  <c:v>2066.4500000000003</c:v>
                </c:pt>
                <c:pt idx="41">
                  <c:v>2159.0833333333335</c:v>
                </c:pt>
                <c:pt idx="42">
                  <c:v>2230.4666666666667</c:v>
                </c:pt>
                <c:pt idx="43">
                  <c:v>2278.8666666666668</c:v>
                </c:pt>
                <c:pt idx="44">
                  <c:v>2399.0166666666669</c:v>
                </c:pt>
              </c:numCache>
            </c:numRef>
          </c:xVal>
          <c:yVal>
            <c:numRef>
              <c:f>'Group Fluoride'!$H$2:$H$46</c:f>
              <c:numCache>
                <c:formatCode>0.00</c:formatCode>
                <c:ptCount val="45"/>
                <c:pt idx="0">
                  <c:v>3.1522402820777429</c:v>
                </c:pt>
                <c:pt idx="1">
                  <c:v>4.4187881899354728</c:v>
                </c:pt>
                <c:pt idx="2">
                  <c:v>3.7770160762641054</c:v>
                </c:pt>
                <c:pt idx="3">
                  <c:v>3.7731505249700521</c:v>
                </c:pt>
                <c:pt idx="4">
                  <c:v>3.5700077512356674</c:v>
                </c:pt>
                <c:pt idx="5">
                  <c:v>3.5463259107275769</c:v>
                </c:pt>
                <c:pt idx="6">
                  <c:v>3.4807293866795406</c:v>
                </c:pt>
                <c:pt idx="7">
                  <c:v>3.4119546195160222</c:v>
                </c:pt>
                <c:pt idx="8">
                  <c:v>3.3442057409530705</c:v>
                </c:pt>
                <c:pt idx="9">
                  <c:v>3.3295930070363595</c:v>
                </c:pt>
                <c:pt idx="10">
                  <c:v>3.3913600529018524</c:v>
                </c:pt>
                <c:pt idx="11">
                  <c:v>3.2035894733579244</c:v>
                </c:pt>
                <c:pt idx="12">
                  <c:v>3.2560244016132622</c:v>
                </c:pt>
                <c:pt idx="13">
                  <c:v>3.2881376542834562</c:v>
                </c:pt>
                <c:pt idx="14">
                  <c:v>3.2742040088364646</c:v>
                </c:pt>
                <c:pt idx="15">
                  <c:v>3.3400246943083602</c:v>
                </c:pt>
                <c:pt idx="16">
                  <c:v>2.9225415222846216</c:v>
                </c:pt>
                <c:pt idx="17">
                  <c:v>2.7957341914456926</c:v>
                </c:pt>
                <c:pt idx="18">
                  <c:v>2.8177955176005853</c:v>
                </c:pt>
                <c:pt idx="19">
                  <c:v>2.874614519838691</c:v>
                </c:pt>
                <c:pt idx="20">
                  <c:v>2.5855001064379772</c:v>
                </c:pt>
                <c:pt idx="21">
                  <c:v>2.6130523370738685</c:v>
                </c:pt>
                <c:pt idx="22">
                  <c:v>2.5130817342294396</c:v>
                </c:pt>
                <c:pt idx="23">
                  <c:v>2.524680933812316</c:v>
                </c:pt>
                <c:pt idx="24">
                  <c:v>2.429692857215962</c:v>
                </c:pt>
                <c:pt idx="25">
                  <c:v>2.6506186864810091</c:v>
                </c:pt>
                <c:pt idx="26">
                  <c:v>2.5530659145513419</c:v>
                </c:pt>
                <c:pt idx="27">
                  <c:v>2.4365193774156482</c:v>
                </c:pt>
                <c:pt idx="28">
                  <c:v>2.3050558863470183</c:v>
                </c:pt>
                <c:pt idx="29">
                  <c:v>2.4585850251937411</c:v>
                </c:pt>
                <c:pt idx="30">
                  <c:v>2.6703204958206874</c:v>
                </c:pt>
                <c:pt idx="31">
                  <c:v>3.0484525247763012</c:v>
                </c:pt>
                <c:pt idx="32">
                  <c:v>2.5530843305532049</c:v>
                </c:pt>
                <c:pt idx="33">
                  <c:v>2.4211591925540916</c:v>
                </c:pt>
                <c:pt idx="34">
                  <c:v>2.571129194943055</c:v>
                </c:pt>
                <c:pt idx="35">
                  <c:v>2.6917359499397748</c:v>
                </c:pt>
                <c:pt idx="36">
                  <c:v>2.5997881355932204</c:v>
                </c:pt>
                <c:pt idx="37">
                  <c:v>2.6989709443099272</c:v>
                </c:pt>
                <c:pt idx="38">
                  <c:v>2.0079398708635998</c:v>
                </c:pt>
                <c:pt idx="39">
                  <c:v>2.7197613451455438</c:v>
                </c:pt>
                <c:pt idx="40">
                  <c:v>2.5979429076518215</c:v>
                </c:pt>
                <c:pt idx="41">
                  <c:v>3.0364310251310798</c:v>
                </c:pt>
                <c:pt idx="42">
                  <c:v>3.207063650147159</c:v>
                </c:pt>
                <c:pt idx="43">
                  <c:v>2.8381246841275973</c:v>
                </c:pt>
                <c:pt idx="44">
                  <c:v>3.1572736520854527</c:v>
                </c:pt>
              </c:numCache>
            </c:numRef>
          </c:yVal>
          <c:smooth val="0"/>
          <c:extLst>
            <c:ext xmlns:c16="http://schemas.microsoft.com/office/drawing/2014/chart" uri="{C3380CC4-5D6E-409C-BE32-E72D297353CC}">
              <c16:uniqueId val="{00000003-41AB-0444-B1C3-35AFF70DA1D8}"/>
            </c:ext>
          </c:extLst>
        </c:ser>
        <c:ser>
          <c:idx val="4"/>
          <c:order val="4"/>
          <c:tx>
            <c:v>2 Control</c:v>
          </c:tx>
          <c:spPr>
            <a:ln w="25400" cap="rnd">
              <a:noFill/>
              <a:round/>
            </a:ln>
            <a:effectLst/>
          </c:spPr>
          <c:marker>
            <c:symbol val="square"/>
            <c:size val="5"/>
            <c:spPr>
              <a:noFill/>
              <a:ln w="9525">
                <a:solidFill>
                  <a:srgbClr val="C00000"/>
                </a:solidFill>
              </a:ln>
              <a:effectLst/>
            </c:spPr>
          </c:marker>
          <c:errBars>
            <c:errDir val="x"/>
            <c:errBarType val="both"/>
            <c:errValType val="cust"/>
            <c:noEndCap val="0"/>
            <c:plus>
              <c:numRef>
                <c:f>'Group Fluoride'!$M$2:$M$5</c:f>
                <c:numCache>
                  <c:formatCode>General</c:formatCode>
                  <c:ptCount val="4"/>
                  <c:pt idx="0">
                    <c:v>2.9522356799728287</c:v>
                  </c:pt>
                  <c:pt idx="1">
                    <c:v>1.1834483355756058</c:v>
                  </c:pt>
                  <c:pt idx="2">
                    <c:v>0.9052471128651769</c:v>
                  </c:pt>
                  <c:pt idx="3">
                    <c:v>0.45373777200198639</c:v>
                  </c:pt>
                </c:numCache>
              </c:numRef>
            </c:plus>
            <c:minus>
              <c:numRef>
                <c:f>'Group Fluoride'!$M$2:$M$5</c:f>
                <c:numCache>
                  <c:formatCode>General</c:formatCode>
                  <c:ptCount val="4"/>
                  <c:pt idx="0">
                    <c:v>2.9522356799728287</c:v>
                  </c:pt>
                  <c:pt idx="1">
                    <c:v>1.1834483355756058</c:v>
                  </c:pt>
                  <c:pt idx="2">
                    <c:v>0.9052471128651769</c:v>
                  </c:pt>
                  <c:pt idx="3">
                    <c:v>0.45373777200198639</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'Group Fluoride'!$B$2:$B$46</c:f>
              <c:numCache>
                <c:formatCode>0.00</c:formatCode>
                <c:ptCount val="45"/>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formatCode="General">
                  <c:v>646.56666666666672</c:v>
                </c:pt>
                <c:pt idx="18" formatCode="General">
                  <c:v>699.03</c:v>
                </c:pt>
                <c:pt idx="19" formatCode="General">
                  <c:v>766.58</c:v>
                </c:pt>
                <c:pt idx="20" formatCode="General">
                  <c:v>815.1</c:v>
                </c:pt>
                <c:pt idx="21" formatCode="General">
                  <c:v>862.92</c:v>
                </c:pt>
                <c:pt idx="22" formatCode="General">
                  <c:v>935.88</c:v>
                </c:pt>
                <c:pt idx="23">
                  <c:v>982.4</c:v>
                </c:pt>
                <c:pt idx="24">
                  <c:v>1006.7833333333333</c:v>
                </c:pt>
                <c:pt idx="25">
                  <c:v>1106.5999999999999</c:v>
                </c:pt>
                <c:pt idx="26">
                  <c:v>1151.2</c:v>
                </c:pt>
                <c:pt idx="27">
                  <c:v>1176</c:v>
                </c:pt>
                <c:pt idx="28">
                  <c:v>1200.1166666666666</c:v>
                </c:pt>
                <c:pt idx="29">
                  <c:v>1223.9833333333333</c:v>
                </c:pt>
                <c:pt idx="30">
                  <c:v>1442.9166666666667</c:v>
                </c:pt>
                <c:pt idx="31">
                  <c:v>1462.7833333333333</c:v>
                </c:pt>
                <c:pt idx="32">
                  <c:v>1487.9666666666667</c:v>
                </c:pt>
                <c:pt idx="33">
                  <c:v>1607.6666666666667</c:v>
                </c:pt>
                <c:pt idx="34">
                  <c:v>1655.8333333333333</c:v>
                </c:pt>
                <c:pt idx="35">
                  <c:v>1727.7666666666667</c:v>
                </c:pt>
                <c:pt idx="36">
                  <c:v>1776.1166666666666</c:v>
                </c:pt>
                <c:pt idx="37">
                  <c:v>1822.25</c:v>
                </c:pt>
                <c:pt idx="38">
                  <c:v>1901.2333333333333</c:v>
                </c:pt>
                <c:pt idx="39">
                  <c:v>1949.1666666666667</c:v>
                </c:pt>
                <c:pt idx="40">
                  <c:v>2066.4500000000003</c:v>
                </c:pt>
                <c:pt idx="41">
                  <c:v>2159.0833333333335</c:v>
                </c:pt>
                <c:pt idx="42">
                  <c:v>2230.4666666666667</c:v>
                </c:pt>
                <c:pt idx="43">
                  <c:v>2278.8666666666668</c:v>
                </c:pt>
                <c:pt idx="44">
                  <c:v>2399.0166666666669</c:v>
                </c:pt>
              </c:numCache>
            </c:numRef>
          </c:xVal>
          <c:yVal>
            <c:numRef>
              <c:f>'Group Fluoride'!$I$2:$I$46</c:f>
              <c:numCache>
                <c:formatCode>0.00</c:formatCode>
                <c:ptCount val="45"/>
                <c:pt idx="1">
                  <c:v>0.34207108990426721</c:v>
                </c:pt>
                <c:pt idx="2">
                  <c:v>0.38691752483918707</c:v>
                </c:pt>
                <c:pt idx="3">
                  <c:v>0.36378461631383446</c:v>
                </c:pt>
                <c:pt idx="4">
                  <c:v>0.34605743967626013</c:v>
                </c:pt>
                <c:pt idx="5">
                  <c:v>0.31111580471908762</c:v>
                </c:pt>
                <c:pt idx="6">
                  <c:v>0.27442520065174097</c:v>
                </c:pt>
                <c:pt idx="7">
                  <c:v>0.28142538169090581</c:v>
                </c:pt>
                <c:pt idx="8">
                  <c:v>0.32089191961861085</c:v>
                </c:pt>
                <c:pt idx="9">
                  <c:v>0.22925513778246176</c:v>
                </c:pt>
                <c:pt idx="10">
                  <c:v>0.19584017854375252</c:v>
                </c:pt>
                <c:pt idx="11">
                  <c:v>0.14268001611853318</c:v>
                </c:pt>
                <c:pt idx="12">
                  <c:v>0.23353803125190004</c:v>
                </c:pt>
                <c:pt idx="13">
                  <c:v>0.30017632394965643</c:v>
                </c:pt>
                <c:pt idx="14">
                  <c:v>0.2428406396303277</c:v>
                </c:pt>
                <c:pt idx="15">
                  <c:v>0.31834747281634607</c:v>
                </c:pt>
                <c:pt idx="16">
                  <c:v>0.42776914804636157</c:v>
                </c:pt>
                <c:pt idx="17">
                  <c:v>0.21770475571645162</c:v>
                </c:pt>
                <c:pt idx="18">
                  <c:v>0.19428200129954518</c:v>
                </c:pt>
                <c:pt idx="19">
                  <c:v>0.15359386119620039</c:v>
                </c:pt>
                <c:pt idx="20">
                  <c:v>0.15883587263935772</c:v>
                </c:pt>
                <c:pt idx="21">
                  <c:v>0.18526290180336347</c:v>
                </c:pt>
                <c:pt idx="22">
                  <c:v>0.12982392117507527</c:v>
                </c:pt>
                <c:pt idx="23">
                  <c:v>0.12628573183088213</c:v>
                </c:pt>
                <c:pt idx="24">
                  <c:v>9.3370996960299685E-2</c:v>
                </c:pt>
                <c:pt idx="25">
                  <c:v>0.11105652614449324</c:v>
                </c:pt>
                <c:pt idx="26">
                  <c:v>0.10366656220620495</c:v>
                </c:pt>
                <c:pt idx="27">
                  <c:v>0.11685991852083986</c:v>
                </c:pt>
                <c:pt idx="28">
                  <c:v>0.17104356001253529</c:v>
                </c:pt>
                <c:pt idx="29">
                  <c:v>0.24059286324660401</c:v>
                </c:pt>
                <c:pt idx="30">
                  <c:v>0.2989067978902083</c:v>
                </c:pt>
                <c:pt idx="31">
                  <c:v>0.12744202492854406</c:v>
                </c:pt>
                <c:pt idx="32">
                  <c:v>0.13395986945485311</c:v>
                </c:pt>
                <c:pt idx="33">
                  <c:v>0.23851686208146983</c:v>
                </c:pt>
                <c:pt idx="34">
                  <c:v>0.22271512089074297</c:v>
                </c:pt>
                <c:pt idx="35">
                  <c:v>0.34398777872440434</c:v>
                </c:pt>
                <c:pt idx="36">
                  <c:v>8.6955205811138025E-2</c:v>
                </c:pt>
                <c:pt idx="37">
                  <c:v>7.7481840193704604E-2</c:v>
                </c:pt>
                <c:pt idx="38">
                  <c:v>7.4909200968523007E-2</c:v>
                </c:pt>
                <c:pt idx="39">
                  <c:v>0.14876755258241425</c:v>
                </c:pt>
                <c:pt idx="40">
                  <c:v>0.16458747664677878</c:v>
                </c:pt>
                <c:pt idx="41">
                  <c:v>0.24212017115651177</c:v>
                </c:pt>
                <c:pt idx="42">
                  <c:v>0.15069714897285727</c:v>
                </c:pt>
                <c:pt idx="43">
                  <c:v>0.17486696197639501</c:v>
                </c:pt>
                <c:pt idx="44">
                  <c:v>0.18904229036477255</c:v>
                </c:pt>
              </c:numCache>
            </c:numRef>
          </c:yVal>
          <c:smooth val="0"/>
          <c:extLst>
            <c:ext xmlns:c16="http://schemas.microsoft.com/office/drawing/2014/chart" uri="{C3380CC4-5D6E-409C-BE32-E72D297353CC}">
              <c16:uniqueId val="{00000004-41AB-0444-B1C3-35AFF70DA1D8}"/>
            </c:ext>
          </c:extLst>
        </c:ser>
        <c:ser>
          <c:idx val="5"/>
          <c:order val="5"/>
          <c:tx>
            <c:v>Set 3</c:v>
          </c:tx>
          <c:spPr>
            <a:ln w="25400" cap="rnd">
              <a:noFill/>
              <a:round/>
            </a:ln>
            <a:effectLst/>
          </c:spPr>
          <c:marker>
            <c:symbol val="triangle"/>
            <c:size val="7"/>
            <c:spPr>
              <a:solidFill>
                <a:schemeClr val="accent6"/>
              </a:solidFill>
              <a:ln w="9525">
                <a:solidFill>
                  <a:schemeClr val="accent6"/>
                </a:solidFill>
              </a:ln>
              <a:effectLst/>
            </c:spPr>
          </c:marker>
          <c:errBars>
            <c:errDir val="x"/>
            <c:errBarType val="both"/>
            <c:errValType val="cust"/>
            <c:noEndCap val="0"/>
            <c:plus>
              <c:numRef>
                <c:f>'Group Fluoride'!$M$2:$M$20</c:f>
                <c:numCache>
                  <c:formatCode>General</c:formatCode>
                  <c:ptCount val="19"/>
                  <c:pt idx="0">
                    <c:v>2.9522356799728287</c:v>
                  </c:pt>
                  <c:pt idx="1">
                    <c:v>1.1834483355756058</c:v>
                  </c:pt>
                  <c:pt idx="2">
                    <c:v>0.9052471128651769</c:v>
                  </c:pt>
                  <c:pt idx="3">
                    <c:v>0.45373777200198639</c:v>
                  </c:pt>
                  <c:pt idx="4">
                    <c:v>0.65530222043633202</c:v>
                  </c:pt>
                  <c:pt idx="5">
                    <c:v>0.71834312316552396</c:v>
                  </c:pt>
                  <c:pt idx="6">
                    <c:v>0.41334144652423105</c:v>
                  </c:pt>
                  <c:pt idx="7">
                    <c:v>0.34722893326406834</c:v>
                  </c:pt>
                  <c:pt idx="8">
                    <c:v>0.28820593664897115</c:v>
                  </c:pt>
                  <c:pt idx="9">
                    <c:v>0.21575964983378457</c:v>
                  </c:pt>
                  <c:pt idx="10">
                    <c:v>0.2234203292824109</c:v>
                  </c:pt>
                  <c:pt idx="11">
                    <c:v>0.11420147072151794</c:v>
                  </c:pt>
                  <c:pt idx="12">
                    <c:v>0.52417079929771881</c:v>
                  </c:pt>
                  <c:pt idx="13">
                    <c:v>0.96563706342300648</c:v>
                  </c:pt>
                  <c:pt idx="14">
                    <c:v>0.11717020192366764</c:v>
                  </c:pt>
                  <c:pt idx="15">
                    <c:v>6.9976648371079031E-2</c:v>
                  </c:pt>
                  <c:pt idx="16">
                    <c:v>0.28116767224598166</c:v>
                  </c:pt>
                  <c:pt idx="17">
                    <c:v>7.0961364900176294E-2</c:v>
                  </c:pt>
                  <c:pt idx="18">
                    <c:v>1.6449265179016574E-2</c:v>
                  </c:pt>
                </c:numCache>
              </c:numRef>
            </c:plus>
            <c:minus>
              <c:numRef>
                <c:f>'Group Fluoride'!$M$2:$M$20</c:f>
                <c:numCache>
                  <c:formatCode>General</c:formatCode>
                  <c:ptCount val="19"/>
                  <c:pt idx="0">
                    <c:v>2.9522356799728287</c:v>
                  </c:pt>
                  <c:pt idx="1">
                    <c:v>1.1834483355756058</c:v>
                  </c:pt>
                  <c:pt idx="2">
                    <c:v>0.9052471128651769</c:v>
                  </c:pt>
                  <c:pt idx="3">
                    <c:v>0.45373777200198639</c:v>
                  </c:pt>
                  <c:pt idx="4">
                    <c:v>0.65530222043633202</c:v>
                  </c:pt>
                  <c:pt idx="5">
                    <c:v>0.71834312316552396</c:v>
                  </c:pt>
                  <c:pt idx="6">
                    <c:v>0.41334144652423105</c:v>
                  </c:pt>
                  <c:pt idx="7">
                    <c:v>0.34722893326406834</c:v>
                  </c:pt>
                  <c:pt idx="8">
                    <c:v>0.28820593664897115</c:v>
                  </c:pt>
                  <c:pt idx="9">
                    <c:v>0.21575964983378457</c:v>
                  </c:pt>
                  <c:pt idx="10">
                    <c:v>0.2234203292824109</c:v>
                  </c:pt>
                  <c:pt idx="11">
                    <c:v>0.11420147072151794</c:v>
                  </c:pt>
                  <c:pt idx="12">
                    <c:v>0.52417079929771881</c:v>
                  </c:pt>
                  <c:pt idx="13">
                    <c:v>0.96563706342300648</c:v>
                  </c:pt>
                  <c:pt idx="14">
                    <c:v>0.11717020192366764</c:v>
                  </c:pt>
                  <c:pt idx="15">
                    <c:v>6.9976648371079031E-2</c:v>
                  </c:pt>
                  <c:pt idx="16">
                    <c:v>0.28116767224598166</c:v>
                  </c:pt>
                  <c:pt idx="17">
                    <c:v>7.0961364900176294E-2</c:v>
                  </c:pt>
                  <c:pt idx="18">
                    <c:v>1.6449265179016574E-2</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'Group Fluoride'!$C$2:$C$45</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'Group Fluoride'!$K$2:$K$45</c:f>
              <c:numCache>
                <c:formatCode>0.00</c:formatCode>
                <c:ptCount val="44"/>
                <c:pt idx="0">
                  <c:v>1.8517561460043368</c:v>
                </c:pt>
                <c:pt idx="1">
                  <c:v>3.2786121075778767</c:v>
                </c:pt>
                <c:pt idx="2">
                  <c:v>2.768944691027746</c:v>
                </c:pt>
                <c:pt idx="3">
                  <c:v>2.797128290914884</c:v>
                </c:pt>
                <c:pt idx="4">
                  <c:v>2.7895355673133451</c:v>
                </c:pt>
                <c:pt idx="5">
                  <c:v>2.496776921728189</c:v>
                </c:pt>
                <c:pt idx="6">
                  <c:v>2.1507472384665367</c:v>
                </c:pt>
                <c:pt idx="7">
                  <c:v>1.688030289207189</c:v>
                </c:pt>
                <c:pt idx="8">
                  <c:v>1.1761396466259162</c:v>
                </c:pt>
                <c:pt idx="9">
                  <c:v>0.96592464191223437</c:v>
                </c:pt>
                <c:pt idx="10">
                  <c:v>1.7399213976480705</c:v>
                </c:pt>
                <c:pt idx="11">
                  <c:v>0.98383432098007306</c:v>
                </c:pt>
                <c:pt idx="12">
                  <c:v>1.3954987871902729</c:v>
                </c:pt>
                <c:pt idx="13">
                  <c:v>1.4082575994985898</c:v>
                </c:pt>
                <c:pt idx="14">
                  <c:v>1.5319649012848635</c:v>
                </c:pt>
                <c:pt idx="15">
                  <c:v>1.1413350047007209</c:v>
                </c:pt>
                <c:pt idx="16">
                  <c:v>1.5349029083301411</c:v>
                </c:pt>
                <c:pt idx="17">
                  <c:v>1.4300763178831364</c:v>
                </c:pt>
                <c:pt idx="18">
                  <c:v>1.2713262810501811</c:v>
                </c:pt>
                <c:pt idx="19">
                  <c:v>1.1134110963374835</c:v>
                </c:pt>
                <c:pt idx="20">
                  <c:v>1.1286715822555298</c:v>
                </c:pt>
                <c:pt idx="21">
                  <c:v>1.8611005023649341</c:v>
                </c:pt>
                <c:pt idx="22">
                  <c:v>1.7622433091453922</c:v>
                </c:pt>
                <c:pt idx="23">
                  <c:v>1.1406628329297819</c:v>
                </c:pt>
                <c:pt idx="24">
                  <c:v>1.1465647699757868</c:v>
                </c:pt>
                <c:pt idx="25">
                  <c:v>1.0348062953995156</c:v>
                </c:pt>
                <c:pt idx="26">
                  <c:v>2.1161031760380888</c:v>
                </c:pt>
                <c:pt idx="27">
                  <c:v>1.8785783161574159</c:v>
                </c:pt>
                <c:pt idx="28">
                  <c:v>1.8720996805882</c:v>
                </c:pt>
                <c:pt idx="29">
                  <c:v>1.9571454053571959</c:v>
                </c:pt>
                <c:pt idx="30">
                  <c:v>2.1613104616939678</c:v>
                </c:pt>
                <c:pt idx="31">
                  <c:v>2.1393692777212614</c:v>
                </c:pt>
                <c:pt idx="32">
                  <c:v>2.3573608487138498</c:v>
                </c:pt>
                <c:pt idx="33">
                  <c:v>2.1449247105405242</c:v>
                </c:pt>
                <c:pt idx="34">
                  <c:v>1.5736080777387396</c:v>
                </c:pt>
                <c:pt idx="35">
                  <c:v>1.2710885322698067</c:v>
                </c:pt>
                <c:pt idx="36">
                  <c:v>1.5830247206659704</c:v>
                </c:pt>
                <c:pt idx="37">
                  <c:v>1.561984126984127</c:v>
                </c:pt>
                <c:pt idx="38">
                  <c:v>2.1293650793650793</c:v>
                </c:pt>
                <c:pt idx="39">
                  <c:v>2.633938215597321</c:v>
                </c:pt>
                <c:pt idx="40">
                  <c:v>3.0959324753880817</c:v>
                </c:pt>
                <c:pt idx="41">
                  <c:v>4.137888467117242</c:v>
                </c:pt>
                <c:pt idx="42">
                  <c:v>1.5864886731391585</c:v>
                </c:pt>
                <c:pt idx="43">
                  <c:v>2.5499190938511322</c:v>
                </c:pt>
              </c:numCache>
            </c:numRef>
          </c:yVal>
          <c:smooth val="0"/>
          <c:extLst>
            <c:ext xmlns:c16="http://schemas.microsoft.com/office/drawing/2014/chart" uri="{C3380CC4-5D6E-409C-BE32-E72D297353CC}">
              <c16:uniqueId val="{00000005-41AB-0444-B1C3-35AFF70DA1D8}"/>
            </c:ext>
          </c:extLst>
        </c:ser>
        <c:ser>
          <c:idx val="6"/>
          <c:order val="6"/>
          <c:tx>
            <c:v>3 Control</c:v>
          </c:tx>
          <c:spPr>
            <a:ln w="25400" cap="rnd">
              <a:noFill/>
              <a:round/>
            </a:ln>
            <a:effectLst/>
          </c:spPr>
          <c:marker>
            <c:symbol val="triangle"/>
            <c:size val="7"/>
            <c:spPr>
              <a:noFill/>
              <a:ln w="9525">
                <a:solidFill>
                  <a:schemeClr val="accent6">
                    <a:lumMod val="50000"/>
                  </a:schemeClr>
                </a:solidFill>
              </a:ln>
              <a:effectLst/>
            </c:spPr>
          </c:marker>
          <c:xVal>
            <c:numRef>
              <c:f>'Group Fluoride'!$C$2:$C$45</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'Group Fluoride'!$L$2:$L$45</c:f>
              <c:numCache>
                <c:formatCode>0.00</c:formatCode>
                <c:ptCount val="44"/>
                <c:pt idx="0">
                  <c:v>1.4644008025779778</c:v>
                </c:pt>
                <c:pt idx="1">
                  <c:v>0.27026205387000668</c:v>
                </c:pt>
                <c:pt idx="2">
                  <c:v>0.19334833100261439</c:v>
                </c:pt>
                <c:pt idx="3">
                  <c:v>0.20283187955550247</c:v>
                </c:pt>
                <c:pt idx="4">
                  <c:v>0.27228565240261143</c:v>
                </c:pt>
                <c:pt idx="5">
                  <c:v>0.263467310250936</c:v>
                </c:pt>
                <c:pt idx="6">
                  <c:v>0.21442495126705652</c:v>
                </c:pt>
                <c:pt idx="7">
                  <c:v>0</c:v>
                </c:pt>
                <c:pt idx="8">
                  <c:v>0</c:v>
                </c:pt>
                <c:pt idx="9">
                  <c:v>0.20360064471003259</c:v>
                </c:pt>
                <c:pt idx="10">
                  <c:v>9.6717737726058524E-3</c:v>
                </c:pt>
                <c:pt idx="11">
                  <c:v>0</c:v>
                </c:pt>
                <c:pt idx="12">
                  <c:v>4.9894071049157177E-2</c:v>
                </c:pt>
                <c:pt idx="13">
                  <c:v>5.3431526167345644E-2</c:v>
                </c:pt>
                <c:pt idx="14">
                  <c:v>0.12268881228455031</c:v>
                </c:pt>
                <c:pt idx="15">
                  <c:v>0.12770291444688187</c:v>
                </c:pt>
                <c:pt idx="16">
                  <c:v>0.34446179685888562</c:v>
                </c:pt>
                <c:pt idx="17">
                  <c:v>0.31529009635501082</c:v>
                </c:pt>
                <c:pt idx="18">
                  <c:v>0.23882488139788433</c:v>
                </c:pt>
                <c:pt idx="19">
                  <c:v>7.5546959990330058E-4</c:v>
                </c:pt>
                <c:pt idx="20">
                  <c:v>0.1328115556630001</c:v>
                </c:pt>
                <c:pt idx="21">
                  <c:v>0.58991157202032962</c:v>
                </c:pt>
                <c:pt idx="22">
                  <c:v>0.58976468168865126</c:v>
                </c:pt>
                <c:pt idx="23">
                  <c:v>0</c:v>
                </c:pt>
                <c:pt idx="24">
                  <c:v>0</c:v>
                </c:pt>
                <c:pt idx="25">
                  <c:v>0</c:v>
                </c:pt>
                <c:pt idx="26">
                  <c:v>6.8402338335442653E-2</c:v>
                </c:pt>
                <c:pt idx="27">
                  <c:v>6.8402338335442653E-2</c:v>
                </c:pt>
                <c:pt idx="28">
                  <c:v>6.8402338335442653E-2</c:v>
                </c:pt>
                <c:pt idx="29">
                  <c:v>9.8998127062460986E-2</c:v>
                </c:pt>
                <c:pt idx="30">
                  <c:v>9.8998127062460986E-2</c:v>
                </c:pt>
                <c:pt idx="31">
                  <c:v>2.0781863101293416E-2</c:v>
                </c:pt>
                <c:pt idx="32">
                  <c:v>2.0781863101293416E-2</c:v>
                </c:pt>
                <c:pt idx="33">
                  <c:v>0.15747795308656787</c:v>
                </c:pt>
                <c:pt idx="34">
                  <c:v>0</c:v>
                </c:pt>
                <c:pt idx="35">
                  <c:v>0.25100496945525913</c:v>
                </c:pt>
                <c:pt idx="36">
                  <c:v>0</c:v>
                </c:pt>
                <c:pt idx="37">
                  <c:v>0</c:v>
                </c:pt>
                <c:pt idx="38">
                  <c:v>0</c:v>
                </c:pt>
                <c:pt idx="39">
                  <c:v>0</c:v>
                </c:pt>
                <c:pt idx="40">
                  <c:v>0</c:v>
                </c:pt>
                <c:pt idx="41">
                  <c:v>2.2061228898558776</c:v>
                </c:pt>
                <c:pt idx="42">
                  <c:v>0</c:v>
                </c:pt>
                <c:pt idx="43">
                  <c:v>0</c:v>
                </c:pt>
              </c:numCache>
            </c:numRef>
          </c:yVal>
          <c:smooth val="0"/>
          <c:extLst>
            <c:ext xmlns:c16="http://schemas.microsoft.com/office/drawing/2014/chart" uri="{C3380CC4-5D6E-409C-BE32-E72D297353CC}">
              <c16:uniqueId val="{00000006-41AB-0444-B1C3-35AFF70DA1D8}"/>
            </c:ext>
          </c:extLst>
        </c:ser>
        <c:ser>
          <c:idx val="7"/>
          <c:order val="7"/>
          <c:tx>
            <c:v>2 0</c:v>
          </c:tx>
          <c:spPr>
            <a:ln w="25400" cap="rnd">
              <a:noFill/>
              <a:round/>
            </a:ln>
            <a:effectLst/>
          </c:spPr>
          <c:marker>
            <c:symbol val="square"/>
            <c:size val="5"/>
            <c:spPr>
              <a:pattFill prst="wdUpDiag">
                <a:fgClr>
                  <a:srgbClr val="C00000"/>
                </a:fgClr>
                <a:bgClr>
                  <a:schemeClr val="bg1"/>
                </a:bgClr>
              </a:pattFill>
              <a:ln w="9525">
                <a:solidFill>
                  <a:schemeClr val="accent2">
                    <a:lumMod val="60000"/>
                  </a:schemeClr>
                </a:solidFill>
              </a:ln>
              <a:effectLst/>
            </c:spPr>
          </c:marker>
          <c:xVal>
            <c:numRef>
              <c:f>'Group Fluoride'!$N$2:$N$28</c:f>
              <c:numCache>
                <c:formatCode>0.00</c:formatCode>
                <c:ptCount val="27"/>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numCache>
            </c:numRef>
          </c:xVal>
          <c:yVal>
            <c:numRef>
              <c:f>'Group Fluoride'!$O$2:$O$28</c:f>
              <c:numCache>
                <c:formatCode>0.00</c:formatCode>
                <c:ptCount val="27"/>
                <c:pt idx="0">
                  <c:v>3.4565518460677134</c:v>
                </c:pt>
                <c:pt idx="1">
                  <c:v>4.828770957951499</c:v>
                </c:pt>
                <c:pt idx="2">
                  <c:v>3.5920464160522183</c:v>
                </c:pt>
                <c:pt idx="3">
                  <c:v>3.6924029977033728</c:v>
                </c:pt>
                <c:pt idx="4">
                  <c:v>2.9098680924821525</c:v>
                </c:pt>
                <c:pt idx="5">
                  <c:v>2.9178589265254562</c:v>
                </c:pt>
                <c:pt idx="6">
                  <c:v>2.8596852300242133</c:v>
                </c:pt>
                <c:pt idx="7">
                  <c:v>3.0462469733656174</c:v>
                </c:pt>
                <c:pt idx="8">
                  <c:v>3.1256053268765136</c:v>
                </c:pt>
                <c:pt idx="9">
                  <c:v>3.1033568372205145</c:v>
                </c:pt>
                <c:pt idx="10">
                  <c:v>2.9270475501717597</c:v>
                </c:pt>
                <c:pt idx="11">
                  <c:v>3.1012173808232388</c:v>
                </c:pt>
                <c:pt idx="12">
                  <c:v>3.0620745012932185</c:v>
                </c:pt>
                <c:pt idx="13">
                  <c:v>3.1197490858281056</c:v>
                </c:pt>
                <c:pt idx="14">
                  <c:v>3.2353437000435981</c:v>
                </c:pt>
                <c:pt idx="15">
                  <c:v>3.5364045923557619</c:v>
                </c:pt>
                <c:pt idx="16">
                  <c:v>3.0949967004619356</c:v>
                </c:pt>
                <c:pt idx="17">
                  <c:v>3.0745418288861455</c:v>
                </c:pt>
                <c:pt idx="18">
                  <c:v>3.0916342227708671</c:v>
                </c:pt>
                <c:pt idx="19">
                  <c:v>3.1912132434400022</c:v>
                </c:pt>
                <c:pt idx="20">
                  <c:v>3.2861904761904763</c:v>
                </c:pt>
                <c:pt idx="21">
                  <c:v>3.1673650793650796</c:v>
                </c:pt>
                <c:pt idx="22">
                  <c:v>3.1867111069962659</c:v>
                </c:pt>
                <c:pt idx="23">
                  <c:v>3.7757306422244854</c:v>
                </c:pt>
                <c:pt idx="24">
                  <c:v>3.6395395488072095</c:v>
                </c:pt>
                <c:pt idx="25">
                  <c:v>3.8806148867313914</c:v>
                </c:pt>
                <c:pt idx="26">
                  <c:v>3.8356634304207122</c:v>
                </c:pt>
              </c:numCache>
            </c:numRef>
          </c:yVal>
          <c:smooth val="0"/>
          <c:extLst>
            <c:ext xmlns:c16="http://schemas.microsoft.com/office/drawing/2014/chart" uri="{C3380CC4-5D6E-409C-BE32-E72D297353CC}">
              <c16:uniqueId val="{00000008-41AB-0444-B1C3-35AFF70DA1D8}"/>
            </c:ext>
          </c:extLst>
        </c:ser>
        <c:ser>
          <c:idx val="8"/>
          <c:order val="8"/>
          <c:tx>
            <c:v>3 0</c:v>
          </c:tx>
          <c:spPr>
            <a:ln w="25400" cap="rnd">
              <a:noFill/>
              <a:round/>
            </a:ln>
            <a:effectLst/>
          </c:spPr>
          <c:marker>
            <c:symbol val="triangle"/>
            <c:size val="7"/>
            <c:spPr>
              <a:pattFill prst="solidDmnd">
                <a:fgClr>
                  <a:schemeClr val="accent6">
                    <a:lumMod val="50000"/>
                  </a:schemeClr>
                </a:fgClr>
                <a:bgClr>
                  <a:schemeClr val="bg1"/>
                </a:bgClr>
              </a:pattFill>
              <a:ln w="9525">
                <a:solidFill>
                  <a:schemeClr val="accent6">
                    <a:lumMod val="50000"/>
                  </a:schemeClr>
                </a:solidFill>
              </a:ln>
              <a:effectLst/>
            </c:spPr>
          </c:marker>
          <c:xVal>
            <c:numRef>
              <c:f>'Group Fluoride'!$N$2:$N$28</c:f>
              <c:numCache>
                <c:formatCode>0.00</c:formatCode>
                <c:ptCount val="27"/>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numCache>
            </c:numRef>
          </c:xVal>
          <c:yVal>
            <c:numRef>
              <c:f>'Group Fluoride'!$P$2:$P$28</c:f>
              <c:numCache>
                <c:formatCode>0.00</c:formatCode>
                <c:ptCount val="27"/>
                <c:pt idx="0">
                  <c:v>3.411762972566815</c:v>
                </c:pt>
                <c:pt idx="1">
                  <c:v>4.2262132775436836</c:v>
                </c:pt>
                <c:pt idx="2">
                  <c:v>3.1998670373504172</c:v>
                </c:pt>
                <c:pt idx="3">
                  <c:v>3.1740299770337241</c:v>
                </c:pt>
                <c:pt idx="4">
                  <c:v>2.3337935897059254</c:v>
                </c:pt>
                <c:pt idx="5">
                  <c:v>2.0284085901465962</c:v>
                </c:pt>
                <c:pt idx="6">
                  <c:v>1.4207021791767558</c:v>
                </c:pt>
                <c:pt idx="7">
                  <c:v>1.7528753026634387</c:v>
                </c:pt>
                <c:pt idx="8">
                  <c:v>1.4131355932203391</c:v>
                </c:pt>
                <c:pt idx="9">
                  <c:v>2.1176098354727904</c:v>
                </c:pt>
                <c:pt idx="10">
                  <c:v>1.5559271982161151</c:v>
                </c:pt>
                <c:pt idx="11">
                  <c:v>2.0446875188332432</c:v>
                </c:pt>
                <c:pt idx="12">
                  <c:v>1.8264113922169036</c:v>
                </c:pt>
                <c:pt idx="13">
                  <c:v>2.2368225466004694</c:v>
                </c:pt>
                <c:pt idx="14">
                  <c:v>1.8229908443540181</c:v>
                </c:pt>
                <c:pt idx="15">
                  <c:v>1.7530882139223949</c:v>
                </c:pt>
                <c:pt idx="16">
                  <c:v>1.9278301037854697</c:v>
                </c:pt>
                <c:pt idx="17">
                  <c:v>1.5992466685658215</c:v>
                </c:pt>
                <c:pt idx="18">
                  <c:v>1.5212230557401956</c:v>
                </c:pt>
                <c:pt idx="19">
                  <c:v>1.6190476190476191</c:v>
                </c:pt>
                <c:pt idx="20">
                  <c:v>1.7085714285714286</c:v>
                </c:pt>
                <c:pt idx="21">
                  <c:v>1.5503174603174605</c:v>
                </c:pt>
                <c:pt idx="22">
                  <c:v>2.3676820047526466</c:v>
                </c:pt>
                <c:pt idx="23">
                  <c:v>2.4594944912508101</c:v>
                </c:pt>
                <c:pt idx="24">
                  <c:v>2.1687806684566242</c:v>
                </c:pt>
                <c:pt idx="25">
                  <c:v>2.0621359223300972</c:v>
                </c:pt>
                <c:pt idx="26">
                  <c:v>2.1169902912621361</c:v>
                </c:pt>
              </c:numCache>
            </c:numRef>
          </c:yVal>
          <c:smooth val="0"/>
          <c:extLst>
            <c:ext xmlns:c16="http://schemas.microsoft.com/office/drawing/2014/chart" uri="{C3380CC4-5D6E-409C-BE32-E72D297353CC}">
              <c16:uniqueId val="{00000009-41AB-0444-B1C3-35AFF70DA1D8}"/>
            </c:ext>
          </c:extLst>
        </c:ser>
        <c:ser>
          <c:idx val="9"/>
          <c:order val="9"/>
          <c:tx>
            <c:v>Set 1 DOM Marker 20ppm</c:v>
          </c:tx>
          <c:spPr>
            <a:ln w="25400" cap="rnd">
              <a:solidFill>
                <a:srgbClr val="00B050"/>
              </a:solidFill>
              <a:round/>
            </a:ln>
            <a:effectLst/>
          </c:spPr>
          <c:marker>
            <c:symbol val="circle"/>
            <c:size val="3"/>
            <c:spPr>
              <a:solidFill>
                <a:srgbClr val="0070C0"/>
              </a:solidFill>
              <a:ln w="9525">
                <a:solidFill>
                  <a:schemeClr val="accent4">
                    <a:lumMod val="60000"/>
                  </a:schemeClr>
                </a:solidFill>
              </a:ln>
              <a:effectLst/>
            </c:spPr>
          </c:marker>
          <c:dPt>
            <c:idx val="0"/>
            <c:marker>
              <c:symbol val="circle"/>
              <c:size val="3"/>
              <c:spPr>
                <a:solidFill>
                  <a:srgbClr val="0070C0"/>
                </a:solidFill>
                <a:ln w="9525">
                  <a:solidFill>
                    <a:srgbClr val="00B050"/>
                  </a:solidFill>
                </a:ln>
                <a:effectLst/>
              </c:spPr>
            </c:marker>
            <c:bubble3D val="0"/>
            <c:extLst>
              <c:ext xmlns:c16="http://schemas.microsoft.com/office/drawing/2014/chart" uri="{C3380CC4-5D6E-409C-BE32-E72D297353CC}">
                <c16:uniqueId val="{00000003-4F71-1C40-9AA1-BFCF53B25343}"/>
              </c:ext>
            </c:extLst>
          </c:dPt>
          <c:dPt>
            <c:idx val="1"/>
            <c:marker>
              <c:symbol val="circle"/>
              <c:size val="3"/>
              <c:spPr>
                <a:solidFill>
                  <a:srgbClr val="0070C0"/>
                </a:solidFill>
                <a:ln w="9525">
                  <a:solidFill>
                    <a:srgbClr val="00B050"/>
                  </a:solidFill>
                </a:ln>
                <a:effectLst/>
              </c:spPr>
            </c:marker>
            <c:bubble3D val="0"/>
            <c:extLst>
              <c:ext xmlns:c16="http://schemas.microsoft.com/office/drawing/2014/chart" uri="{C3380CC4-5D6E-409C-BE32-E72D297353CC}">
                <c16:uniqueId val="{00000002-4F71-1C40-9AA1-BFCF53B25343}"/>
              </c:ext>
            </c:extLst>
          </c:dPt>
          <c:xVal>
            <c:numRef>
              <c:f>'Group Fluoride'!$R$2:$R$3</c:f>
              <c:numCache>
                <c:formatCode>General</c:formatCode>
                <c:ptCount val="2"/>
                <c:pt idx="0">
                  <c:v>1910</c:v>
                </c:pt>
                <c:pt idx="1">
                  <c:v>1910</c:v>
                </c:pt>
              </c:numCache>
            </c:numRef>
          </c:xVal>
          <c:yVal>
            <c:numRef>
              <c:f>'Group Fluoride'!$S$2:$S$3</c:f>
              <c:numCache>
                <c:formatCode>General</c:formatCode>
                <c:ptCount val="2"/>
                <c:pt idx="0">
                  <c:v>1.1000000000000001</c:v>
                </c:pt>
                <c:pt idx="1">
                  <c:v>1.5</c:v>
                </c:pt>
              </c:numCache>
            </c:numRef>
          </c:yVal>
          <c:smooth val="0"/>
          <c:extLst>
            <c:ext xmlns:c16="http://schemas.microsoft.com/office/drawing/2014/chart" uri="{C3380CC4-5D6E-409C-BE32-E72D297353CC}">
              <c16:uniqueId val="{00000001-4F71-1C40-9AA1-BFCF53B25343}"/>
            </c:ext>
          </c:extLst>
        </c:ser>
        <c:ser>
          <c:idx val="10"/>
          <c:order val="10"/>
          <c:tx>
            <c:v>Set 2 DOM marker 20ppm</c:v>
          </c:tx>
          <c:spPr>
            <a:ln w="25400" cap="rnd">
              <a:solidFill>
                <a:srgbClr val="00B050"/>
              </a:solidFill>
              <a:round/>
            </a:ln>
            <a:effectLst/>
          </c:spPr>
          <c:marker>
            <c:symbol val="square"/>
            <c:size val="3"/>
            <c:spPr>
              <a:solidFill>
                <a:srgbClr val="C00000"/>
              </a:solidFill>
              <a:ln w="9525">
                <a:solidFill>
                  <a:srgbClr val="00B050"/>
                </a:solidFill>
              </a:ln>
              <a:effectLst/>
            </c:spPr>
          </c:marker>
          <c:xVal>
            <c:numRef>
              <c:f>'Group Fluoride'!$T$2:$T$3</c:f>
              <c:numCache>
                <c:formatCode>General</c:formatCode>
                <c:ptCount val="2"/>
                <c:pt idx="0">
                  <c:v>1450</c:v>
                </c:pt>
                <c:pt idx="1">
                  <c:v>1450</c:v>
                </c:pt>
              </c:numCache>
            </c:numRef>
          </c:xVal>
          <c:yVal>
            <c:numRef>
              <c:f>'Group Fluoride'!$U$2:$U$3</c:f>
              <c:numCache>
                <c:formatCode>General</c:formatCode>
                <c:ptCount val="2"/>
                <c:pt idx="0">
                  <c:v>2.5</c:v>
                </c:pt>
                <c:pt idx="1">
                  <c:v>2.9</c:v>
                </c:pt>
              </c:numCache>
            </c:numRef>
          </c:yVal>
          <c:smooth val="0"/>
          <c:extLst>
            <c:ext xmlns:c16="http://schemas.microsoft.com/office/drawing/2014/chart" uri="{C3380CC4-5D6E-409C-BE32-E72D297353CC}">
              <c16:uniqueId val="{00000004-4F71-1C40-9AA1-BFCF53B25343}"/>
            </c:ext>
          </c:extLst>
        </c:ser>
        <c:ser>
          <c:idx val="11"/>
          <c:order val="11"/>
          <c:tx>
            <c:v>Set 1 DOM Marker 5ppm</c:v>
          </c:tx>
          <c:spPr>
            <a:ln w="25400" cap="rnd">
              <a:solidFill>
                <a:srgbClr val="FF40FF"/>
              </a:solidFill>
              <a:round/>
            </a:ln>
            <a:effectLst/>
          </c:spPr>
          <c:marker>
            <c:symbol val="circle"/>
            <c:size val="3"/>
            <c:spPr>
              <a:solidFill>
                <a:schemeClr val="accent1"/>
              </a:solidFill>
              <a:ln w="9525">
                <a:solidFill>
                  <a:schemeClr val="accent6">
                    <a:lumMod val="60000"/>
                  </a:schemeClr>
                </a:solidFill>
              </a:ln>
              <a:effectLst/>
            </c:spPr>
          </c:marker>
          <c:xVal>
            <c:numRef>
              <c:f>'Group Fluoride'!$V$2:$V$3</c:f>
              <c:numCache>
                <c:formatCode>General</c:formatCode>
                <c:ptCount val="2"/>
                <c:pt idx="0">
                  <c:v>950</c:v>
                </c:pt>
                <c:pt idx="1">
                  <c:v>950</c:v>
                </c:pt>
              </c:numCache>
            </c:numRef>
          </c:xVal>
          <c:yVal>
            <c:numRef>
              <c:f>'Group Fluoride'!$W$2:$W$3</c:f>
              <c:numCache>
                <c:formatCode>General</c:formatCode>
                <c:ptCount val="2"/>
                <c:pt idx="0">
                  <c:v>1.1000000000000001</c:v>
                </c:pt>
                <c:pt idx="1">
                  <c:v>1.5</c:v>
                </c:pt>
              </c:numCache>
            </c:numRef>
          </c:yVal>
          <c:smooth val="0"/>
          <c:extLst>
            <c:ext xmlns:c16="http://schemas.microsoft.com/office/drawing/2014/chart" uri="{C3380CC4-5D6E-409C-BE32-E72D297353CC}">
              <c16:uniqueId val="{00000005-4F71-1C40-9AA1-BFCF53B25343}"/>
            </c:ext>
          </c:extLst>
        </c:ser>
        <c:ser>
          <c:idx val="12"/>
          <c:order val="12"/>
          <c:tx>
            <c:v>Set 2 DOM Marker 5ppm</c:v>
          </c:tx>
          <c:spPr>
            <a:ln w="25400" cap="rnd">
              <a:solidFill>
                <a:srgbClr val="FF40FF"/>
              </a:solidFill>
              <a:round/>
            </a:ln>
            <a:effectLst/>
          </c:spPr>
          <c:marker>
            <c:symbol val="square"/>
            <c:size val="3"/>
            <c:spPr>
              <a:solidFill>
                <a:srgbClr val="C00000"/>
              </a:solidFill>
              <a:ln w="9525">
                <a:solidFill>
                  <a:srgbClr val="FF40FF"/>
                </a:solidFill>
              </a:ln>
              <a:effectLst/>
            </c:spPr>
          </c:marker>
          <c:xVal>
            <c:numRef>
              <c:f>'Group Fluoride'!$X$2:$X$3</c:f>
              <c:numCache>
                <c:formatCode>General</c:formatCode>
                <c:ptCount val="2"/>
                <c:pt idx="0">
                  <c:v>550</c:v>
                </c:pt>
                <c:pt idx="1">
                  <c:v>550</c:v>
                </c:pt>
              </c:numCache>
            </c:numRef>
          </c:xVal>
          <c:yVal>
            <c:numRef>
              <c:f>'Group Fluoride'!$Y$2:$Y$3</c:f>
              <c:numCache>
                <c:formatCode>General</c:formatCode>
                <c:ptCount val="2"/>
                <c:pt idx="0">
                  <c:v>3.1</c:v>
                </c:pt>
                <c:pt idx="1">
                  <c:v>3.5</c:v>
                </c:pt>
              </c:numCache>
            </c:numRef>
          </c:yVal>
          <c:smooth val="0"/>
          <c:extLst>
            <c:ext xmlns:c16="http://schemas.microsoft.com/office/drawing/2014/chart" uri="{C3380CC4-5D6E-409C-BE32-E72D297353CC}">
              <c16:uniqueId val="{00000006-4F71-1C40-9AA1-BFCF53B25343}"/>
            </c:ext>
          </c:extLst>
        </c:ser>
        <c:ser>
          <c:idx val="13"/>
          <c:order val="13"/>
          <c:tx>
            <c:v>Set 3 DOM Marker 5ppm</c:v>
          </c:tx>
          <c:spPr>
            <a:ln w="25400" cap="rnd">
              <a:solidFill>
                <a:srgbClr val="FF40FF"/>
              </a:solidFill>
              <a:round/>
            </a:ln>
            <a:effectLst/>
          </c:spPr>
          <c:marker>
            <c:symbol val="triangle"/>
            <c:size val="5"/>
            <c:spPr>
              <a:solidFill>
                <a:schemeClr val="accent6"/>
              </a:solidFill>
              <a:ln w="9525">
                <a:solidFill>
                  <a:srgbClr val="FF40FF"/>
                </a:solidFill>
              </a:ln>
              <a:effectLst/>
            </c:spPr>
          </c:marker>
          <c:xVal>
            <c:numRef>
              <c:f>'Group Fluoride'!$Z$2:$Z$3</c:f>
              <c:numCache>
                <c:formatCode>General</c:formatCode>
                <c:ptCount val="2"/>
                <c:pt idx="0">
                  <c:v>940</c:v>
                </c:pt>
                <c:pt idx="1">
                  <c:v>940</c:v>
                </c:pt>
              </c:numCache>
            </c:numRef>
          </c:xVal>
          <c:yVal>
            <c:numRef>
              <c:f>'Group Fluoride'!$AA$2:$AA$3</c:f>
              <c:numCache>
                <c:formatCode>General</c:formatCode>
                <c:ptCount val="2"/>
                <c:pt idx="0">
                  <c:v>1.2</c:v>
                </c:pt>
                <c:pt idx="1">
                  <c:v>1.6</c:v>
                </c:pt>
              </c:numCache>
            </c:numRef>
          </c:yVal>
          <c:smooth val="0"/>
          <c:extLst>
            <c:ext xmlns:c16="http://schemas.microsoft.com/office/drawing/2014/chart" uri="{C3380CC4-5D6E-409C-BE32-E72D297353CC}">
              <c16:uniqueId val="{00000007-4F71-1C40-9AA1-BFCF53B25343}"/>
            </c:ext>
          </c:extLst>
        </c:ser>
        <c:ser>
          <c:idx val="14"/>
          <c:order val="14"/>
          <c:tx>
            <c:v>Set 3 DOM Marker 20ppm</c:v>
          </c:tx>
          <c:spPr>
            <a:ln w="25400" cap="rnd">
              <a:solidFill>
                <a:srgbClr val="00B050"/>
              </a:solidFill>
              <a:round/>
            </a:ln>
            <a:effectLst/>
          </c:spPr>
          <c:marker>
            <c:symbol val="triangle"/>
            <c:size val="5"/>
            <c:spPr>
              <a:solidFill>
                <a:schemeClr val="accent6">
                  <a:lumMod val="75000"/>
                </a:schemeClr>
              </a:solidFill>
              <a:ln w="9525">
                <a:solidFill>
                  <a:srgbClr val="00B050"/>
                </a:solidFill>
              </a:ln>
              <a:effectLst/>
            </c:spPr>
          </c:marker>
          <c:xVal>
            <c:numRef>
              <c:f>'Group Fluoride'!$AB$2:$AB$3</c:f>
              <c:numCache>
                <c:formatCode>General</c:formatCode>
                <c:ptCount val="2"/>
                <c:pt idx="0">
                  <c:v>1970</c:v>
                </c:pt>
                <c:pt idx="1">
                  <c:v>1970</c:v>
                </c:pt>
              </c:numCache>
            </c:numRef>
          </c:xVal>
          <c:yVal>
            <c:numRef>
              <c:f>'Group Fluoride'!$AC$2:$AC$3</c:f>
              <c:numCache>
                <c:formatCode>General</c:formatCode>
                <c:ptCount val="2"/>
                <c:pt idx="0">
                  <c:v>2.1</c:v>
                </c:pt>
                <c:pt idx="1">
                  <c:v>2.5</c:v>
                </c:pt>
              </c:numCache>
            </c:numRef>
          </c:yVal>
          <c:smooth val="0"/>
          <c:extLst>
            <c:ext xmlns:c16="http://schemas.microsoft.com/office/drawing/2014/chart" uri="{C3380CC4-5D6E-409C-BE32-E72D297353CC}">
              <c16:uniqueId val="{00000003-95DD-3542-9463-A205BDDA3C65}"/>
            </c:ext>
          </c:extLst>
        </c:ser>
        <c:dLbls>
          <c:showLegendKey val="0"/>
          <c:showVal val="0"/>
          <c:showCatName val="0"/>
          <c:showSerName val="0"/>
          <c:showPercent val="0"/>
          <c:showBubbleSize val="0"/>
        </c:dLbls>
        <c:axId val="563284271"/>
        <c:axId val="586205279"/>
      </c:scatterChart>
      <c:valAx>
        <c:axId val="563284271"/>
        <c:scaling>
          <c:orientation val="minMax"/>
          <c:min val="0"/>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6205279"/>
        <c:crosses val="autoZero"/>
        <c:crossBetween val="midCat"/>
      </c:valAx>
      <c:valAx>
        <c:axId val="586205279"/>
        <c:scaling>
          <c:orientation val="minMax"/>
          <c:max val="5.5"/>
          <c:min val="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Concentration (ppm)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32842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4</a:t>
            </a:r>
            <a:r>
              <a:rPr lang="en-US" baseline="0"/>
              <a:t> and 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4 Control</c:v>
          </c:tx>
          <c:spPr>
            <a:ln w="19050" cap="rnd">
              <a:noFill/>
              <a:round/>
            </a:ln>
            <a:effectLst/>
          </c:spPr>
          <c:marker>
            <c:symbol val="circle"/>
            <c:size val="5"/>
            <c:spPr>
              <a:solidFill>
                <a:schemeClr val="accent1"/>
              </a:solidFill>
              <a:ln w="9525">
                <a:solidFill>
                  <a:schemeClr val="accent1"/>
                </a:solidFill>
              </a:ln>
              <a:effectLst/>
            </c:spPr>
          </c:marker>
          <c:xVal>
            <c:numRef>
              <c:f>'Group Fluoride'!$AE$2:$AE$11</c:f>
              <c:numCache>
                <c:formatCode>0.00</c:formatCode>
                <c:ptCount val="10"/>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numCache>
            </c:numRef>
          </c:xVal>
          <c:yVal>
            <c:numRef>
              <c:f>'Group Fluoride'!$AF$2:$AF$11</c:f>
              <c:numCache>
                <c:formatCode>0.00</c:formatCode>
                <c:ptCount val="10"/>
                <c:pt idx="0">
                  <c:v>0.40523809523809523</c:v>
                </c:pt>
                <c:pt idx="1">
                  <c:v>0.56041269841269836</c:v>
                </c:pt>
                <c:pt idx="2">
                  <c:v>0.74625806252507487</c:v>
                </c:pt>
                <c:pt idx="3">
                  <c:v>1.2266765422954664</c:v>
                </c:pt>
                <c:pt idx="4">
                  <c:v>0.5968891769280622</c:v>
                </c:pt>
                <c:pt idx="5">
                  <c:v>0.52430420711974113</c:v>
                </c:pt>
                <c:pt idx="6">
                  <c:v>0.35841423948220064</c:v>
                </c:pt>
                <c:pt idx="7">
                  <c:v>0.42460317460317459</c:v>
                </c:pt>
                <c:pt idx="8">
                  <c:v>0.38507936507936513</c:v>
                </c:pt>
                <c:pt idx="9">
                  <c:v>0.38352380952380954</c:v>
                </c:pt>
              </c:numCache>
            </c:numRef>
          </c:yVal>
          <c:smooth val="0"/>
          <c:extLst>
            <c:ext xmlns:c16="http://schemas.microsoft.com/office/drawing/2014/chart" uri="{C3380CC4-5D6E-409C-BE32-E72D297353CC}">
              <c16:uniqueId val="{00000000-5A89-B843-A865-8552CB1D4405}"/>
            </c:ext>
          </c:extLst>
        </c:ser>
        <c:ser>
          <c:idx val="1"/>
          <c:order val="1"/>
          <c:tx>
            <c:v>Set 4</c:v>
          </c:tx>
          <c:spPr>
            <a:ln w="25400" cap="rnd">
              <a:noFill/>
              <a:round/>
            </a:ln>
            <a:effectLst/>
          </c:spPr>
          <c:marker>
            <c:symbol val="circle"/>
            <c:size val="5"/>
            <c:spPr>
              <a:solidFill>
                <a:schemeClr val="accent2"/>
              </a:solidFill>
              <a:ln w="9525">
                <a:solidFill>
                  <a:schemeClr val="accent2"/>
                </a:solidFill>
              </a:ln>
              <a:effectLst/>
            </c:spPr>
          </c:marker>
          <c:xVal>
            <c:numRef>
              <c:f>'Group Fluoride'!$AE$2:$AE$11</c:f>
              <c:numCache>
                <c:formatCode>0.00</c:formatCode>
                <c:ptCount val="10"/>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numCache>
            </c:numRef>
          </c:xVal>
          <c:yVal>
            <c:numRef>
              <c:f>'Group Fluoride'!$AG$2:$AG$11</c:f>
              <c:numCache>
                <c:formatCode>0.00</c:formatCode>
                <c:ptCount val="10"/>
                <c:pt idx="0">
                  <c:v>4.4341746031746032</c:v>
                </c:pt>
                <c:pt idx="1">
                  <c:v>4.24252380952381</c:v>
                </c:pt>
                <c:pt idx="2">
                  <c:v>4.2696046662346081</c:v>
                </c:pt>
                <c:pt idx="3">
                  <c:v>4.7169397895256608</c:v>
                </c:pt>
                <c:pt idx="4">
                  <c:v>4.9442644199611152</c:v>
                </c:pt>
                <c:pt idx="5">
                  <c:v>5.1566828478964402</c:v>
                </c:pt>
                <c:pt idx="6">
                  <c:v>5.2230582524271849</c:v>
                </c:pt>
                <c:pt idx="7">
                  <c:v>4.8601428571428578</c:v>
                </c:pt>
                <c:pt idx="8">
                  <c:v>4.7039047619047629</c:v>
                </c:pt>
                <c:pt idx="9">
                  <c:v>4.9739206349206357</c:v>
                </c:pt>
              </c:numCache>
            </c:numRef>
          </c:yVal>
          <c:smooth val="0"/>
          <c:extLst>
            <c:ext xmlns:c16="http://schemas.microsoft.com/office/drawing/2014/chart" uri="{C3380CC4-5D6E-409C-BE32-E72D297353CC}">
              <c16:uniqueId val="{00000002-5A89-B843-A865-8552CB1D4405}"/>
            </c:ext>
          </c:extLst>
        </c:ser>
        <c:ser>
          <c:idx val="2"/>
          <c:order val="2"/>
          <c:tx>
            <c:v>4 0</c:v>
          </c:tx>
          <c:spPr>
            <a:ln w="25400" cap="rnd">
              <a:noFill/>
              <a:round/>
            </a:ln>
            <a:effectLst/>
          </c:spPr>
          <c:marker>
            <c:symbol val="circle"/>
            <c:size val="5"/>
            <c:spPr>
              <a:solidFill>
                <a:schemeClr val="accent3"/>
              </a:solidFill>
              <a:ln w="9525">
                <a:solidFill>
                  <a:schemeClr val="accent3"/>
                </a:solidFill>
              </a:ln>
              <a:effectLst/>
            </c:spPr>
          </c:marker>
          <c:xVal>
            <c:numRef>
              <c:f>'Group Fluoride'!$AE$2:$AE$11</c:f>
              <c:numCache>
                <c:formatCode>0.00</c:formatCode>
                <c:ptCount val="10"/>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numCache>
            </c:numRef>
          </c:xVal>
          <c:yVal>
            <c:numRef>
              <c:f>'Group Fluoride'!$AH$2:$AH$11</c:f>
              <c:numCache>
                <c:formatCode>0.00</c:formatCode>
                <c:ptCount val="10"/>
                <c:pt idx="0">
                  <c:v>4.4268253968253966</c:v>
                </c:pt>
                <c:pt idx="1">
                  <c:v>4.2628571428571425</c:v>
                </c:pt>
                <c:pt idx="2">
                  <c:v>4.3151251427336978</c:v>
                </c:pt>
                <c:pt idx="3">
                  <c:v>4.2579082183748413</c:v>
                </c:pt>
                <c:pt idx="4">
                  <c:v>4.1906613585161869</c:v>
                </c:pt>
                <c:pt idx="5">
                  <c:v>4.0682200647249189</c:v>
                </c:pt>
                <c:pt idx="6">
                  <c:v>4.263883495145631</c:v>
                </c:pt>
                <c:pt idx="7">
                  <c:v>3.81</c:v>
                </c:pt>
                <c:pt idx="8">
                  <c:v>3.8075555555555556</c:v>
                </c:pt>
                <c:pt idx="9">
                  <c:v>3.9888888888888894</c:v>
                </c:pt>
              </c:numCache>
            </c:numRef>
          </c:yVal>
          <c:smooth val="0"/>
          <c:extLst>
            <c:ext xmlns:c16="http://schemas.microsoft.com/office/drawing/2014/chart" uri="{C3380CC4-5D6E-409C-BE32-E72D297353CC}">
              <c16:uniqueId val="{00000003-5A89-B843-A865-8552CB1D4405}"/>
            </c:ext>
          </c:extLst>
        </c:ser>
        <c:ser>
          <c:idx val="3"/>
          <c:order val="3"/>
          <c:tx>
            <c:v>5 Control</c:v>
          </c:tx>
          <c:spPr>
            <a:ln w="25400" cap="rnd">
              <a:noFill/>
              <a:round/>
            </a:ln>
            <a:effectLst/>
          </c:spPr>
          <c:marker>
            <c:symbol val="circle"/>
            <c:size val="5"/>
            <c:spPr>
              <a:solidFill>
                <a:schemeClr val="accent4"/>
              </a:solidFill>
              <a:ln w="9525">
                <a:solidFill>
                  <a:schemeClr val="accent4"/>
                </a:solidFill>
              </a:ln>
              <a:effectLst/>
            </c:spPr>
          </c:marker>
          <c:xVal>
            <c:numRef>
              <c:f>'Group Fluoride'!$AE$2:$AE$11</c:f>
              <c:numCache>
                <c:formatCode>0.00</c:formatCode>
                <c:ptCount val="10"/>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numCache>
            </c:numRef>
          </c:xVal>
          <c:yVal>
            <c:numRef>
              <c:f>'Group Fluoride'!$AI$2:$AI$11</c:f>
              <c:numCache>
                <c:formatCode>0.00</c:formatCode>
                <c:ptCount val="10"/>
                <c:pt idx="0">
                  <c:v>0.25523809523809526</c:v>
                </c:pt>
                <c:pt idx="1">
                  <c:v>0.47961904761904767</c:v>
                </c:pt>
                <c:pt idx="2">
                  <c:v>0.63944696478721108</c:v>
                </c:pt>
                <c:pt idx="3">
                  <c:v>0.82149800944356999</c:v>
                </c:pt>
                <c:pt idx="4">
                  <c:v>0.70542850970589144</c:v>
                </c:pt>
                <c:pt idx="5">
                  <c:v>0.67644012944983833</c:v>
                </c:pt>
                <c:pt idx="6">
                  <c:v>0.73443365695792884</c:v>
                </c:pt>
                <c:pt idx="7">
                  <c:v>0.63244444444444448</c:v>
                </c:pt>
                <c:pt idx="8">
                  <c:v>0.53968253968253965</c:v>
                </c:pt>
                <c:pt idx="9">
                  <c:v>0.47225396825396826</c:v>
                </c:pt>
              </c:numCache>
            </c:numRef>
          </c:yVal>
          <c:smooth val="0"/>
          <c:extLst>
            <c:ext xmlns:c16="http://schemas.microsoft.com/office/drawing/2014/chart" uri="{C3380CC4-5D6E-409C-BE32-E72D297353CC}">
              <c16:uniqueId val="{00000004-5A89-B843-A865-8552CB1D4405}"/>
            </c:ext>
          </c:extLst>
        </c:ser>
        <c:ser>
          <c:idx val="4"/>
          <c:order val="4"/>
          <c:tx>
            <c:v>Set 5</c:v>
          </c:tx>
          <c:spPr>
            <a:ln w="25400" cap="rnd">
              <a:noFill/>
              <a:round/>
            </a:ln>
            <a:effectLst/>
          </c:spPr>
          <c:marker>
            <c:symbol val="circle"/>
            <c:size val="5"/>
            <c:spPr>
              <a:solidFill>
                <a:schemeClr val="accent5"/>
              </a:solidFill>
              <a:ln w="9525">
                <a:solidFill>
                  <a:schemeClr val="accent5"/>
                </a:solidFill>
              </a:ln>
              <a:effectLst/>
            </c:spPr>
          </c:marker>
          <c:xVal>
            <c:numRef>
              <c:f>'Group Fluoride'!$AE$2:$AE$11</c:f>
              <c:numCache>
                <c:formatCode>0.00</c:formatCode>
                <c:ptCount val="10"/>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numCache>
            </c:numRef>
          </c:xVal>
          <c:yVal>
            <c:numRef>
              <c:f>'Group Fluoride'!$AJ$2:$AJ$11</c:f>
              <c:numCache>
                <c:formatCode>0.00</c:formatCode>
                <c:ptCount val="10"/>
                <c:pt idx="0">
                  <c:v>4.4240000000000004</c:v>
                </c:pt>
                <c:pt idx="1">
                  <c:v>3.9750634920634922</c:v>
                </c:pt>
                <c:pt idx="2">
                  <c:v>3.8500756102829983</c:v>
                </c:pt>
                <c:pt idx="3">
                  <c:v>4.0426040798691476</c:v>
                </c:pt>
                <c:pt idx="4">
                  <c:v>3.9903712619201928</c:v>
                </c:pt>
                <c:pt idx="5">
                  <c:v>3.8978802588996766</c:v>
                </c:pt>
                <c:pt idx="6">
                  <c:v>3.8220388349514565</c:v>
                </c:pt>
                <c:pt idx="7">
                  <c:v>3.4046507936507941</c:v>
                </c:pt>
                <c:pt idx="8">
                  <c:v>3.0806507936507939</c:v>
                </c:pt>
                <c:pt idx="9">
                  <c:v>3.3911111111111119</c:v>
                </c:pt>
              </c:numCache>
            </c:numRef>
          </c:yVal>
          <c:smooth val="0"/>
          <c:extLst>
            <c:ext xmlns:c16="http://schemas.microsoft.com/office/drawing/2014/chart" uri="{C3380CC4-5D6E-409C-BE32-E72D297353CC}">
              <c16:uniqueId val="{00000005-5A89-B843-A865-8552CB1D4405}"/>
            </c:ext>
          </c:extLst>
        </c:ser>
        <c:ser>
          <c:idx val="5"/>
          <c:order val="5"/>
          <c:tx>
            <c:v>5 0</c:v>
          </c:tx>
          <c:spPr>
            <a:ln w="25400" cap="rnd">
              <a:noFill/>
              <a:round/>
            </a:ln>
            <a:effectLst/>
          </c:spPr>
          <c:marker>
            <c:symbol val="circle"/>
            <c:size val="5"/>
            <c:spPr>
              <a:solidFill>
                <a:schemeClr val="accent6"/>
              </a:solidFill>
              <a:ln w="9525">
                <a:solidFill>
                  <a:schemeClr val="accent6"/>
                </a:solidFill>
              </a:ln>
              <a:effectLst/>
            </c:spPr>
          </c:marker>
          <c:xVal>
            <c:numRef>
              <c:f>'Group Fluoride'!$AE$2:$AE$11</c:f>
              <c:numCache>
                <c:formatCode>0.00</c:formatCode>
                <c:ptCount val="10"/>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numCache>
            </c:numRef>
          </c:xVal>
          <c:yVal>
            <c:numRef>
              <c:f>'Group Fluoride'!$AK$2:$AK$11</c:f>
              <c:numCache>
                <c:formatCode>0.00</c:formatCode>
                <c:ptCount val="10"/>
                <c:pt idx="0">
                  <c:v>3.9842539682539684</c:v>
                </c:pt>
                <c:pt idx="1">
                  <c:v>4.0055555555555555</c:v>
                </c:pt>
                <c:pt idx="2">
                  <c:v>4.2081905996358362</c:v>
                </c:pt>
                <c:pt idx="3">
                  <c:v>4.189951547696201</c:v>
                </c:pt>
                <c:pt idx="4">
                  <c:v>4.2937690954541248</c:v>
                </c:pt>
                <c:pt idx="5">
                  <c:v>4.4816504854368935</c:v>
                </c:pt>
                <c:pt idx="6">
                  <c:v>4.6179288025889971</c:v>
                </c:pt>
                <c:pt idx="7">
                  <c:v>3.7373333333333338</c:v>
                </c:pt>
                <c:pt idx="8">
                  <c:v>4.0046349206349214</c:v>
                </c:pt>
                <c:pt idx="9">
                  <c:v>3.7979365079365084</c:v>
                </c:pt>
              </c:numCache>
            </c:numRef>
          </c:yVal>
          <c:smooth val="0"/>
          <c:extLst>
            <c:ext xmlns:c16="http://schemas.microsoft.com/office/drawing/2014/chart" uri="{C3380CC4-5D6E-409C-BE32-E72D297353CC}">
              <c16:uniqueId val="{00000006-5A89-B843-A865-8552CB1D4405}"/>
            </c:ext>
          </c:extLst>
        </c:ser>
        <c:dLbls>
          <c:showLegendKey val="0"/>
          <c:showVal val="0"/>
          <c:showCatName val="0"/>
          <c:showSerName val="0"/>
          <c:showPercent val="0"/>
          <c:showBubbleSize val="0"/>
        </c:dLbls>
        <c:axId val="135368735"/>
        <c:axId val="175999103"/>
      </c:scatterChart>
      <c:valAx>
        <c:axId val="13536873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5999103"/>
        <c:crosses val="autoZero"/>
        <c:crossBetween val="midCat"/>
      </c:valAx>
      <c:valAx>
        <c:axId val="17599910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3687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Control 5</c:v>
          </c:tx>
          <c:spPr>
            <a:ln w="19050" cap="rnd">
              <a:noFill/>
              <a:round/>
            </a:ln>
            <a:effectLst/>
          </c:spPr>
          <c:marker>
            <c:symbol val="circle"/>
            <c:size val="5"/>
            <c:spPr>
              <a:solidFill>
                <a:schemeClr val="accent1"/>
              </a:solidFill>
              <a:ln w="9525">
                <a:solidFill>
                  <a:schemeClr val="accent1"/>
                </a:solidFill>
              </a:ln>
              <a:effectLst/>
            </c:spPr>
          </c:marker>
          <c:xVal>
            <c:numRef>
              <c:f>'Group Fluoride'!$AL$2:$AL$11</c:f>
              <c:numCache>
                <c:formatCode>General</c:formatCode>
                <c:ptCount val="10"/>
                <c:pt idx="0">
                  <c:v>10.57</c:v>
                </c:pt>
                <c:pt idx="1">
                  <c:v>9.26</c:v>
                </c:pt>
                <c:pt idx="2">
                  <c:v>9.61</c:v>
                </c:pt>
                <c:pt idx="3">
                  <c:v>9.35</c:v>
                </c:pt>
                <c:pt idx="4">
                  <c:v>10.11</c:v>
                </c:pt>
                <c:pt idx="5">
                  <c:v>10.01</c:v>
                </c:pt>
                <c:pt idx="6">
                  <c:v>10.029999999999999</c:v>
                </c:pt>
                <c:pt idx="7">
                  <c:v>9.0299999999999994</c:v>
                </c:pt>
                <c:pt idx="8">
                  <c:v>10.97</c:v>
                </c:pt>
                <c:pt idx="9">
                  <c:v>10.31</c:v>
                </c:pt>
              </c:numCache>
            </c:numRef>
          </c:xVal>
          <c:yVal>
            <c:numRef>
              <c:f>'Group Fluoride'!$AI$2:$AI$11</c:f>
              <c:numCache>
                <c:formatCode>0.00</c:formatCode>
                <c:ptCount val="10"/>
                <c:pt idx="0">
                  <c:v>0.25523809523809526</c:v>
                </c:pt>
                <c:pt idx="1">
                  <c:v>0.47961904761904767</c:v>
                </c:pt>
                <c:pt idx="2">
                  <c:v>0.63944696478721108</c:v>
                </c:pt>
                <c:pt idx="3">
                  <c:v>0.82149800944356999</c:v>
                </c:pt>
                <c:pt idx="4">
                  <c:v>0.70542850970589144</c:v>
                </c:pt>
                <c:pt idx="5">
                  <c:v>0.67644012944983833</c:v>
                </c:pt>
                <c:pt idx="6">
                  <c:v>0.73443365695792884</c:v>
                </c:pt>
                <c:pt idx="7">
                  <c:v>0.63244444444444448</c:v>
                </c:pt>
                <c:pt idx="8">
                  <c:v>0.53968253968253965</c:v>
                </c:pt>
                <c:pt idx="9">
                  <c:v>0.47225396825396826</c:v>
                </c:pt>
              </c:numCache>
            </c:numRef>
          </c:yVal>
          <c:smooth val="0"/>
          <c:extLst>
            <c:ext xmlns:c16="http://schemas.microsoft.com/office/drawing/2014/chart" uri="{C3380CC4-5D6E-409C-BE32-E72D297353CC}">
              <c16:uniqueId val="{00000000-5FB8-E649-B38A-9E67820D22BB}"/>
            </c:ext>
          </c:extLst>
        </c:ser>
        <c:ser>
          <c:idx val="1"/>
          <c:order val="1"/>
          <c:tx>
            <c:v>Set 5</c:v>
          </c:tx>
          <c:spPr>
            <a:ln w="25400" cap="rnd">
              <a:noFill/>
              <a:round/>
            </a:ln>
            <a:effectLst/>
          </c:spPr>
          <c:marker>
            <c:symbol val="circle"/>
            <c:size val="5"/>
            <c:spPr>
              <a:solidFill>
                <a:schemeClr val="accent2"/>
              </a:solidFill>
              <a:ln w="9525">
                <a:solidFill>
                  <a:schemeClr val="accent2"/>
                </a:solidFill>
              </a:ln>
              <a:effectLst/>
            </c:spPr>
          </c:marker>
          <c:xVal>
            <c:numRef>
              <c:f>'Group Fluoride'!$AL$2:$AL$11</c:f>
              <c:numCache>
                <c:formatCode>General</c:formatCode>
                <c:ptCount val="10"/>
                <c:pt idx="0">
                  <c:v>10.57</c:v>
                </c:pt>
                <c:pt idx="1">
                  <c:v>9.26</c:v>
                </c:pt>
                <c:pt idx="2">
                  <c:v>9.61</c:v>
                </c:pt>
                <c:pt idx="3">
                  <c:v>9.35</c:v>
                </c:pt>
                <c:pt idx="4">
                  <c:v>10.11</c:v>
                </c:pt>
                <c:pt idx="5">
                  <c:v>10.01</c:v>
                </c:pt>
                <c:pt idx="6">
                  <c:v>10.029999999999999</c:v>
                </c:pt>
                <c:pt idx="7">
                  <c:v>9.0299999999999994</c:v>
                </c:pt>
                <c:pt idx="8">
                  <c:v>10.97</c:v>
                </c:pt>
                <c:pt idx="9">
                  <c:v>10.31</c:v>
                </c:pt>
              </c:numCache>
            </c:numRef>
          </c:xVal>
          <c:yVal>
            <c:numRef>
              <c:f>'Group Fluoride'!$AJ$2:$AJ$11</c:f>
              <c:numCache>
                <c:formatCode>0.00</c:formatCode>
                <c:ptCount val="10"/>
                <c:pt idx="0">
                  <c:v>4.4240000000000004</c:v>
                </c:pt>
                <c:pt idx="1">
                  <c:v>3.9750634920634922</c:v>
                </c:pt>
                <c:pt idx="2">
                  <c:v>3.8500756102829983</c:v>
                </c:pt>
                <c:pt idx="3">
                  <c:v>4.0426040798691476</c:v>
                </c:pt>
                <c:pt idx="4">
                  <c:v>3.9903712619201928</c:v>
                </c:pt>
                <c:pt idx="5">
                  <c:v>3.8978802588996766</c:v>
                </c:pt>
                <c:pt idx="6">
                  <c:v>3.8220388349514565</c:v>
                </c:pt>
                <c:pt idx="7">
                  <c:v>3.4046507936507941</c:v>
                </c:pt>
                <c:pt idx="8">
                  <c:v>3.0806507936507939</c:v>
                </c:pt>
                <c:pt idx="9">
                  <c:v>3.3911111111111119</c:v>
                </c:pt>
              </c:numCache>
            </c:numRef>
          </c:yVal>
          <c:smooth val="0"/>
          <c:extLst>
            <c:ext xmlns:c16="http://schemas.microsoft.com/office/drawing/2014/chart" uri="{C3380CC4-5D6E-409C-BE32-E72D297353CC}">
              <c16:uniqueId val="{00000002-5FB8-E649-B38A-9E67820D22BB}"/>
            </c:ext>
          </c:extLst>
        </c:ser>
        <c:dLbls>
          <c:showLegendKey val="0"/>
          <c:showVal val="0"/>
          <c:showCatName val="0"/>
          <c:showSerName val="0"/>
          <c:showPercent val="0"/>
          <c:showBubbleSize val="0"/>
        </c:dLbls>
        <c:axId val="247705231"/>
        <c:axId val="247664607"/>
      </c:scatterChart>
      <c:valAx>
        <c:axId val="247705231"/>
        <c:scaling>
          <c:orientation val="minMax"/>
          <c:min val="9"/>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664607"/>
        <c:crosses val="autoZero"/>
        <c:crossBetween val="midCat"/>
      </c:valAx>
      <c:valAx>
        <c:axId val="24766460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7052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Control 4</c:v>
          </c:tx>
          <c:spPr>
            <a:ln w="19050" cap="rnd">
              <a:noFill/>
              <a:round/>
            </a:ln>
            <a:effectLst/>
          </c:spPr>
          <c:marker>
            <c:symbol val="circle"/>
            <c:size val="5"/>
            <c:spPr>
              <a:solidFill>
                <a:schemeClr val="accent1"/>
              </a:solidFill>
              <a:ln w="9525">
                <a:solidFill>
                  <a:schemeClr val="accent1"/>
                </a:solidFill>
              </a:ln>
              <a:effectLst/>
            </c:spPr>
          </c:marker>
          <c:xVal>
            <c:numRef>
              <c:f>'Group Fluoride'!$AM$2:$AM$11</c:f>
              <c:numCache>
                <c:formatCode>General</c:formatCode>
                <c:ptCount val="10"/>
                <c:pt idx="0">
                  <c:v>4.13</c:v>
                </c:pt>
                <c:pt idx="1">
                  <c:v>3.3</c:v>
                </c:pt>
                <c:pt idx="2">
                  <c:v>3.95</c:v>
                </c:pt>
                <c:pt idx="3">
                  <c:v>3.2970000000000002</c:v>
                </c:pt>
                <c:pt idx="4">
                  <c:v>3.63</c:v>
                </c:pt>
                <c:pt idx="5">
                  <c:v>3.84</c:v>
                </c:pt>
                <c:pt idx="6">
                  <c:v>3.94</c:v>
                </c:pt>
                <c:pt idx="7">
                  <c:v>4.2699999999999996</c:v>
                </c:pt>
                <c:pt idx="8">
                  <c:v>3.27</c:v>
                </c:pt>
                <c:pt idx="9">
                  <c:v>3.52</c:v>
                </c:pt>
              </c:numCache>
            </c:numRef>
          </c:xVal>
          <c:yVal>
            <c:numRef>
              <c:f>'Group Fluoride'!$AF$2:$AF$11</c:f>
              <c:numCache>
                <c:formatCode>0.00</c:formatCode>
                <c:ptCount val="10"/>
                <c:pt idx="0">
                  <c:v>0.40523809523809523</c:v>
                </c:pt>
                <c:pt idx="1">
                  <c:v>0.56041269841269836</c:v>
                </c:pt>
                <c:pt idx="2">
                  <c:v>0.74625806252507487</c:v>
                </c:pt>
                <c:pt idx="3">
                  <c:v>1.2266765422954664</c:v>
                </c:pt>
                <c:pt idx="4">
                  <c:v>0.5968891769280622</c:v>
                </c:pt>
                <c:pt idx="5">
                  <c:v>0.52430420711974113</c:v>
                </c:pt>
                <c:pt idx="6">
                  <c:v>0.35841423948220064</c:v>
                </c:pt>
                <c:pt idx="7">
                  <c:v>0.42460317460317459</c:v>
                </c:pt>
                <c:pt idx="8">
                  <c:v>0.38507936507936513</c:v>
                </c:pt>
                <c:pt idx="9">
                  <c:v>0.38352380952380954</c:v>
                </c:pt>
              </c:numCache>
            </c:numRef>
          </c:yVal>
          <c:smooth val="0"/>
          <c:extLst>
            <c:ext xmlns:c16="http://schemas.microsoft.com/office/drawing/2014/chart" uri="{C3380CC4-5D6E-409C-BE32-E72D297353CC}">
              <c16:uniqueId val="{00000000-94B3-BF4A-ACBB-39C632D09B31}"/>
            </c:ext>
          </c:extLst>
        </c:ser>
        <c:ser>
          <c:idx val="1"/>
          <c:order val="1"/>
          <c:tx>
            <c:v>Set 4</c:v>
          </c:tx>
          <c:spPr>
            <a:ln w="25400" cap="rnd">
              <a:noFill/>
              <a:round/>
            </a:ln>
            <a:effectLst/>
          </c:spPr>
          <c:marker>
            <c:symbol val="circle"/>
            <c:size val="5"/>
            <c:spPr>
              <a:solidFill>
                <a:schemeClr val="accent2"/>
              </a:solidFill>
              <a:ln w="9525">
                <a:solidFill>
                  <a:schemeClr val="accent2"/>
                </a:solidFill>
              </a:ln>
              <a:effectLst/>
            </c:spPr>
          </c:marker>
          <c:xVal>
            <c:numRef>
              <c:f>'Group Fluoride'!$AM$2:$AM$11</c:f>
              <c:numCache>
                <c:formatCode>General</c:formatCode>
                <c:ptCount val="10"/>
                <c:pt idx="0">
                  <c:v>4.13</c:v>
                </c:pt>
                <c:pt idx="1">
                  <c:v>3.3</c:v>
                </c:pt>
                <c:pt idx="2">
                  <c:v>3.95</c:v>
                </c:pt>
                <c:pt idx="3">
                  <c:v>3.2970000000000002</c:v>
                </c:pt>
                <c:pt idx="4">
                  <c:v>3.63</c:v>
                </c:pt>
                <c:pt idx="5">
                  <c:v>3.84</c:v>
                </c:pt>
                <c:pt idx="6">
                  <c:v>3.94</c:v>
                </c:pt>
                <c:pt idx="7">
                  <c:v>4.2699999999999996</c:v>
                </c:pt>
                <c:pt idx="8">
                  <c:v>3.27</c:v>
                </c:pt>
                <c:pt idx="9">
                  <c:v>3.52</c:v>
                </c:pt>
              </c:numCache>
            </c:numRef>
          </c:xVal>
          <c:yVal>
            <c:numRef>
              <c:f>'Group Fluoride'!$AG$2:$AG$11</c:f>
              <c:numCache>
                <c:formatCode>0.00</c:formatCode>
                <c:ptCount val="10"/>
                <c:pt idx="0">
                  <c:v>4.4341746031746032</c:v>
                </c:pt>
                <c:pt idx="1">
                  <c:v>4.24252380952381</c:v>
                </c:pt>
                <c:pt idx="2">
                  <c:v>4.2696046662346081</c:v>
                </c:pt>
                <c:pt idx="3">
                  <c:v>4.7169397895256608</c:v>
                </c:pt>
                <c:pt idx="4">
                  <c:v>4.9442644199611152</c:v>
                </c:pt>
                <c:pt idx="5">
                  <c:v>5.1566828478964402</c:v>
                </c:pt>
                <c:pt idx="6">
                  <c:v>5.2230582524271849</c:v>
                </c:pt>
                <c:pt idx="7">
                  <c:v>4.8601428571428578</c:v>
                </c:pt>
                <c:pt idx="8">
                  <c:v>4.7039047619047629</c:v>
                </c:pt>
                <c:pt idx="9">
                  <c:v>4.9739206349206357</c:v>
                </c:pt>
              </c:numCache>
            </c:numRef>
          </c:yVal>
          <c:smooth val="0"/>
          <c:extLst>
            <c:ext xmlns:c16="http://schemas.microsoft.com/office/drawing/2014/chart" uri="{C3380CC4-5D6E-409C-BE32-E72D297353CC}">
              <c16:uniqueId val="{00000002-94B3-BF4A-ACBB-39C632D09B31}"/>
            </c:ext>
          </c:extLst>
        </c:ser>
        <c:dLbls>
          <c:showLegendKey val="0"/>
          <c:showVal val="0"/>
          <c:showCatName val="0"/>
          <c:showSerName val="0"/>
          <c:showPercent val="0"/>
          <c:showBubbleSize val="0"/>
        </c:dLbls>
        <c:axId val="216838703"/>
        <c:axId val="216840351"/>
      </c:scatterChart>
      <c:valAx>
        <c:axId val="216838703"/>
        <c:scaling>
          <c:orientation val="minMax"/>
          <c:min val="3"/>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40351"/>
        <c:crosses val="autoZero"/>
        <c:crossBetween val="midCat"/>
      </c:valAx>
      <c:valAx>
        <c:axId val="21684035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387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Difference</a:t>
            </a:r>
            <a:r>
              <a:rPr lang="en-US" baseline="0"/>
              <a:t>  in F- Mobilization Between Columns loaded with DOM vs No DOM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strRef>
              <c:f>'Group Fluoride'!$AT$3:$AT$8</c:f>
              <c:strCache>
                <c:ptCount val="6"/>
                <c:pt idx="0">
                  <c:v>Set A</c:v>
                </c:pt>
                <c:pt idx="1">
                  <c:v>Set B</c:v>
                </c:pt>
                <c:pt idx="2">
                  <c:v>Set 1</c:v>
                </c:pt>
                <c:pt idx="3">
                  <c:v>Set 2</c:v>
                </c:pt>
                <c:pt idx="4">
                  <c:v>Set 3</c:v>
                </c:pt>
                <c:pt idx="5">
                  <c:v>Set 6</c:v>
                </c:pt>
              </c:strCache>
            </c:strRef>
          </c:cat>
          <c:val>
            <c:numRef>
              <c:f>'Group Fluoride'!$AV$3:$AV$8</c:f>
              <c:numCache>
                <c:formatCode>General</c:formatCode>
                <c:ptCount val="6"/>
                <c:pt idx="0">
                  <c:v>-0.34</c:v>
                </c:pt>
                <c:pt idx="1">
                  <c:v>-1.21</c:v>
                </c:pt>
                <c:pt idx="2">
                  <c:v>0.72</c:v>
                </c:pt>
                <c:pt idx="3">
                  <c:v>-0.84</c:v>
                </c:pt>
                <c:pt idx="4">
                  <c:v>1.1499999999999999</c:v>
                </c:pt>
                <c:pt idx="5">
                  <c:v>-1.32</c:v>
                </c:pt>
              </c:numCache>
            </c:numRef>
          </c:val>
          <c:extLst>
            <c:ext xmlns:c16="http://schemas.microsoft.com/office/drawing/2014/chart" uri="{C3380CC4-5D6E-409C-BE32-E72D297353CC}">
              <c16:uniqueId val="{00000000-3AE0-894F-BB61-A0D6F66F9A8E}"/>
            </c:ext>
          </c:extLst>
        </c:ser>
        <c:dLbls>
          <c:showLegendKey val="0"/>
          <c:showVal val="0"/>
          <c:showCatName val="0"/>
          <c:showSerName val="0"/>
          <c:showPercent val="0"/>
          <c:showBubbleSize val="0"/>
        </c:dLbls>
        <c:gapWidth val="219"/>
        <c:overlap val="-27"/>
        <c:axId val="416419776"/>
        <c:axId val="880729136"/>
      </c:barChart>
      <c:catAx>
        <c:axId val="416419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729136"/>
        <c:crosses val="autoZero"/>
        <c:auto val="1"/>
        <c:lblAlgn val="ctr"/>
        <c:lblOffset val="100"/>
        <c:noMultiLvlLbl val="0"/>
      </c:catAx>
      <c:valAx>
        <c:axId val="8807291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DOM</a:t>
                </a:r>
                <a:r>
                  <a:rPr lang="en-US" baseline="0"/>
                  <a:t> [F-] - No DOM [F-]</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6419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1 Patterns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Fluoride Set1</c:v>
          </c:tx>
          <c:spPr>
            <a:ln w="19050" cap="rnd">
              <a:noFill/>
              <a:round/>
            </a:ln>
            <a:effectLst/>
          </c:spPr>
          <c:marker>
            <c:symbol val="circle"/>
            <c:size val="7"/>
            <c:spPr>
              <a:solidFill>
                <a:schemeClr val="accent1"/>
              </a:solidFill>
              <a:ln w="9525">
                <a:solidFill>
                  <a:schemeClr val="accent1"/>
                </a:solidFill>
              </a:ln>
              <a:effectLst/>
            </c:spPr>
          </c:marker>
          <c:xVal>
            <c:numRef>
              <c:f>'Set 1 Pattern Check'!$A$4:$A$52</c:f>
              <c:numCache>
                <c:formatCode>0.00</c:formatCode>
                <c:ptCount val="49"/>
                <c:pt idx="0">
                  <c:v>26.033333333333335</c:v>
                </c:pt>
                <c:pt idx="1">
                  <c:v>49.916666666666664</c:v>
                </c:pt>
                <c:pt idx="2">
                  <c:v>74.5</c:v>
                </c:pt>
                <c:pt idx="3">
                  <c:v>98.983333333333334</c:v>
                </c:pt>
                <c:pt idx="4">
                  <c:v>172.11666666666667</c:v>
                </c:pt>
                <c:pt idx="5">
                  <c:v>195</c:v>
                </c:pt>
                <c:pt idx="6">
                  <c:v>216.53333333333333</c:v>
                </c:pt>
                <c:pt idx="7">
                  <c:v>240.33333333333334</c:v>
                </c:pt>
                <c:pt idx="8">
                  <c:v>264.63333333333333</c:v>
                </c:pt>
                <c:pt idx="9">
                  <c:v>367.08333333333331</c:v>
                </c:pt>
                <c:pt idx="10">
                  <c:v>390.08333333333331</c:v>
                </c:pt>
                <c:pt idx="11">
                  <c:v>409.11666666666667</c:v>
                </c:pt>
                <c:pt idx="12">
                  <c:v>435.15</c:v>
                </c:pt>
                <c:pt idx="13">
                  <c:v>530.48333333333335</c:v>
                </c:pt>
                <c:pt idx="14">
                  <c:v>555.15</c:v>
                </c:pt>
                <c:pt idx="15">
                  <c:v>576.45000000000005</c:v>
                </c:pt>
                <c:pt idx="16">
                  <c:v>602.04999999999995</c:v>
                </c:pt>
                <c:pt idx="17">
                  <c:v>672.91666666666663</c:v>
                </c:pt>
                <c:pt idx="18">
                  <c:v>721.68333333333328</c:v>
                </c:pt>
                <c:pt idx="19">
                  <c:v>744.58333333333337</c:v>
                </c:pt>
                <c:pt idx="20">
                  <c:v>768.7</c:v>
                </c:pt>
                <c:pt idx="21">
                  <c:v>840.81666666666672</c:v>
                </c:pt>
                <c:pt idx="22">
                  <c:v>863.58333333333337</c:v>
                </c:pt>
                <c:pt idx="23">
                  <c:v>888.4</c:v>
                </c:pt>
                <c:pt idx="24">
                  <c:v>919.36666666666667</c:v>
                </c:pt>
                <c:pt idx="25">
                  <c:v>937.95</c:v>
                </c:pt>
                <c:pt idx="26">
                  <c:v>1009.3</c:v>
                </c:pt>
                <c:pt idx="27">
                  <c:v>1033.3</c:v>
                </c:pt>
                <c:pt idx="28">
                  <c:v>1056.8666666666666</c:v>
                </c:pt>
                <c:pt idx="29">
                  <c:v>1109.33</c:v>
                </c:pt>
                <c:pt idx="30">
                  <c:v>1176.8800000000001</c:v>
                </c:pt>
                <c:pt idx="31">
                  <c:v>1225.4000000000001</c:v>
                </c:pt>
                <c:pt idx="32">
                  <c:v>1273.28</c:v>
                </c:pt>
                <c:pt idx="33">
                  <c:v>1345.25</c:v>
                </c:pt>
                <c:pt idx="34">
                  <c:v>1394.2666666666667</c:v>
                </c:pt>
                <c:pt idx="35">
                  <c:v>1416.25</c:v>
                </c:pt>
                <c:pt idx="36">
                  <c:v>1517.2833333333333</c:v>
                </c:pt>
                <c:pt idx="37">
                  <c:v>1561.9</c:v>
                </c:pt>
                <c:pt idx="38">
                  <c:v>1586.3</c:v>
                </c:pt>
                <c:pt idx="39">
                  <c:v>1610.5</c:v>
                </c:pt>
                <c:pt idx="40">
                  <c:v>1901.3333333333333</c:v>
                </c:pt>
                <c:pt idx="41">
                  <c:v>1921.0833333333333</c:v>
                </c:pt>
                <c:pt idx="42">
                  <c:v>1946.2666666666667</c:v>
                </c:pt>
                <c:pt idx="43">
                  <c:v>2065.9666666666662</c:v>
                </c:pt>
                <c:pt idx="44">
                  <c:v>2114.1333333333328</c:v>
                </c:pt>
                <c:pt idx="45">
                  <c:v>2186.0666666666662</c:v>
                </c:pt>
                <c:pt idx="46">
                  <c:v>2234.2333333333327</c:v>
                </c:pt>
                <c:pt idx="47">
                  <c:v>2280.3666666666663</c:v>
                </c:pt>
                <c:pt idx="48">
                  <c:v>2359.3499999999995</c:v>
                </c:pt>
              </c:numCache>
            </c:numRef>
          </c:xVal>
          <c:yVal>
            <c:numRef>
              <c:f>'Set 1 Pattern Check'!$C$3:$C$52</c:f>
              <c:numCache>
                <c:formatCode>0.00</c:formatCode>
                <c:ptCount val="50"/>
                <c:pt idx="0">
                  <c:v>6.1062109384499408</c:v>
                </c:pt>
                <c:pt idx="1">
                  <c:v>3.3009289657352689</c:v>
                </c:pt>
                <c:pt idx="2">
                  <c:v>3.4404562145862214</c:v>
                </c:pt>
                <c:pt idx="3">
                  <c:v>3.2251039614795354</c:v>
                </c:pt>
                <c:pt idx="4">
                  <c:v>3.3159213054157242</c:v>
                </c:pt>
                <c:pt idx="5">
                  <c:v>3.4978478149850445</c:v>
                </c:pt>
                <c:pt idx="6">
                  <c:v>3.1863281534982129</c:v>
                </c:pt>
                <c:pt idx="7">
                  <c:v>2.4226758685930512</c:v>
                </c:pt>
                <c:pt idx="8">
                  <c:v>2.2741658066735462</c:v>
                </c:pt>
                <c:pt idx="9">
                  <c:v>2.2041086171310629</c:v>
                </c:pt>
                <c:pt idx="10">
                  <c:v>2.0054717062263503</c:v>
                </c:pt>
                <c:pt idx="11">
                  <c:v>1.7919891640866874</c:v>
                </c:pt>
                <c:pt idx="12">
                  <c:v>1.6995399036807706</c:v>
                </c:pt>
                <c:pt idx="13">
                  <c:v>1.5906139582641259</c:v>
                </c:pt>
                <c:pt idx="14">
                  <c:v>1.6211961062623941</c:v>
                </c:pt>
                <c:pt idx="15">
                  <c:v>1.5755242150615567</c:v>
                </c:pt>
                <c:pt idx="16">
                  <c:v>1.5891442434491989</c:v>
                </c:pt>
                <c:pt idx="17">
                  <c:v>1.5690060949852149</c:v>
                </c:pt>
                <c:pt idx="18">
                  <c:v>1.4300283628024861</c:v>
                </c:pt>
                <c:pt idx="19">
                  <c:v>1.4224146601492567</c:v>
                </c:pt>
                <c:pt idx="20">
                  <c:v>1.4984913402932831</c:v>
                </c:pt>
                <c:pt idx="21">
                  <c:v>1.3021811681803621</c:v>
                </c:pt>
                <c:pt idx="22">
                  <c:v>1.2782616781872849</c:v>
                </c:pt>
                <c:pt idx="23">
                  <c:v>1.114265935133236</c:v>
                </c:pt>
                <c:pt idx="24">
                  <c:v>1.2326158772623172</c:v>
                </c:pt>
                <c:pt idx="25">
                  <c:v>1.3060436553778805</c:v>
                </c:pt>
                <c:pt idx="26">
                  <c:v>1.3292191078413491</c:v>
                </c:pt>
                <c:pt idx="27">
                  <c:v>1.4983570319034534</c:v>
                </c:pt>
                <c:pt idx="28">
                  <c:v>1.3269307364480025</c:v>
                </c:pt>
                <c:pt idx="29">
                  <c:v>1.3741039842404366</c:v>
                </c:pt>
                <c:pt idx="30">
                  <c:v>1.3645739864063451</c:v>
                </c:pt>
                <c:pt idx="31">
                  <c:v>1.2342481718700042</c:v>
                </c:pt>
                <c:pt idx="32">
                  <c:v>1.1618059990471263</c:v>
                </c:pt>
                <c:pt idx="33">
                  <c:v>1.08491723180164</c:v>
                </c:pt>
                <c:pt idx="34">
                  <c:v>0.83797098804853565</c:v>
                </c:pt>
                <c:pt idx="35">
                  <c:v>0.99876160356985677</c:v>
                </c:pt>
                <c:pt idx="36">
                  <c:v>0.95482411700287606</c:v>
                </c:pt>
                <c:pt idx="37">
                  <c:v>0.92642287655950961</c:v>
                </c:pt>
                <c:pt idx="38">
                  <c:v>1.1702078763188135</c:v>
                </c:pt>
                <c:pt idx="39">
                  <c:v>1.0155437167032277</c:v>
                </c:pt>
                <c:pt idx="40">
                  <c:v>0.96605034994254668</c:v>
                </c:pt>
                <c:pt idx="41">
                  <c:v>1.3104969011207042</c:v>
                </c:pt>
                <c:pt idx="42">
                  <c:v>0.88173183644203468</c:v>
                </c:pt>
                <c:pt idx="43">
                  <c:v>0.91580039485877762</c:v>
                </c:pt>
                <c:pt idx="44">
                  <c:v>1.4326221846166243</c:v>
                </c:pt>
                <c:pt idx="45">
                  <c:v>1.2532291391247294</c:v>
                </c:pt>
                <c:pt idx="46">
                  <c:v>1.3482182202767412</c:v>
                </c:pt>
                <c:pt idx="47">
                  <c:v>1.4603712671509284</c:v>
                </c:pt>
                <c:pt idx="48">
                  <c:v>1.4436440677966103</c:v>
                </c:pt>
                <c:pt idx="49">
                  <c:v>1.6800645682001616</c:v>
                </c:pt>
              </c:numCache>
            </c:numRef>
          </c:yVal>
          <c:smooth val="0"/>
          <c:extLst>
            <c:ext xmlns:c16="http://schemas.microsoft.com/office/drawing/2014/chart" uri="{C3380CC4-5D6E-409C-BE32-E72D297353CC}">
              <c16:uniqueId val="{00000000-34DC-AB49-A1B2-8E0FBA5F785C}"/>
            </c:ext>
          </c:extLst>
        </c:ser>
        <c:ser>
          <c:idx val="3"/>
          <c:order val="2"/>
          <c:tx>
            <c:v>pH Tank</c:v>
          </c:tx>
          <c:spPr>
            <a:ln w="25400" cap="rnd">
              <a:noFill/>
              <a:round/>
            </a:ln>
            <a:effectLst/>
          </c:spPr>
          <c:marker>
            <c:symbol val="triangle"/>
            <c:size val="7"/>
            <c:spPr>
              <a:noFill/>
              <a:ln w="9525">
                <a:solidFill>
                  <a:schemeClr val="tx2"/>
                </a:solidFill>
              </a:ln>
              <a:effectLst/>
            </c:spPr>
          </c:marker>
          <c:xVal>
            <c:numRef>
              <c:f>'Set 1 Pattern Check'!$A$22:$A$54</c:f>
              <c:numCache>
                <c:formatCode>0.00</c:formatCode>
                <c:ptCount val="33"/>
                <c:pt idx="0">
                  <c:v>721.68333333333328</c:v>
                </c:pt>
                <c:pt idx="1">
                  <c:v>744.58333333333337</c:v>
                </c:pt>
                <c:pt idx="2">
                  <c:v>768.7</c:v>
                </c:pt>
                <c:pt idx="3">
                  <c:v>840.81666666666672</c:v>
                </c:pt>
                <c:pt idx="4">
                  <c:v>863.58333333333337</c:v>
                </c:pt>
                <c:pt idx="5">
                  <c:v>888.4</c:v>
                </c:pt>
                <c:pt idx="6">
                  <c:v>919.36666666666667</c:v>
                </c:pt>
                <c:pt idx="7">
                  <c:v>937.95</c:v>
                </c:pt>
                <c:pt idx="8">
                  <c:v>1009.3</c:v>
                </c:pt>
                <c:pt idx="9">
                  <c:v>1033.3</c:v>
                </c:pt>
                <c:pt idx="10">
                  <c:v>1056.8666666666666</c:v>
                </c:pt>
                <c:pt idx="11">
                  <c:v>1109.33</c:v>
                </c:pt>
                <c:pt idx="12">
                  <c:v>1176.8800000000001</c:v>
                </c:pt>
                <c:pt idx="13">
                  <c:v>1225.4000000000001</c:v>
                </c:pt>
                <c:pt idx="14">
                  <c:v>1273.28</c:v>
                </c:pt>
                <c:pt idx="15">
                  <c:v>1345.25</c:v>
                </c:pt>
                <c:pt idx="16">
                  <c:v>1394.2666666666667</c:v>
                </c:pt>
                <c:pt idx="17">
                  <c:v>1416.25</c:v>
                </c:pt>
                <c:pt idx="18">
                  <c:v>1517.2833333333333</c:v>
                </c:pt>
                <c:pt idx="19">
                  <c:v>1561.9</c:v>
                </c:pt>
                <c:pt idx="20">
                  <c:v>1586.3</c:v>
                </c:pt>
                <c:pt idx="21">
                  <c:v>1610.5</c:v>
                </c:pt>
                <c:pt idx="22">
                  <c:v>1901.3333333333333</c:v>
                </c:pt>
                <c:pt idx="23">
                  <c:v>1921.0833333333333</c:v>
                </c:pt>
                <c:pt idx="24">
                  <c:v>1946.2666666666667</c:v>
                </c:pt>
                <c:pt idx="25">
                  <c:v>2065.9666666666662</c:v>
                </c:pt>
                <c:pt idx="26">
                  <c:v>2114.1333333333328</c:v>
                </c:pt>
                <c:pt idx="27">
                  <c:v>2186.0666666666662</c:v>
                </c:pt>
                <c:pt idx="28">
                  <c:v>2234.2333333333327</c:v>
                </c:pt>
                <c:pt idx="29">
                  <c:v>2280.3666666666663</c:v>
                </c:pt>
                <c:pt idx="30">
                  <c:v>2359.3499999999995</c:v>
                </c:pt>
                <c:pt idx="31">
                  <c:v>2407.2833333333328</c:v>
                </c:pt>
                <c:pt idx="32">
                  <c:v>2524.5666666666662</c:v>
                </c:pt>
              </c:numCache>
            </c:numRef>
          </c:xVal>
          <c:yVal>
            <c:numRef>
              <c:f>'Set 1 Pattern Check'!$J$22:$J$54</c:f>
              <c:numCache>
                <c:formatCode>General</c:formatCode>
                <c:ptCount val="33"/>
                <c:pt idx="0">
                  <c:v>6.82</c:v>
                </c:pt>
                <c:pt idx="1">
                  <c:v>6.71</c:v>
                </c:pt>
                <c:pt idx="2">
                  <c:v>6.67</c:v>
                </c:pt>
                <c:pt idx="3">
                  <c:v>6.68</c:v>
                </c:pt>
                <c:pt idx="4">
                  <c:v>6.94</c:v>
                </c:pt>
                <c:pt idx="5">
                  <c:v>6.87</c:v>
                </c:pt>
                <c:pt idx="6">
                  <c:v>6.94</c:v>
                </c:pt>
                <c:pt idx="7">
                  <c:v>6.76</c:v>
                </c:pt>
                <c:pt idx="8">
                  <c:v>7.15</c:v>
                </c:pt>
                <c:pt idx="9">
                  <c:v>6.95</c:v>
                </c:pt>
                <c:pt idx="10">
                  <c:v>7.95</c:v>
                </c:pt>
                <c:pt idx="11">
                  <c:v>7.45</c:v>
                </c:pt>
                <c:pt idx="12">
                  <c:v>7.55</c:v>
                </c:pt>
                <c:pt idx="13">
                  <c:v>7.5</c:v>
                </c:pt>
                <c:pt idx="14">
                  <c:v>7.07</c:v>
                </c:pt>
                <c:pt idx="15">
                  <c:v>7.37</c:v>
                </c:pt>
                <c:pt idx="16">
                  <c:v>7.21</c:v>
                </c:pt>
                <c:pt idx="17">
                  <c:v>6.91</c:v>
                </c:pt>
                <c:pt idx="18">
                  <c:v>7.14</c:v>
                </c:pt>
                <c:pt idx="19">
                  <c:v>6.89</c:v>
                </c:pt>
                <c:pt idx="20">
                  <c:v>7.03</c:v>
                </c:pt>
                <c:pt idx="21">
                  <c:v>7.22</c:v>
                </c:pt>
                <c:pt idx="22">
                  <c:v>0</c:v>
                </c:pt>
                <c:pt idx="23">
                  <c:v>0</c:v>
                </c:pt>
                <c:pt idx="24">
                  <c:v>7.46</c:v>
                </c:pt>
                <c:pt idx="25">
                  <c:v>7.75</c:v>
                </c:pt>
                <c:pt idx="26">
                  <c:v>7.98</c:v>
                </c:pt>
                <c:pt idx="27">
                  <c:v>7.83</c:v>
                </c:pt>
                <c:pt idx="28">
                  <c:v>7.92</c:v>
                </c:pt>
                <c:pt idx="29">
                  <c:v>7.91</c:v>
                </c:pt>
                <c:pt idx="30">
                  <c:v>7.85</c:v>
                </c:pt>
                <c:pt idx="31">
                  <c:v>7.44</c:v>
                </c:pt>
                <c:pt idx="32">
                  <c:v>7.36</c:v>
                </c:pt>
              </c:numCache>
            </c:numRef>
          </c:yVal>
          <c:smooth val="0"/>
          <c:extLst>
            <c:ext xmlns:c16="http://schemas.microsoft.com/office/drawing/2014/chart" uri="{C3380CC4-5D6E-409C-BE32-E72D297353CC}">
              <c16:uniqueId val="{00000001-B72A-6D43-AE39-8651D1859853}"/>
            </c:ext>
          </c:extLst>
        </c:ser>
        <c:ser>
          <c:idx val="4"/>
          <c:order val="3"/>
          <c:tx>
            <c:v>pH Set 1</c:v>
          </c:tx>
          <c:spPr>
            <a:ln w="25400" cap="rnd">
              <a:noFill/>
              <a:round/>
            </a:ln>
            <a:effectLst/>
          </c:spPr>
          <c:marker>
            <c:symbol val="triangle"/>
            <c:size val="7"/>
            <c:spPr>
              <a:solidFill>
                <a:schemeClr val="tx2"/>
              </a:solidFill>
              <a:ln w="9525">
                <a:solidFill>
                  <a:schemeClr val="accent5"/>
                </a:solidFill>
              </a:ln>
              <a:effectLst/>
            </c:spPr>
          </c:marker>
          <c:xVal>
            <c:numRef>
              <c:f>'Set 1 Pattern Check'!$A$22:$A$54</c:f>
              <c:numCache>
                <c:formatCode>0.00</c:formatCode>
                <c:ptCount val="33"/>
                <c:pt idx="0">
                  <c:v>721.68333333333328</c:v>
                </c:pt>
                <c:pt idx="1">
                  <c:v>744.58333333333337</c:v>
                </c:pt>
                <c:pt idx="2">
                  <c:v>768.7</c:v>
                </c:pt>
                <c:pt idx="3">
                  <c:v>840.81666666666672</c:v>
                </c:pt>
                <c:pt idx="4">
                  <c:v>863.58333333333337</c:v>
                </c:pt>
                <c:pt idx="5">
                  <c:v>888.4</c:v>
                </c:pt>
                <c:pt idx="6">
                  <c:v>919.36666666666667</c:v>
                </c:pt>
                <c:pt idx="7">
                  <c:v>937.95</c:v>
                </c:pt>
                <c:pt idx="8">
                  <c:v>1009.3</c:v>
                </c:pt>
                <c:pt idx="9">
                  <c:v>1033.3</c:v>
                </c:pt>
                <c:pt idx="10">
                  <c:v>1056.8666666666666</c:v>
                </c:pt>
                <c:pt idx="11">
                  <c:v>1109.33</c:v>
                </c:pt>
                <c:pt idx="12">
                  <c:v>1176.8800000000001</c:v>
                </c:pt>
                <c:pt idx="13">
                  <c:v>1225.4000000000001</c:v>
                </c:pt>
                <c:pt idx="14">
                  <c:v>1273.28</c:v>
                </c:pt>
                <c:pt idx="15">
                  <c:v>1345.25</c:v>
                </c:pt>
                <c:pt idx="16">
                  <c:v>1394.2666666666667</c:v>
                </c:pt>
                <c:pt idx="17">
                  <c:v>1416.25</c:v>
                </c:pt>
                <c:pt idx="18">
                  <c:v>1517.2833333333333</c:v>
                </c:pt>
                <c:pt idx="19">
                  <c:v>1561.9</c:v>
                </c:pt>
                <c:pt idx="20">
                  <c:v>1586.3</c:v>
                </c:pt>
                <c:pt idx="21">
                  <c:v>1610.5</c:v>
                </c:pt>
                <c:pt idx="22">
                  <c:v>1901.3333333333333</c:v>
                </c:pt>
                <c:pt idx="23">
                  <c:v>1921.0833333333333</c:v>
                </c:pt>
                <c:pt idx="24">
                  <c:v>1946.2666666666667</c:v>
                </c:pt>
                <c:pt idx="25">
                  <c:v>2065.9666666666662</c:v>
                </c:pt>
                <c:pt idx="26">
                  <c:v>2114.1333333333328</c:v>
                </c:pt>
                <c:pt idx="27">
                  <c:v>2186.0666666666662</c:v>
                </c:pt>
                <c:pt idx="28">
                  <c:v>2234.2333333333327</c:v>
                </c:pt>
                <c:pt idx="29">
                  <c:v>2280.3666666666663</c:v>
                </c:pt>
                <c:pt idx="30">
                  <c:v>2359.3499999999995</c:v>
                </c:pt>
                <c:pt idx="31">
                  <c:v>2407.2833333333328</c:v>
                </c:pt>
                <c:pt idx="32">
                  <c:v>2524.5666666666662</c:v>
                </c:pt>
              </c:numCache>
            </c:numRef>
          </c:xVal>
          <c:yVal>
            <c:numRef>
              <c:f>'Set 1 Pattern Check'!$M$22:$M$54</c:f>
              <c:numCache>
                <c:formatCode>General</c:formatCode>
                <c:ptCount val="33"/>
                <c:pt idx="0">
                  <c:v>9.9766666666666666</c:v>
                </c:pt>
                <c:pt idx="1">
                  <c:v>10.013333333333334</c:v>
                </c:pt>
                <c:pt idx="2">
                  <c:v>9.9699999999999989</c:v>
                </c:pt>
                <c:pt idx="3">
                  <c:v>9.9933333333333323</c:v>
                </c:pt>
                <c:pt idx="4">
                  <c:v>9.9633333333333329</c:v>
                </c:pt>
                <c:pt idx="5">
                  <c:v>9.9833333333333343</c:v>
                </c:pt>
                <c:pt idx="6">
                  <c:v>9.9099999999999984</c:v>
                </c:pt>
                <c:pt idx="7">
                  <c:v>9.9033333333333342</c:v>
                </c:pt>
                <c:pt idx="8">
                  <c:v>9.4666666666666668</c:v>
                </c:pt>
                <c:pt idx="9">
                  <c:v>9.5833333333333339</c:v>
                </c:pt>
                <c:pt idx="10">
                  <c:v>9.3666666666666671</c:v>
                </c:pt>
                <c:pt idx="11">
                  <c:v>9.4666666666666668</c:v>
                </c:pt>
                <c:pt idx="12">
                  <c:v>9.35</c:v>
                </c:pt>
                <c:pt idx="13">
                  <c:v>9.5233333333333334</c:v>
                </c:pt>
                <c:pt idx="14">
                  <c:v>9.4133333333333322</c:v>
                </c:pt>
                <c:pt idx="15">
                  <c:v>9.3533333333333335</c:v>
                </c:pt>
                <c:pt idx="16">
                  <c:v>9.1199999999999992</c:v>
                </c:pt>
                <c:pt idx="17">
                  <c:v>9.1666666666666661</c:v>
                </c:pt>
                <c:pt idx="18">
                  <c:v>9.0666666666666647</c:v>
                </c:pt>
                <c:pt idx="19">
                  <c:v>8.9466666666666672</c:v>
                </c:pt>
                <c:pt idx="20">
                  <c:v>8.9333333333333318</c:v>
                </c:pt>
                <c:pt idx="21">
                  <c:v>8.7999999999999989</c:v>
                </c:pt>
                <c:pt idx="22">
                  <c:v>0</c:v>
                </c:pt>
                <c:pt idx="23">
                  <c:v>0</c:v>
                </c:pt>
                <c:pt idx="24">
                  <c:v>8.7799999999999994</c:v>
                </c:pt>
                <c:pt idx="25">
                  <c:v>9.2633333333333336</c:v>
                </c:pt>
                <c:pt idx="26">
                  <c:v>8.8833333333333329</c:v>
                </c:pt>
                <c:pt idx="27">
                  <c:v>8.9599999999999991</c:v>
                </c:pt>
                <c:pt idx="28">
                  <c:v>8.8500000000000014</c:v>
                </c:pt>
                <c:pt idx="29">
                  <c:v>8.93</c:v>
                </c:pt>
                <c:pt idx="30">
                  <c:v>8.913333333333334</c:v>
                </c:pt>
                <c:pt idx="31">
                  <c:v>9.1566666666666663</c:v>
                </c:pt>
                <c:pt idx="32">
                  <c:v>9.2066666666666652</c:v>
                </c:pt>
              </c:numCache>
            </c:numRef>
          </c:yVal>
          <c:smooth val="0"/>
          <c:extLst>
            <c:ext xmlns:c16="http://schemas.microsoft.com/office/drawing/2014/chart" uri="{C3380CC4-5D6E-409C-BE32-E72D297353CC}">
              <c16:uniqueId val="{00000002-B72A-6D43-AE39-8651D1859853}"/>
            </c:ext>
          </c:extLst>
        </c:ser>
        <c:ser>
          <c:idx val="5"/>
          <c:order val="4"/>
          <c:tx>
            <c:v>Fluoride 1 0</c:v>
          </c:tx>
          <c:spPr>
            <a:ln w="25400" cap="rnd">
              <a:noFill/>
              <a:round/>
            </a:ln>
            <a:effectLst/>
          </c:spPr>
          <c:marker>
            <c:symbol val="circle"/>
            <c:size val="7"/>
            <c:spPr>
              <a:pattFill prst="sphere">
                <a:fgClr>
                  <a:schemeClr val="tx2"/>
                </a:fgClr>
                <a:bgClr>
                  <a:schemeClr val="bg1"/>
                </a:bgClr>
              </a:pattFill>
              <a:ln w="9525">
                <a:solidFill>
                  <a:schemeClr val="accent6"/>
                </a:solidFill>
              </a:ln>
              <a:effectLst/>
            </c:spPr>
          </c:marker>
          <c:xVal>
            <c:numRef>
              <c:f>'Set 1 Pattern Check'!$A$3:$A$52</c:f>
              <c:numCache>
                <c:formatCode>0.00</c:formatCode>
                <c:ptCount val="50"/>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numCache>
            </c:numRef>
          </c:xVal>
          <c:yVal>
            <c:numRef>
              <c:f>'Set 1 Pattern Check'!$B$3:$B$52</c:f>
              <c:numCache>
                <c:formatCode>0.00</c:formatCode>
                <c:ptCount val="50"/>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pt idx="45">
                  <c:v>0.51158964716942334</c:v>
                </c:pt>
                <c:pt idx="46">
                  <c:v>0.55548047827491998</c:v>
                </c:pt>
                <c:pt idx="47">
                  <c:v>0.62963075060532681</c:v>
                </c:pt>
                <c:pt idx="48">
                  <c:v>0.70226997578692496</c:v>
                </c:pt>
                <c:pt idx="49">
                  <c:v>0.97433414043583533</c:v>
                </c:pt>
              </c:numCache>
            </c:numRef>
          </c:yVal>
          <c:smooth val="0"/>
          <c:extLst>
            <c:ext xmlns:c16="http://schemas.microsoft.com/office/drawing/2014/chart" uri="{C3380CC4-5D6E-409C-BE32-E72D297353CC}">
              <c16:uniqueId val="{00000003-B72A-6D43-AE39-8651D1859853}"/>
            </c:ext>
          </c:extLst>
        </c:ser>
        <c:ser>
          <c:idx val="6"/>
          <c:order val="5"/>
          <c:tx>
            <c:v>Fluoride Control</c:v>
          </c:tx>
          <c:spPr>
            <a:ln w="25400" cap="rnd">
              <a:noFill/>
              <a:round/>
            </a:ln>
            <a:effectLst/>
          </c:spPr>
          <c:marker>
            <c:symbol val="circle"/>
            <c:size val="5"/>
            <c:spPr>
              <a:noFill/>
              <a:ln w="9525">
                <a:solidFill>
                  <a:schemeClr val="accent1">
                    <a:lumMod val="60000"/>
                  </a:schemeClr>
                </a:solidFill>
              </a:ln>
              <a:effectLst/>
            </c:spPr>
          </c:marker>
          <c:dPt>
            <c:idx val="48"/>
            <c:marker>
              <c:symbol val="circle"/>
              <c:size val="7"/>
              <c:spPr>
                <a:noFill/>
                <a:ln w="9525">
                  <a:solidFill>
                    <a:schemeClr val="accent1">
                      <a:lumMod val="60000"/>
                    </a:schemeClr>
                  </a:solidFill>
                </a:ln>
                <a:effectLst/>
              </c:spPr>
            </c:marker>
            <c:bubble3D val="0"/>
            <c:extLst>
              <c:ext xmlns:c16="http://schemas.microsoft.com/office/drawing/2014/chart" uri="{C3380CC4-5D6E-409C-BE32-E72D297353CC}">
                <c16:uniqueId val="{00000001-6044-8046-81AD-FAB98427B209}"/>
              </c:ext>
            </c:extLst>
          </c:dPt>
          <c:xVal>
            <c:numRef>
              <c:f>'Set 1 Pattern Check'!$A$3:$A$52</c:f>
              <c:numCache>
                <c:formatCode>0.00</c:formatCode>
                <c:ptCount val="50"/>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numCache>
            </c:numRef>
          </c:xVal>
          <c:yVal>
            <c:numRef>
              <c:f>'Set 1 Pattern Check'!$D$3:$D$52</c:f>
              <c:numCache>
                <c:formatCode>0.00</c:formatCode>
                <c:ptCount val="50"/>
                <c:pt idx="0">
                  <c:v>0.94739913912599394</c:v>
                </c:pt>
                <c:pt idx="1">
                  <c:v>0.51648792587728898</c:v>
                </c:pt>
                <c:pt idx="2">
                  <c:v>0</c:v>
                </c:pt>
                <c:pt idx="3">
                  <c:v>0</c:v>
                </c:pt>
                <c:pt idx="4">
                  <c:v>0</c:v>
                </c:pt>
                <c:pt idx="5">
                  <c:v>0</c:v>
                </c:pt>
                <c:pt idx="6">
                  <c:v>0</c:v>
                </c:pt>
                <c:pt idx="7">
                  <c:v>0</c:v>
                </c:pt>
                <c:pt idx="8">
                  <c:v>0</c:v>
                </c:pt>
                <c:pt idx="9">
                  <c:v>0</c:v>
                </c:pt>
                <c:pt idx="10">
                  <c:v>0</c:v>
                </c:pt>
                <c:pt idx="11">
                  <c:v>0</c:v>
                </c:pt>
                <c:pt idx="12">
                  <c:v>0</c:v>
                </c:pt>
                <c:pt idx="13">
                  <c:v>8.235436233503457E-2</c:v>
                </c:pt>
                <c:pt idx="14">
                  <c:v>8.3079153202669648E-2</c:v>
                </c:pt>
                <c:pt idx="15">
                  <c:v>4.5239029988222143E-2</c:v>
                </c:pt>
                <c:pt idx="16">
                  <c:v>4.2611663093045024E-2</c:v>
                </c:pt>
                <c:pt idx="17">
                  <c:v>5.3104821676422664E-2</c:v>
                </c:pt>
                <c:pt idx="18">
                  <c:v>4.3751131494780042E-2</c:v>
                </c:pt>
                <c:pt idx="19">
                  <c:v>6.4087864341319162E-2</c:v>
                </c:pt>
                <c:pt idx="20">
                  <c:v>8.6597067165530131E-2</c:v>
                </c:pt>
                <c:pt idx="21">
                  <c:v>0</c:v>
                </c:pt>
                <c:pt idx="22">
                  <c:v>0</c:v>
                </c:pt>
                <c:pt idx="23">
                  <c:v>0</c:v>
                </c:pt>
                <c:pt idx="24">
                  <c:v>4.6999452787742452E-2</c:v>
                </c:pt>
                <c:pt idx="25">
                  <c:v>4.9066699094059703E-2</c:v>
                </c:pt>
                <c:pt idx="26">
                  <c:v>5.4934030522283697E-2</c:v>
                </c:pt>
                <c:pt idx="27">
                  <c:v>2.9394192854582387E-2</c:v>
                </c:pt>
                <c:pt idx="28">
                  <c:v>2.9663042179471862E-2</c:v>
                </c:pt>
                <c:pt idx="29">
                  <c:v>5.3714533246696991E-2</c:v>
                </c:pt>
                <c:pt idx="30">
                  <c:v>0.10105510690306012</c:v>
                </c:pt>
                <c:pt idx="31">
                  <c:v>4.2575574739317432E-2</c:v>
                </c:pt>
                <c:pt idx="32">
                  <c:v>4.5585865036645079E-2</c:v>
                </c:pt>
                <c:pt idx="33">
                  <c:v>4.1723687011525706E-2</c:v>
                </c:pt>
                <c:pt idx="34">
                  <c:v>4.4186965909436493E-2</c:v>
                </c:pt>
                <c:pt idx="35">
                  <c:v>0</c:v>
                </c:pt>
                <c:pt idx="36">
                  <c:v>-4.5134944272160662E-3</c:v>
                </c:pt>
                <c:pt idx="37">
                  <c:v>2.7633639350302375E-4</c:v>
                </c:pt>
                <c:pt idx="38">
                  <c:v>1.3757442807897209E-2</c:v>
                </c:pt>
                <c:pt idx="39">
                  <c:v>1.6170479473519277E-2</c:v>
                </c:pt>
                <c:pt idx="40">
                  <c:v>3.0460670636164217E-2</c:v>
                </c:pt>
                <c:pt idx="41">
                  <c:v>9.5706750744025695E-2</c:v>
                </c:pt>
                <c:pt idx="42">
                  <c:v>6.2468691988095598E-2</c:v>
                </c:pt>
                <c:pt idx="43">
                  <c:v>3.1729723195938579E-3</c:v>
                </c:pt>
                <c:pt idx="44">
                  <c:v>1.6590112413876461E-2</c:v>
                </c:pt>
                <c:pt idx="45">
                  <c:v>0.1258556361820265</c:v>
                </c:pt>
                <c:pt idx="46">
                  <c:v>0.13690178912423984</c:v>
                </c:pt>
                <c:pt idx="47">
                  <c:v>8.4140435835351069E-3</c:v>
                </c:pt>
                <c:pt idx="48">
                  <c:v>3.6743341404358358E-2</c:v>
                </c:pt>
                <c:pt idx="49">
                  <c:v>1.6071428571428573E-2</c:v>
                </c:pt>
              </c:numCache>
            </c:numRef>
          </c:yVal>
          <c:smooth val="0"/>
          <c:extLst>
            <c:ext xmlns:c16="http://schemas.microsoft.com/office/drawing/2014/chart" uri="{C3380CC4-5D6E-409C-BE32-E72D297353CC}">
              <c16:uniqueId val="{00000004-B72A-6D43-AE39-8651D1859853}"/>
            </c:ext>
          </c:extLst>
        </c:ser>
        <c:dLbls>
          <c:showLegendKey val="0"/>
          <c:showVal val="0"/>
          <c:showCatName val="0"/>
          <c:showSerName val="0"/>
          <c:showPercent val="0"/>
          <c:showBubbleSize val="0"/>
        </c:dLbls>
        <c:axId val="212964256"/>
        <c:axId val="1960516287"/>
      </c:scatterChart>
      <c:scatterChart>
        <c:scatterStyle val="lineMarker"/>
        <c:varyColors val="0"/>
        <c:ser>
          <c:idx val="1"/>
          <c:order val="1"/>
          <c:tx>
            <c:v>TOC</c:v>
          </c:tx>
          <c:spPr>
            <a:ln w="25400" cap="rnd">
              <a:noFill/>
              <a:round/>
            </a:ln>
            <a:effectLst/>
          </c:spPr>
          <c:marker>
            <c:symbol val="square"/>
            <c:size val="7"/>
            <c:spPr>
              <a:solidFill>
                <a:schemeClr val="tx1"/>
              </a:solidFill>
              <a:ln w="9525">
                <a:solidFill>
                  <a:schemeClr val="tx1"/>
                </a:solidFill>
              </a:ln>
              <a:effectLst/>
            </c:spPr>
          </c:marker>
          <c:xVal>
            <c:numRef>
              <c:f>'Set 1 Pattern Check'!$A$29:$A$50</c:f>
              <c:numCache>
                <c:formatCode>0.00</c:formatCode>
                <c:ptCount val="22"/>
                <c:pt idx="0">
                  <c:v>937.95</c:v>
                </c:pt>
                <c:pt idx="1">
                  <c:v>1009.3</c:v>
                </c:pt>
                <c:pt idx="2">
                  <c:v>1033.3</c:v>
                </c:pt>
                <c:pt idx="3">
                  <c:v>1056.8666666666666</c:v>
                </c:pt>
                <c:pt idx="4">
                  <c:v>1109.33</c:v>
                </c:pt>
                <c:pt idx="5">
                  <c:v>1176.8800000000001</c:v>
                </c:pt>
                <c:pt idx="6">
                  <c:v>1225.4000000000001</c:v>
                </c:pt>
                <c:pt idx="7">
                  <c:v>1273.28</c:v>
                </c:pt>
                <c:pt idx="8">
                  <c:v>1345.25</c:v>
                </c:pt>
                <c:pt idx="9">
                  <c:v>1394.2666666666667</c:v>
                </c:pt>
                <c:pt idx="10">
                  <c:v>1416.25</c:v>
                </c:pt>
                <c:pt idx="11">
                  <c:v>1517.2833333333333</c:v>
                </c:pt>
                <c:pt idx="12">
                  <c:v>1561.9</c:v>
                </c:pt>
                <c:pt idx="13">
                  <c:v>1586.3</c:v>
                </c:pt>
                <c:pt idx="14">
                  <c:v>1610.5</c:v>
                </c:pt>
                <c:pt idx="15">
                  <c:v>1901.3333333333333</c:v>
                </c:pt>
                <c:pt idx="16">
                  <c:v>1921.0833333333333</c:v>
                </c:pt>
                <c:pt idx="17">
                  <c:v>1946.2666666666667</c:v>
                </c:pt>
                <c:pt idx="18">
                  <c:v>2065.9666666666662</c:v>
                </c:pt>
                <c:pt idx="19">
                  <c:v>2114.1333333333328</c:v>
                </c:pt>
                <c:pt idx="20">
                  <c:v>2186.0666666666662</c:v>
                </c:pt>
                <c:pt idx="21">
                  <c:v>2234.2333333333327</c:v>
                </c:pt>
              </c:numCache>
            </c:numRef>
          </c:xVal>
          <c:yVal>
            <c:numRef>
              <c:f>'Set 1 Pattern Check'!$I$29:$I$50</c:f>
              <c:numCache>
                <c:formatCode>0.00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yVal>
          <c:smooth val="0"/>
          <c:extLst>
            <c:ext xmlns:c16="http://schemas.microsoft.com/office/drawing/2014/chart" uri="{C3380CC4-5D6E-409C-BE32-E72D297353CC}">
              <c16:uniqueId val="{00000002-34DC-AB49-A1B2-8E0FBA5F785C}"/>
            </c:ext>
          </c:extLst>
        </c:ser>
        <c:ser>
          <c:idx val="8"/>
          <c:order val="6"/>
          <c:tx>
            <c:v>TOC Control</c:v>
          </c:tx>
          <c:spPr>
            <a:ln w="25400" cap="rnd">
              <a:noFill/>
              <a:round/>
            </a:ln>
            <a:effectLst/>
          </c:spPr>
          <c:marker>
            <c:symbol val="square"/>
            <c:size val="7"/>
            <c:spPr>
              <a:noFill/>
              <a:ln w="9525">
                <a:solidFill>
                  <a:schemeClr val="tx1"/>
                </a:solidFill>
              </a:ln>
              <a:effectLst/>
            </c:spPr>
          </c:marker>
          <c:xVal>
            <c:numRef>
              <c:f>'Set 1 Pattern Check'!$A$30:$A$50</c:f>
              <c:numCache>
                <c:formatCode>0.00</c:formatCode>
                <c:ptCount val="21"/>
                <c:pt idx="0">
                  <c:v>1009.3</c:v>
                </c:pt>
                <c:pt idx="1">
                  <c:v>1033.3</c:v>
                </c:pt>
                <c:pt idx="2">
                  <c:v>1056.8666666666666</c:v>
                </c:pt>
                <c:pt idx="3">
                  <c:v>1109.33</c:v>
                </c:pt>
                <c:pt idx="4">
                  <c:v>1176.8800000000001</c:v>
                </c:pt>
                <c:pt idx="5">
                  <c:v>1225.4000000000001</c:v>
                </c:pt>
                <c:pt idx="6">
                  <c:v>1273.28</c:v>
                </c:pt>
                <c:pt idx="7">
                  <c:v>1345.25</c:v>
                </c:pt>
                <c:pt idx="8">
                  <c:v>1394.2666666666667</c:v>
                </c:pt>
                <c:pt idx="9">
                  <c:v>1416.25</c:v>
                </c:pt>
                <c:pt idx="10">
                  <c:v>1517.2833333333333</c:v>
                </c:pt>
                <c:pt idx="11">
                  <c:v>1561.9</c:v>
                </c:pt>
                <c:pt idx="12">
                  <c:v>1586.3</c:v>
                </c:pt>
                <c:pt idx="13">
                  <c:v>1610.5</c:v>
                </c:pt>
                <c:pt idx="14">
                  <c:v>1901.3333333333333</c:v>
                </c:pt>
                <c:pt idx="15">
                  <c:v>1921.0833333333333</c:v>
                </c:pt>
                <c:pt idx="16">
                  <c:v>1946.2666666666667</c:v>
                </c:pt>
                <c:pt idx="17">
                  <c:v>2065.9666666666662</c:v>
                </c:pt>
                <c:pt idx="18">
                  <c:v>2114.1333333333328</c:v>
                </c:pt>
                <c:pt idx="19">
                  <c:v>2186.0666666666662</c:v>
                </c:pt>
                <c:pt idx="20">
                  <c:v>2234.2333333333327</c:v>
                </c:pt>
              </c:numCache>
            </c:numRef>
          </c:xVal>
          <c:yVal>
            <c:numRef>
              <c:f>'Set 1 Pattern Check'!$H$29:$H$50</c:f>
              <c:numCache>
                <c:formatCode>0.00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yVal>
          <c:smooth val="0"/>
          <c:extLst>
            <c:ext xmlns:c16="http://schemas.microsoft.com/office/drawing/2014/chart" uri="{C3380CC4-5D6E-409C-BE32-E72D297353CC}">
              <c16:uniqueId val="{00000006-B72A-6D43-AE39-8651D1859853}"/>
            </c:ext>
          </c:extLst>
        </c:ser>
        <c:dLbls>
          <c:showLegendKey val="0"/>
          <c:showVal val="0"/>
          <c:showCatName val="0"/>
          <c:showSerName val="0"/>
          <c:showPercent val="0"/>
          <c:showBubbleSize val="0"/>
        </c:dLbls>
        <c:axId val="1822490271"/>
        <c:axId val="1776896671"/>
      </c:scatterChart>
      <c:valAx>
        <c:axId val="2129642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0516287"/>
        <c:crosses val="autoZero"/>
        <c:crossBetween val="midCat"/>
      </c:valAx>
      <c:valAx>
        <c:axId val="196051628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64256"/>
        <c:crosses val="autoZero"/>
        <c:crossBetween val="midCat"/>
      </c:valAx>
      <c:valAx>
        <c:axId val="1776896671"/>
        <c:scaling>
          <c:orientation val="minMax"/>
        </c:scaling>
        <c:delete val="0"/>
        <c:axPos val="r"/>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490271"/>
        <c:crosses val="max"/>
        <c:crossBetween val="midCat"/>
      </c:valAx>
      <c:valAx>
        <c:axId val="1822490271"/>
        <c:scaling>
          <c:orientation val="minMax"/>
        </c:scaling>
        <c:delete val="1"/>
        <c:axPos val="b"/>
        <c:numFmt formatCode="0.00" sourceLinked="1"/>
        <c:majorTickMark val="out"/>
        <c:minorTickMark val="none"/>
        <c:tickLblPos val="nextTo"/>
        <c:crossAx val="17768966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 1: Percentage of Influent TOC Passing Through Columns to Effluent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1Cntrl TOC</c:v>
          </c:tx>
          <c:spPr>
            <a:ln w="19050" cap="rnd">
              <a:noFill/>
              <a:round/>
            </a:ln>
            <a:effectLst/>
          </c:spPr>
          <c:marker>
            <c:symbol val="circle"/>
            <c:size val="5"/>
            <c:spPr>
              <a:noFill/>
              <a:ln w="9525">
                <a:solidFill>
                  <a:schemeClr val="accent1"/>
                </a:solidFill>
              </a:ln>
              <a:effectLst/>
            </c:spPr>
          </c:marker>
          <c:xVal>
            <c:numRef>
              <c:f>'Set 1 Pattern Check'!$A$30:$A$56</c:f>
              <c:numCache>
                <c:formatCode>0.00</c:formatCode>
                <c:ptCount val="27"/>
                <c:pt idx="0">
                  <c:v>1009.3</c:v>
                </c:pt>
                <c:pt idx="1">
                  <c:v>1033.3</c:v>
                </c:pt>
                <c:pt idx="2">
                  <c:v>1056.8666666666666</c:v>
                </c:pt>
                <c:pt idx="3">
                  <c:v>1109.33</c:v>
                </c:pt>
                <c:pt idx="4">
                  <c:v>1176.8800000000001</c:v>
                </c:pt>
                <c:pt idx="5">
                  <c:v>1225.4000000000001</c:v>
                </c:pt>
                <c:pt idx="6">
                  <c:v>1273.28</c:v>
                </c:pt>
                <c:pt idx="7">
                  <c:v>1345.25</c:v>
                </c:pt>
                <c:pt idx="8">
                  <c:v>1394.2666666666667</c:v>
                </c:pt>
                <c:pt idx="9">
                  <c:v>1416.25</c:v>
                </c:pt>
                <c:pt idx="10">
                  <c:v>1517.2833333333333</c:v>
                </c:pt>
                <c:pt idx="11">
                  <c:v>1561.9</c:v>
                </c:pt>
                <c:pt idx="12">
                  <c:v>1586.3</c:v>
                </c:pt>
                <c:pt idx="13">
                  <c:v>1610.5</c:v>
                </c:pt>
                <c:pt idx="14">
                  <c:v>1901.3333333333333</c:v>
                </c:pt>
                <c:pt idx="15">
                  <c:v>1921.0833333333333</c:v>
                </c:pt>
                <c:pt idx="16">
                  <c:v>1946.2666666666667</c:v>
                </c:pt>
                <c:pt idx="17">
                  <c:v>2065.9666666666662</c:v>
                </c:pt>
                <c:pt idx="18">
                  <c:v>2114.1333333333328</c:v>
                </c:pt>
                <c:pt idx="19">
                  <c:v>2186.0666666666662</c:v>
                </c:pt>
                <c:pt idx="20">
                  <c:v>2234.2333333333327</c:v>
                </c:pt>
                <c:pt idx="21">
                  <c:v>2280.3666666666663</c:v>
                </c:pt>
                <c:pt idx="22">
                  <c:v>2359.3499999999995</c:v>
                </c:pt>
                <c:pt idx="23">
                  <c:v>2407.2833333333328</c:v>
                </c:pt>
                <c:pt idx="24">
                  <c:v>2524.5666666666662</c:v>
                </c:pt>
                <c:pt idx="25">
                  <c:v>2617.1999999999994</c:v>
                </c:pt>
                <c:pt idx="26">
                  <c:v>2688.583333333333</c:v>
                </c:pt>
              </c:numCache>
            </c:numRef>
          </c:xVal>
          <c:yVal>
            <c:numRef>
              <c:f>'Set 1 Pattern Check'!$H$30:$H$56</c:f>
              <c:numCache>
                <c:formatCode>0.00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0-2AA3-3947-97C5-134F5ACE9291}"/>
            </c:ext>
          </c:extLst>
        </c:ser>
        <c:ser>
          <c:idx val="1"/>
          <c:order val="1"/>
          <c:tx>
            <c:v>Set 1 TOC</c:v>
          </c:tx>
          <c:spPr>
            <a:ln w="25400" cap="rnd">
              <a:noFill/>
              <a:round/>
            </a:ln>
            <a:effectLst/>
          </c:spPr>
          <c:marker>
            <c:symbol val="circle"/>
            <c:size val="5"/>
            <c:spPr>
              <a:solidFill>
                <a:srgbClr val="0070C0"/>
              </a:solidFill>
              <a:ln w="9525">
                <a:solidFill>
                  <a:schemeClr val="accent1">
                    <a:lumMod val="75000"/>
                  </a:schemeClr>
                </a:solidFill>
              </a:ln>
              <a:effectLst/>
            </c:spPr>
          </c:marker>
          <c:xVal>
            <c:numRef>
              <c:f>'Set 1 Pattern Check'!$A$30:$A$56</c:f>
              <c:numCache>
                <c:formatCode>0.00</c:formatCode>
                <c:ptCount val="27"/>
                <c:pt idx="0">
                  <c:v>1009.3</c:v>
                </c:pt>
                <c:pt idx="1">
                  <c:v>1033.3</c:v>
                </c:pt>
                <c:pt idx="2">
                  <c:v>1056.8666666666666</c:v>
                </c:pt>
                <c:pt idx="3">
                  <c:v>1109.33</c:v>
                </c:pt>
                <c:pt idx="4">
                  <c:v>1176.8800000000001</c:v>
                </c:pt>
                <c:pt idx="5">
                  <c:v>1225.4000000000001</c:v>
                </c:pt>
                <c:pt idx="6">
                  <c:v>1273.28</c:v>
                </c:pt>
                <c:pt idx="7">
                  <c:v>1345.25</c:v>
                </c:pt>
                <c:pt idx="8">
                  <c:v>1394.2666666666667</c:v>
                </c:pt>
                <c:pt idx="9">
                  <c:v>1416.25</c:v>
                </c:pt>
                <c:pt idx="10">
                  <c:v>1517.2833333333333</c:v>
                </c:pt>
                <c:pt idx="11">
                  <c:v>1561.9</c:v>
                </c:pt>
                <c:pt idx="12">
                  <c:v>1586.3</c:v>
                </c:pt>
                <c:pt idx="13">
                  <c:v>1610.5</c:v>
                </c:pt>
                <c:pt idx="14">
                  <c:v>1901.3333333333333</c:v>
                </c:pt>
                <c:pt idx="15">
                  <c:v>1921.0833333333333</c:v>
                </c:pt>
                <c:pt idx="16">
                  <c:v>1946.2666666666667</c:v>
                </c:pt>
                <c:pt idx="17">
                  <c:v>2065.9666666666662</c:v>
                </c:pt>
                <c:pt idx="18">
                  <c:v>2114.1333333333328</c:v>
                </c:pt>
                <c:pt idx="19">
                  <c:v>2186.0666666666662</c:v>
                </c:pt>
                <c:pt idx="20">
                  <c:v>2234.2333333333327</c:v>
                </c:pt>
                <c:pt idx="21">
                  <c:v>2280.3666666666663</c:v>
                </c:pt>
                <c:pt idx="22">
                  <c:v>2359.3499999999995</c:v>
                </c:pt>
                <c:pt idx="23">
                  <c:v>2407.2833333333328</c:v>
                </c:pt>
                <c:pt idx="24">
                  <c:v>2524.5666666666662</c:v>
                </c:pt>
                <c:pt idx="25">
                  <c:v>2617.1999999999994</c:v>
                </c:pt>
                <c:pt idx="26">
                  <c:v>2688.583333333333</c:v>
                </c:pt>
              </c:numCache>
            </c:numRef>
          </c:xVal>
          <c:yVal>
            <c:numRef>
              <c:f>'Set 1 Pattern Check'!$I$30:$I$56</c:f>
              <c:numCache>
                <c:formatCode>0.00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2-2AA3-3947-97C5-134F5ACE9291}"/>
            </c:ext>
          </c:extLst>
        </c:ser>
        <c:ser>
          <c:idx val="2"/>
          <c:order val="2"/>
          <c:tx>
            <c:v>DOM 20ppm loading</c:v>
          </c:tx>
          <c:spPr>
            <a:ln w="25400" cap="rnd">
              <a:solidFill>
                <a:srgbClr val="00B050"/>
              </a:solidFill>
              <a:round/>
            </a:ln>
            <a:effectLst/>
          </c:spPr>
          <c:marker>
            <c:symbol val="circle"/>
            <c:size val="5"/>
            <c:spPr>
              <a:solidFill>
                <a:srgbClr val="00B050"/>
              </a:solidFill>
              <a:ln w="9525">
                <a:solidFill>
                  <a:srgbClr val="00B050"/>
                </a:solidFill>
              </a:ln>
              <a:effectLst/>
            </c:spPr>
          </c:marker>
          <c:xVal>
            <c:numRef>
              <c:f>'Set 1 Pattern Check'!$F$3:$F$4</c:f>
              <c:numCache>
                <c:formatCode>General</c:formatCode>
                <c:ptCount val="2"/>
                <c:pt idx="0" formatCode="0.00">
                  <c:v>1910</c:v>
                </c:pt>
                <c:pt idx="1">
                  <c:v>1910</c:v>
                </c:pt>
              </c:numCache>
            </c:numRef>
          </c:xVal>
          <c:yVal>
            <c:numRef>
              <c:f>'Set 1 Pattern Check'!$G$3:$G$4</c:f>
              <c:numCache>
                <c:formatCode>General</c:formatCode>
                <c:ptCount val="2"/>
                <c:pt idx="0">
                  <c:v>0</c:v>
                </c:pt>
                <c:pt idx="1">
                  <c:v>100</c:v>
                </c:pt>
              </c:numCache>
            </c:numRef>
          </c:yVal>
          <c:smooth val="0"/>
          <c:extLst>
            <c:ext xmlns:c16="http://schemas.microsoft.com/office/drawing/2014/chart" uri="{C3380CC4-5D6E-409C-BE32-E72D297353CC}">
              <c16:uniqueId val="{00000003-2AA3-3947-97C5-134F5ACE9291}"/>
            </c:ext>
          </c:extLst>
        </c:ser>
        <c:dLbls>
          <c:showLegendKey val="0"/>
          <c:showVal val="0"/>
          <c:showCatName val="0"/>
          <c:showSerName val="0"/>
          <c:showPercent val="0"/>
          <c:showBubbleSize val="0"/>
        </c:dLbls>
        <c:axId val="75153600"/>
        <c:axId val="43953840"/>
      </c:scatterChart>
      <c:valAx>
        <c:axId val="75153600"/>
        <c:scaling>
          <c:orientation val="minMax"/>
          <c:min val="500"/>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953840"/>
        <c:crosses val="autoZero"/>
        <c:crossBetween val="midCat"/>
      </c:valAx>
      <c:valAx>
        <c:axId val="43953840"/>
        <c:scaling>
          <c:orientation val="minMax"/>
          <c:max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TOC</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360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Runs'!$C$170:$C$177</c:f>
              <c:numCache>
                <c:formatCode>General</c:formatCode>
                <c:ptCount val="8"/>
                <c:pt idx="0">
                  <c:v>0.5</c:v>
                </c:pt>
                <c:pt idx="1">
                  <c:v>1</c:v>
                </c:pt>
                <c:pt idx="2">
                  <c:v>1.5</c:v>
                </c:pt>
                <c:pt idx="3">
                  <c:v>2</c:v>
                </c:pt>
                <c:pt idx="4">
                  <c:v>2.5</c:v>
                </c:pt>
                <c:pt idx="5">
                  <c:v>3</c:v>
                </c:pt>
                <c:pt idx="6">
                  <c:v>5</c:v>
                </c:pt>
                <c:pt idx="7">
                  <c:v>2.5</c:v>
                </c:pt>
              </c:numCache>
            </c:numRef>
          </c:xVal>
          <c:yVal>
            <c:numRef>
              <c:f>'Standards All Runs'!$E$170:$E$177</c:f>
              <c:numCache>
                <c:formatCode>General</c:formatCode>
                <c:ptCount val="8"/>
                <c:pt idx="0">
                  <c:v>1.5847</c:v>
                </c:pt>
                <c:pt idx="1">
                  <c:v>3.1677</c:v>
                </c:pt>
                <c:pt idx="2">
                  <c:v>4.7820999999999998</c:v>
                </c:pt>
                <c:pt idx="3">
                  <c:v>6.8449999999999998</c:v>
                </c:pt>
                <c:pt idx="4">
                  <c:v>8.3984000000000005</c:v>
                </c:pt>
                <c:pt idx="5">
                  <c:v>10.3111</c:v>
                </c:pt>
                <c:pt idx="6">
                  <c:v>16.033200000000001</c:v>
                </c:pt>
                <c:pt idx="7">
                  <c:v>8.2972999999999999</c:v>
                </c:pt>
              </c:numCache>
            </c:numRef>
          </c:yVal>
          <c:smooth val="0"/>
          <c:extLst>
            <c:ext xmlns:c16="http://schemas.microsoft.com/office/drawing/2014/chart" uri="{C3380CC4-5D6E-409C-BE32-E72D297353CC}">
              <c16:uniqueId val="{00000000-89C4-9B47-8278-2D9901D71DE3}"/>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Runs'!$C$169:$C$177</c:f>
              <c:numCache>
                <c:formatCode>General</c:formatCode>
                <c:ptCount val="9"/>
                <c:pt idx="0">
                  <c:v>0</c:v>
                </c:pt>
                <c:pt idx="1">
                  <c:v>0.5</c:v>
                </c:pt>
                <c:pt idx="2">
                  <c:v>1</c:v>
                </c:pt>
                <c:pt idx="3">
                  <c:v>1.5</c:v>
                </c:pt>
                <c:pt idx="4">
                  <c:v>2</c:v>
                </c:pt>
                <c:pt idx="5">
                  <c:v>2.5</c:v>
                </c:pt>
                <c:pt idx="6">
                  <c:v>3</c:v>
                </c:pt>
                <c:pt idx="7">
                  <c:v>5</c:v>
                </c:pt>
                <c:pt idx="8">
                  <c:v>2.5</c:v>
                </c:pt>
              </c:numCache>
            </c:numRef>
          </c:xVal>
          <c:yVal>
            <c:numRef>
              <c:f>'Standards All Runs'!$F$169:$F$177</c:f>
              <c:numCache>
                <c:formatCode>General</c:formatCode>
                <c:ptCount val="9"/>
                <c:pt idx="0">
                  <c:v>0</c:v>
                </c:pt>
                <c:pt idx="1">
                  <c:v>8.7363</c:v>
                </c:pt>
                <c:pt idx="2">
                  <c:v>18.627800000000001</c:v>
                </c:pt>
                <c:pt idx="3">
                  <c:v>28.470500000000001</c:v>
                </c:pt>
                <c:pt idx="4">
                  <c:v>38.6554</c:v>
                </c:pt>
                <c:pt idx="5">
                  <c:v>47.571800000000003</c:v>
                </c:pt>
                <c:pt idx="6">
                  <c:v>58.070999999999998</c:v>
                </c:pt>
                <c:pt idx="7">
                  <c:v>88.718500000000006</c:v>
                </c:pt>
                <c:pt idx="8">
                  <c:v>47.184899999999999</c:v>
                </c:pt>
              </c:numCache>
            </c:numRef>
          </c:yVal>
          <c:smooth val="0"/>
          <c:extLst>
            <c:ext xmlns:c16="http://schemas.microsoft.com/office/drawing/2014/chart" uri="{C3380CC4-5D6E-409C-BE32-E72D297353CC}">
              <c16:uniqueId val="{00000002-2C04-3D4A-AF86-7163ADBA0E72}"/>
            </c:ext>
          </c:extLst>
        </c:ser>
        <c:dLbls>
          <c:showLegendKey val="0"/>
          <c:showVal val="0"/>
          <c:showCatName val="0"/>
          <c:showSerName val="0"/>
          <c:showPercent val="0"/>
          <c:showBubbleSize val="0"/>
        </c:dLbls>
        <c:axId val="940514320"/>
        <c:axId val="675935872"/>
      </c:scatterChart>
      <c:valAx>
        <c:axId val="940514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5935872"/>
        <c:crosses val="autoZero"/>
        <c:crossBetween val="midCat"/>
      </c:valAx>
      <c:valAx>
        <c:axId val="6759358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05143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2 Experimental Pattern Check</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Fluoride Set 2</c:v>
          </c:tx>
          <c:spPr>
            <a:ln w="19050" cap="rnd">
              <a:noFill/>
              <a:round/>
            </a:ln>
            <a:effectLst/>
          </c:spPr>
          <c:marker>
            <c:symbol val="circle"/>
            <c:size val="7"/>
            <c:spPr>
              <a:solidFill>
                <a:schemeClr val="accent1"/>
              </a:solidFill>
              <a:ln w="9525">
                <a:solidFill>
                  <a:schemeClr val="accent1"/>
                </a:solidFill>
              </a:ln>
              <a:effectLst/>
            </c:spPr>
          </c:marker>
          <c:xVal>
            <c:numRef>
              <c:f>'Set 2 Pattern Check'!$A$4:$A$42</c:f>
              <c:numCache>
                <c:formatCode>0.00</c:formatCode>
                <c:ptCount val="39"/>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1176</c:v>
                </c:pt>
                <c:pt idx="28">
                  <c:v>1200.1166666666666</c:v>
                </c:pt>
                <c:pt idx="29">
                  <c:v>1223.9833333333333</c:v>
                </c:pt>
                <c:pt idx="30">
                  <c:v>1442.9166666666667</c:v>
                </c:pt>
                <c:pt idx="31">
                  <c:v>1462.7833333333333</c:v>
                </c:pt>
                <c:pt idx="32">
                  <c:v>1487.9666666666667</c:v>
                </c:pt>
                <c:pt idx="33">
                  <c:v>1607.6666666666667</c:v>
                </c:pt>
                <c:pt idx="34">
                  <c:v>1655.8333333333333</c:v>
                </c:pt>
                <c:pt idx="35">
                  <c:v>1727.7666666666667</c:v>
                </c:pt>
                <c:pt idx="36">
                  <c:v>1776.1166666666666</c:v>
                </c:pt>
                <c:pt idx="37">
                  <c:v>1822.25</c:v>
                </c:pt>
                <c:pt idx="38">
                  <c:v>1901.2333333333333</c:v>
                </c:pt>
              </c:numCache>
            </c:numRef>
          </c:xVal>
          <c:yVal>
            <c:numRef>
              <c:f>'Set 2 Pattern Check'!$C$4:$C$42</c:f>
              <c:numCache>
                <c:formatCode>0.00</c:formatCode>
                <c:ptCount val="39"/>
                <c:pt idx="0">
                  <c:v>3.1522402820777429</c:v>
                </c:pt>
                <c:pt idx="1">
                  <c:v>4.4187881899354728</c:v>
                </c:pt>
                <c:pt idx="2">
                  <c:v>3.7770160762641054</c:v>
                </c:pt>
                <c:pt idx="3">
                  <c:v>3.7731505249700521</c:v>
                </c:pt>
                <c:pt idx="4">
                  <c:v>3.5700077512356674</c:v>
                </c:pt>
                <c:pt idx="5">
                  <c:v>3.5463259107275769</c:v>
                </c:pt>
                <c:pt idx="6">
                  <c:v>3.4807293866795406</c:v>
                </c:pt>
                <c:pt idx="7">
                  <c:v>3.4119546195160222</c:v>
                </c:pt>
                <c:pt idx="8">
                  <c:v>3.3442057409530705</c:v>
                </c:pt>
                <c:pt idx="9">
                  <c:v>3.3295930070363595</c:v>
                </c:pt>
                <c:pt idx="10">
                  <c:v>3.3913600529018524</c:v>
                </c:pt>
                <c:pt idx="11">
                  <c:v>3.2035894733579244</c:v>
                </c:pt>
                <c:pt idx="12">
                  <c:v>3.2560244016132622</c:v>
                </c:pt>
                <c:pt idx="13">
                  <c:v>3.2881376542834562</c:v>
                </c:pt>
                <c:pt idx="14">
                  <c:v>3.2742040088364646</c:v>
                </c:pt>
                <c:pt idx="15">
                  <c:v>3.3400246943083602</c:v>
                </c:pt>
                <c:pt idx="16">
                  <c:v>2.9225415222846216</c:v>
                </c:pt>
                <c:pt idx="17">
                  <c:v>2.7957341914456926</c:v>
                </c:pt>
                <c:pt idx="18">
                  <c:v>2.8177955176005853</c:v>
                </c:pt>
                <c:pt idx="19">
                  <c:v>2.874614519838691</c:v>
                </c:pt>
                <c:pt idx="20">
                  <c:v>2.5855001064379772</c:v>
                </c:pt>
                <c:pt idx="21">
                  <c:v>2.6130523370738685</c:v>
                </c:pt>
                <c:pt idx="22">
                  <c:v>2.5130817342294396</c:v>
                </c:pt>
                <c:pt idx="23">
                  <c:v>2.524680933812316</c:v>
                </c:pt>
                <c:pt idx="24">
                  <c:v>2.429692857215962</c:v>
                </c:pt>
                <c:pt idx="25">
                  <c:v>2.6506186864810091</c:v>
                </c:pt>
                <c:pt idx="26">
                  <c:v>2.5530659145513419</c:v>
                </c:pt>
                <c:pt idx="27">
                  <c:v>2.4365193774156482</c:v>
                </c:pt>
                <c:pt idx="28">
                  <c:v>2.3050558863470183</c:v>
                </c:pt>
                <c:pt idx="29">
                  <c:v>2.4585850251937411</c:v>
                </c:pt>
                <c:pt idx="30">
                  <c:v>2.6703204958206874</c:v>
                </c:pt>
                <c:pt idx="31">
                  <c:v>3.0484525247763012</c:v>
                </c:pt>
                <c:pt idx="32">
                  <c:v>2.5530843305532049</c:v>
                </c:pt>
                <c:pt idx="33">
                  <c:v>2.4211591925540916</c:v>
                </c:pt>
                <c:pt idx="34">
                  <c:v>2.571129194943055</c:v>
                </c:pt>
                <c:pt idx="35">
                  <c:v>2.6917359499397748</c:v>
                </c:pt>
                <c:pt idx="36">
                  <c:v>2.5997881355932204</c:v>
                </c:pt>
                <c:pt idx="37">
                  <c:v>2.6989709443099272</c:v>
                </c:pt>
                <c:pt idx="38">
                  <c:v>2.0079398708635998</c:v>
                </c:pt>
              </c:numCache>
            </c:numRef>
          </c:yVal>
          <c:smooth val="0"/>
          <c:extLst>
            <c:ext xmlns:c16="http://schemas.microsoft.com/office/drawing/2014/chart" uri="{C3380CC4-5D6E-409C-BE32-E72D297353CC}">
              <c16:uniqueId val="{00000000-233F-9E45-ABD4-CBAA66D1D785}"/>
            </c:ext>
          </c:extLst>
        </c:ser>
        <c:ser>
          <c:idx val="1"/>
          <c:order val="1"/>
          <c:tx>
            <c:v>TOC Set 2</c:v>
          </c:tx>
          <c:spPr>
            <a:ln w="19050" cap="rnd">
              <a:noFill/>
              <a:round/>
            </a:ln>
            <a:effectLst/>
          </c:spPr>
          <c:marker>
            <c:symbol val="square"/>
            <c:size val="7"/>
            <c:spPr>
              <a:solidFill>
                <a:schemeClr val="tx1"/>
              </a:solidFill>
              <a:ln w="9525">
                <a:solidFill>
                  <a:schemeClr val="tx1"/>
                </a:solidFill>
              </a:ln>
              <a:effectLst/>
            </c:spPr>
          </c:marker>
          <c:xVal>
            <c:numRef>
              <c:f>'Set 2 Pattern Check'!$A$18:$A$40</c:f>
              <c:numCache>
                <c:formatCode>0.00</c:formatCode>
                <c:ptCount val="23"/>
                <c:pt idx="0">
                  <c:v>527.65</c:v>
                </c:pt>
                <c:pt idx="1">
                  <c:v>599</c:v>
                </c:pt>
                <c:pt idx="2">
                  <c:v>623</c:v>
                </c:pt>
                <c:pt idx="3">
                  <c:v>646.56666666666672</c:v>
                </c:pt>
                <c:pt idx="4">
                  <c:v>699.03</c:v>
                </c:pt>
                <c:pt idx="5">
                  <c:v>766.58</c:v>
                </c:pt>
                <c:pt idx="6">
                  <c:v>815.1</c:v>
                </c:pt>
                <c:pt idx="7">
                  <c:v>862.92</c:v>
                </c:pt>
                <c:pt idx="8">
                  <c:v>935.88</c:v>
                </c:pt>
                <c:pt idx="9">
                  <c:v>982.4</c:v>
                </c:pt>
                <c:pt idx="10">
                  <c:v>1006.7833333333333</c:v>
                </c:pt>
                <c:pt idx="11">
                  <c:v>1106.5999999999999</c:v>
                </c:pt>
                <c:pt idx="12">
                  <c:v>1151.2</c:v>
                </c:pt>
                <c:pt idx="13">
                  <c:v>1176</c:v>
                </c:pt>
                <c:pt idx="14">
                  <c:v>1200.1166666666666</c:v>
                </c:pt>
                <c:pt idx="15">
                  <c:v>1223.9833333333333</c:v>
                </c:pt>
                <c:pt idx="16">
                  <c:v>1442.9166666666667</c:v>
                </c:pt>
                <c:pt idx="17">
                  <c:v>1462.7833333333333</c:v>
                </c:pt>
                <c:pt idx="18">
                  <c:v>1487.9666666666667</c:v>
                </c:pt>
                <c:pt idx="19">
                  <c:v>1607.6666666666667</c:v>
                </c:pt>
                <c:pt idx="20">
                  <c:v>1655.8333333333333</c:v>
                </c:pt>
                <c:pt idx="21">
                  <c:v>1727.7666666666667</c:v>
                </c:pt>
                <c:pt idx="22">
                  <c:v>1776.1166666666666</c:v>
                </c:pt>
              </c:numCache>
            </c:numRef>
          </c:xVal>
          <c:yVal>
            <c:numRef>
              <c:f>'Set 2 Pattern Check'!$J$18:$J$40</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2-233F-9E45-ABD4-CBAA66D1D785}"/>
            </c:ext>
          </c:extLst>
        </c:ser>
        <c:ser>
          <c:idx val="4"/>
          <c:order val="4"/>
          <c:tx>
            <c:v>TOC Tank</c:v>
          </c:tx>
          <c:spPr>
            <a:ln w="19050" cap="rnd">
              <a:solidFill>
                <a:schemeClr val="accent5"/>
              </a:solidFill>
              <a:round/>
            </a:ln>
            <a:effectLst/>
          </c:spPr>
          <c:marker>
            <c:symbol val="square"/>
            <c:size val="5"/>
            <c:spPr>
              <a:solidFill>
                <a:schemeClr val="accent5"/>
              </a:solidFill>
              <a:ln w="9525">
                <a:solidFill>
                  <a:schemeClr val="accent5"/>
                </a:solidFill>
              </a:ln>
              <a:effectLst/>
            </c:spPr>
          </c:marker>
          <c:xVal>
            <c:numRef>
              <c:f>'Set 2 Pattern Check'!$A$18:$A$40</c:f>
              <c:numCache>
                <c:formatCode>0.00</c:formatCode>
                <c:ptCount val="23"/>
                <c:pt idx="0">
                  <c:v>527.65</c:v>
                </c:pt>
                <c:pt idx="1">
                  <c:v>599</c:v>
                </c:pt>
                <c:pt idx="2">
                  <c:v>623</c:v>
                </c:pt>
                <c:pt idx="3">
                  <c:v>646.56666666666672</c:v>
                </c:pt>
                <c:pt idx="4">
                  <c:v>699.03</c:v>
                </c:pt>
                <c:pt idx="5">
                  <c:v>766.58</c:v>
                </c:pt>
                <c:pt idx="6">
                  <c:v>815.1</c:v>
                </c:pt>
                <c:pt idx="7">
                  <c:v>862.92</c:v>
                </c:pt>
                <c:pt idx="8">
                  <c:v>935.88</c:v>
                </c:pt>
                <c:pt idx="9">
                  <c:v>982.4</c:v>
                </c:pt>
                <c:pt idx="10">
                  <c:v>1006.7833333333333</c:v>
                </c:pt>
                <c:pt idx="11">
                  <c:v>1106.5999999999999</c:v>
                </c:pt>
                <c:pt idx="12">
                  <c:v>1151.2</c:v>
                </c:pt>
                <c:pt idx="13">
                  <c:v>1176</c:v>
                </c:pt>
                <c:pt idx="14">
                  <c:v>1200.1166666666666</c:v>
                </c:pt>
                <c:pt idx="15">
                  <c:v>1223.9833333333333</c:v>
                </c:pt>
                <c:pt idx="16">
                  <c:v>1442.9166666666667</c:v>
                </c:pt>
                <c:pt idx="17">
                  <c:v>1462.7833333333333</c:v>
                </c:pt>
                <c:pt idx="18">
                  <c:v>1487.9666666666667</c:v>
                </c:pt>
                <c:pt idx="19">
                  <c:v>1607.6666666666667</c:v>
                </c:pt>
                <c:pt idx="20">
                  <c:v>1655.8333333333333</c:v>
                </c:pt>
                <c:pt idx="21">
                  <c:v>1727.7666666666667</c:v>
                </c:pt>
                <c:pt idx="22">
                  <c:v>1776.1166666666666</c:v>
                </c:pt>
              </c:numCache>
            </c:numRef>
          </c:xVal>
          <c:yVal>
            <c:numRef>
              <c:f>'Set 2 Pattern Check'!$G$18:$G$40</c:f>
              <c:numCache>
                <c:formatCode>0.00</c:formatCode>
                <c:ptCount val="23"/>
              </c:numCache>
            </c:numRef>
          </c:yVal>
          <c:smooth val="0"/>
          <c:extLst>
            <c:ext xmlns:c16="http://schemas.microsoft.com/office/drawing/2014/chart" uri="{C3380CC4-5D6E-409C-BE32-E72D297353CC}">
              <c16:uniqueId val="{00000005-233F-9E45-ABD4-CBAA66D1D785}"/>
            </c:ext>
          </c:extLst>
        </c:ser>
        <c:ser>
          <c:idx val="5"/>
          <c:order val="5"/>
          <c:tx>
            <c:v>pH Tank</c:v>
          </c:tx>
          <c:spPr>
            <a:ln w="19050" cap="rnd">
              <a:noFill/>
              <a:round/>
            </a:ln>
            <a:effectLst/>
          </c:spPr>
          <c:marker>
            <c:symbol val="triangle"/>
            <c:size val="7"/>
            <c:spPr>
              <a:noFill/>
              <a:ln w="9525">
                <a:solidFill>
                  <a:srgbClr val="002060"/>
                </a:solidFill>
              </a:ln>
              <a:effectLst/>
            </c:spPr>
          </c:marker>
          <c:xVal>
            <c:numRef>
              <c:f>'Set 2 Pattern Check'!$W$11:$W$43</c:f>
              <c:numCache>
                <c:formatCode>0.00</c:formatCode>
                <c:ptCount val="33"/>
                <c:pt idx="0">
                  <c:v>311.38333333333333</c:v>
                </c:pt>
                <c:pt idx="1">
                  <c:v>334.28333333333336</c:v>
                </c:pt>
                <c:pt idx="2">
                  <c:v>358.4</c:v>
                </c:pt>
                <c:pt idx="3">
                  <c:v>430.51666666666665</c:v>
                </c:pt>
                <c:pt idx="4">
                  <c:v>453.28333333333336</c:v>
                </c:pt>
                <c:pt idx="5">
                  <c:v>478.11666666666667</c:v>
                </c:pt>
                <c:pt idx="6">
                  <c:v>509.06666666666666</c:v>
                </c:pt>
                <c:pt idx="7">
                  <c:v>527.65</c:v>
                </c:pt>
                <c:pt idx="8">
                  <c:v>599</c:v>
                </c:pt>
                <c:pt idx="9">
                  <c:v>623</c:v>
                </c:pt>
                <c:pt idx="10">
                  <c:v>646.56666666666672</c:v>
                </c:pt>
                <c:pt idx="11">
                  <c:v>699.03</c:v>
                </c:pt>
                <c:pt idx="12">
                  <c:v>766.58</c:v>
                </c:pt>
                <c:pt idx="13">
                  <c:v>815.1</c:v>
                </c:pt>
                <c:pt idx="14">
                  <c:v>862.92</c:v>
                </c:pt>
                <c:pt idx="15">
                  <c:v>935.88</c:v>
                </c:pt>
                <c:pt idx="16">
                  <c:v>982.4</c:v>
                </c:pt>
                <c:pt idx="17">
                  <c:v>1006.7833333333333</c:v>
                </c:pt>
                <c:pt idx="18">
                  <c:v>1106.5999999999999</c:v>
                </c:pt>
                <c:pt idx="19">
                  <c:v>1151.2</c:v>
                </c:pt>
                <c:pt idx="20">
                  <c:v>1174.9666666666667</c:v>
                </c:pt>
                <c:pt idx="21">
                  <c:v>1198.6833333333334</c:v>
                </c:pt>
                <c:pt idx="22">
                  <c:v>1222.4333333333334</c:v>
                </c:pt>
                <c:pt idx="23">
                  <c:v>1459.4333333333334</c:v>
                </c:pt>
                <c:pt idx="24">
                  <c:v>1483.75</c:v>
                </c:pt>
                <c:pt idx="25">
                  <c:v>1603.2666666666667</c:v>
                </c:pt>
                <c:pt idx="26">
                  <c:v>1651.7333333333333</c:v>
                </c:pt>
                <c:pt idx="27">
                  <c:v>1723.5</c:v>
                </c:pt>
                <c:pt idx="28">
                  <c:v>1771.9166666666667</c:v>
                </c:pt>
                <c:pt idx="29">
                  <c:v>1817.7</c:v>
                </c:pt>
                <c:pt idx="30">
                  <c:v>1896.55</c:v>
                </c:pt>
                <c:pt idx="31">
                  <c:v>1944.5</c:v>
                </c:pt>
                <c:pt idx="32">
                  <c:v>2061.85</c:v>
                </c:pt>
              </c:numCache>
            </c:numRef>
          </c:xVal>
          <c:yVal>
            <c:numRef>
              <c:f>'Set 2 Pattern Check'!$S$11:$S$43</c:f>
              <c:numCache>
                <c:formatCode>General</c:formatCode>
                <c:ptCount val="33"/>
                <c:pt idx="0">
                  <c:v>8.7100000000000009</c:v>
                </c:pt>
                <c:pt idx="1">
                  <c:v>8.69</c:v>
                </c:pt>
                <c:pt idx="2">
                  <c:v>8.6300000000000008</c:v>
                </c:pt>
                <c:pt idx="3">
                  <c:v>8.73</c:v>
                </c:pt>
                <c:pt idx="4">
                  <c:v>8.6</c:v>
                </c:pt>
                <c:pt idx="5">
                  <c:v>8.68</c:v>
                </c:pt>
                <c:pt idx="6">
                  <c:v>8.58</c:v>
                </c:pt>
                <c:pt idx="7">
                  <c:v>8.5299999999999994</c:v>
                </c:pt>
                <c:pt idx="8">
                  <c:v>8.7100000000000009</c:v>
                </c:pt>
                <c:pt idx="9">
                  <c:v>8.7200000000000006</c:v>
                </c:pt>
                <c:pt idx="10">
                  <c:v>8.6300000000000008</c:v>
                </c:pt>
                <c:pt idx="11">
                  <c:v>8.61</c:v>
                </c:pt>
                <c:pt idx="12">
                  <c:v>8.74</c:v>
                </c:pt>
                <c:pt idx="13">
                  <c:v>8.61</c:v>
                </c:pt>
                <c:pt idx="14">
                  <c:v>8.6300000000000008</c:v>
                </c:pt>
                <c:pt idx="15">
                  <c:v>8.68</c:v>
                </c:pt>
                <c:pt idx="16">
                  <c:v>8.51</c:v>
                </c:pt>
                <c:pt idx="17">
                  <c:v>8.11</c:v>
                </c:pt>
                <c:pt idx="18">
                  <c:v>8.52</c:v>
                </c:pt>
                <c:pt idx="19">
                  <c:v>8.27</c:v>
                </c:pt>
                <c:pt idx="20">
                  <c:v>8.41</c:v>
                </c:pt>
                <c:pt idx="21">
                  <c:v>8.32</c:v>
                </c:pt>
                <c:pt idx="22">
                  <c:v>8.5</c:v>
                </c:pt>
                <c:pt idx="23">
                  <c:v>8.36</c:v>
                </c:pt>
                <c:pt idx="24">
                  <c:v>8.4499999999999993</c:v>
                </c:pt>
                <c:pt idx="25">
                  <c:v>8.56</c:v>
                </c:pt>
                <c:pt idx="26">
                  <c:v>8.5299999999999994</c:v>
                </c:pt>
                <c:pt idx="27">
                  <c:v>8.6</c:v>
                </c:pt>
                <c:pt idx="28">
                  <c:v>8.65</c:v>
                </c:pt>
                <c:pt idx="29">
                  <c:v>8.76</c:v>
                </c:pt>
                <c:pt idx="30">
                  <c:v>8.67</c:v>
                </c:pt>
                <c:pt idx="31">
                  <c:v>8.6999999999999993</c:v>
                </c:pt>
                <c:pt idx="32">
                  <c:v>8.7200000000000006</c:v>
                </c:pt>
              </c:numCache>
            </c:numRef>
          </c:yVal>
          <c:smooth val="0"/>
          <c:extLst>
            <c:ext xmlns:c16="http://schemas.microsoft.com/office/drawing/2014/chart" uri="{C3380CC4-5D6E-409C-BE32-E72D297353CC}">
              <c16:uniqueId val="{00000001-0298-D64E-8269-FB8F8DB0C78F}"/>
            </c:ext>
          </c:extLst>
        </c:ser>
        <c:ser>
          <c:idx val="6"/>
          <c:order val="6"/>
          <c:tx>
            <c:v>pH Set 2</c:v>
          </c:tx>
          <c:spPr>
            <a:ln w="19050" cap="rnd">
              <a:noFill/>
              <a:round/>
            </a:ln>
            <a:effectLst/>
          </c:spPr>
          <c:marker>
            <c:symbol val="triangle"/>
            <c:size val="7"/>
            <c:spPr>
              <a:solidFill>
                <a:schemeClr val="accent1">
                  <a:lumMod val="60000"/>
                </a:schemeClr>
              </a:solidFill>
              <a:ln w="9525">
                <a:solidFill>
                  <a:schemeClr val="accent1">
                    <a:lumMod val="60000"/>
                  </a:schemeClr>
                </a:solidFill>
              </a:ln>
              <a:effectLst/>
            </c:spPr>
          </c:marker>
          <c:xVal>
            <c:numRef>
              <c:f>'Set 2 Pattern Check'!$W$11:$W$43</c:f>
              <c:numCache>
                <c:formatCode>0.00</c:formatCode>
                <c:ptCount val="33"/>
                <c:pt idx="0">
                  <c:v>311.38333333333333</c:v>
                </c:pt>
                <c:pt idx="1">
                  <c:v>334.28333333333336</c:v>
                </c:pt>
                <c:pt idx="2">
                  <c:v>358.4</c:v>
                </c:pt>
                <c:pt idx="3">
                  <c:v>430.51666666666665</c:v>
                </c:pt>
                <c:pt idx="4">
                  <c:v>453.28333333333336</c:v>
                </c:pt>
                <c:pt idx="5">
                  <c:v>478.11666666666667</c:v>
                </c:pt>
                <c:pt idx="6">
                  <c:v>509.06666666666666</c:v>
                </c:pt>
                <c:pt idx="7">
                  <c:v>527.65</c:v>
                </c:pt>
                <c:pt idx="8">
                  <c:v>599</c:v>
                </c:pt>
                <c:pt idx="9">
                  <c:v>623</c:v>
                </c:pt>
                <c:pt idx="10">
                  <c:v>646.56666666666672</c:v>
                </c:pt>
                <c:pt idx="11">
                  <c:v>699.03</c:v>
                </c:pt>
                <c:pt idx="12">
                  <c:v>766.58</c:v>
                </c:pt>
                <c:pt idx="13">
                  <c:v>815.1</c:v>
                </c:pt>
                <c:pt idx="14">
                  <c:v>862.92</c:v>
                </c:pt>
                <c:pt idx="15">
                  <c:v>935.88</c:v>
                </c:pt>
                <c:pt idx="16">
                  <c:v>982.4</c:v>
                </c:pt>
                <c:pt idx="17">
                  <c:v>1006.7833333333333</c:v>
                </c:pt>
                <c:pt idx="18">
                  <c:v>1106.5999999999999</c:v>
                </c:pt>
                <c:pt idx="19">
                  <c:v>1151.2</c:v>
                </c:pt>
                <c:pt idx="20">
                  <c:v>1174.9666666666667</c:v>
                </c:pt>
                <c:pt idx="21">
                  <c:v>1198.6833333333334</c:v>
                </c:pt>
                <c:pt idx="22">
                  <c:v>1222.4333333333334</c:v>
                </c:pt>
                <c:pt idx="23">
                  <c:v>1459.4333333333334</c:v>
                </c:pt>
                <c:pt idx="24">
                  <c:v>1483.75</c:v>
                </c:pt>
                <c:pt idx="25">
                  <c:v>1603.2666666666667</c:v>
                </c:pt>
                <c:pt idx="26">
                  <c:v>1651.7333333333333</c:v>
                </c:pt>
                <c:pt idx="27">
                  <c:v>1723.5</c:v>
                </c:pt>
                <c:pt idx="28">
                  <c:v>1771.9166666666667</c:v>
                </c:pt>
                <c:pt idx="29">
                  <c:v>1817.7</c:v>
                </c:pt>
                <c:pt idx="30">
                  <c:v>1896.55</c:v>
                </c:pt>
                <c:pt idx="31">
                  <c:v>1944.5</c:v>
                </c:pt>
                <c:pt idx="32">
                  <c:v>2061.85</c:v>
                </c:pt>
              </c:numCache>
            </c:numRef>
          </c:xVal>
          <c:yVal>
            <c:numRef>
              <c:f>'Set 2 Pattern Check'!$V$11:$V$43</c:f>
              <c:numCache>
                <c:formatCode>0.00</c:formatCode>
                <c:ptCount val="33"/>
                <c:pt idx="0">
                  <c:v>8.7633333333333336</c:v>
                </c:pt>
                <c:pt idx="1">
                  <c:v>8.6766666666666676</c:v>
                </c:pt>
                <c:pt idx="2">
                  <c:v>8.7000000000000011</c:v>
                </c:pt>
                <c:pt idx="3">
                  <c:v>8.7533333333333321</c:v>
                </c:pt>
                <c:pt idx="4">
                  <c:v>8.6966666666666672</c:v>
                </c:pt>
                <c:pt idx="5">
                  <c:v>8.7033333333333331</c:v>
                </c:pt>
                <c:pt idx="6">
                  <c:v>8.7566666666666677</c:v>
                </c:pt>
                <c:pt idx="7">
                  <c:v>8.7466666666666661</c:v>
                </c:pt>
                <c:pt idx="8">
                  <c:v>8.7000000000000011</c:v>
                </c:pt>
                <c:pt idx="9">
                  <c:v>8.7133333333333329</c:v>
                </c:pt>
                <c:pt idx="10">
                  <c:v>8.7333333333333343</c:v>
                </c:pt>
                <c:pt idx="11">
                  <c:v>8.6933333333333334</c:v>
                </c:pt>
                <c:pt idx="12">
                  <c:v>8.7299999999999986</c:v>
                </c:pt>
                <c:pt idx="13">
                  <c:v>8.6033333333333335</c:v>
                </c:pt>
                <c:pt idx="14">
                  <c:v>8.6233333333333331</c:v>
                </c:pt>
                <c:pt idx="15">
                  <c:v>8.67</c:v>
                </c:pt>
                <c:pt idx="16">
                  <c:v>8.5833333333333339</c:v>
                </c:pt>
                <c:pt idx="17">
                  <c:v>8.4166666666666661</c:v>
                </c:pt>
                <c:pt idx="18">
                  <c:v>8.4799999999999986</c:v>
                </c:pt>
                <c:pt idx="19">
                  <c:v>8.4033333333333342</c:v>
                </c:pt>
                <c:pt idx="20">
                  <c:v>8.5499999999999989</c:v>
                </c:pt>
                <c:pt idx="21">
                  <c:v>8.5533333333333346</c:v>
                </c:pt>
                <c:pt idx="22">
                  <c:v>8.5299999999999994</c:v>
                </c:pt>
                <c:pt idx="23">
                  <c:v>8.6433333333333326</c:v>
                </c:pt>
                <c:pt idx="24">
                  <c:v>8.5433333333333348</c:v>
                </c:pt>
                <c:pt idx="25">
                  <c:v>8.5899999999999981</c:v>
                </c:pt>
                <c:pt idx="26">
                  <c:v>8.6033333333333317</c:v>
                </c:pt>
                <c:pt idx="27">
                  <c:v>8.5</c:v>
                </c:pt>
                <c:pt idx="28">
                  <c:v>8.5133333333333336</c:v>
                </c:pt>
                <c:pt idx="29">
                  <c:v>8.5299999999999994</c:v>
                </c:pt>
                <c:pt idx="30">
                  <c:v>8.5933333333333337</c:v>
                </c:pt>
                <c:pt idx="31">
                  <c:v>8.67</c:v>
                </c:pt>
                <c:pt idx="32">
                  <c:v>9.0233333333333317</c:v>
                </c:pt>
              </c:numCache>
            </c:numRef>
          </c:yVal>
          <c:smooth val="0"/>
          <c:extLst>
            <c:ext xmlns:c16="http://schemas.microsoft.com/office/drawing/2014/chart" uri="{C3380CC4-5D6E-409C-BE32-E72D297353CC}">
              <c16:uniqueId val="{00000002-0298-D64E-8269-FB8F8DB0C78F}"/>
            </c:ext>
          </c:extLst>
        </c:ser>
        <c:dLbls>
          <c:showLegendKey val="0"/>
          <c:showVal val="0"/>
          <c:showCatName val="0"/>
          <c:showSerName val="0"/>
          <c:showPercent val="0"/>
          <c:showBubbleSize val="0"/>
        </c:dLbls>
        <c:axId val="194030256"/>
        <c:axId val="1921276015"/>
      </c:scatterChart>
      <c:scatterChart>
        <c:scatterStyle val="lineMarker"/>
        <c:varyColors val="0"/>
        <c:ser>
          <c:idx val="2"/>
          <c:order val="2"/>
          <c:tx>
            <c:v>Tot Alk Set 2</c:v>
          </c:tx>
          <c:spPr>
            <a:ln w="19050" cap="rnd">
              <a:noFill/>
              <a:round/>
            </a:ln>
            <a:effectLst/>
          </c:spPr>
          <c:marker>
            <c:symbol val="diamond"/>
            <c:size val="7"/>
            <c:spPr>
              <a:solidFill>
                <a:srgbClr val="C00000"/>
              </a:solidFill>
              <a:ln w="9525">
                <a:solidFill>
                  <a:srgbClr val="C00000"/>
                </a:solidFill>
              </a:ln>
              <a:effectLst/>
            </c:spPr>
          </c:marker>
          <c:xVal>
            <c:numRef>
              <c:f>'Set 2 Pattern Check'!$W$4:$W$43</c:f>
              <c:numCache>
                <c:formatCode>0.00</c:formatCode>
                <c:ptCount val="40"/>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1174.9666666666667</c:v>
                </c:pt>
                <c:pt idx="28">
                  <c:v>1198.6833333333334</c:v>
                </c:pt>
                <c:pt idx="29">
                  <c:v>1222.4333333333334</c:v>
                </c:pt>
                <c:pt idx="30">
                  <c:v>1459.4333333333334</c:v>
                </c:pt>
                <c:pt idx="31">
                  <c:v>1483.75</c:v>
                </c:pt>
                <c:pt idx="32">
                  <c:v>1603.2666666666667</c:v>
                </c:pt>
                <c:pt idx="33">
                  <c:v>1651.7333333333333</c:v>
                </c:pt>
                <c:pt idx="34">
                  <c:v>1723.5</c:v>
                </c:pt>
                <c:pt idx="35">
                  <c:v>1771.9166666666667</c:v>
                </c:pt>
                <c:pt idx="36">
                  <c:v>1817.7</c:v>
                </c:pt>
                <c:pt idx="37">
                  <c:v>1896.55</c:v>
                </c:pt>
                <c:pt idx="38">
                  <c:v>1944.5</c:v>
                </c:pt>
                <c:pt idx="39">
                  <c:v>2061.85</c:v>
                </c:pt>
              </c:numCache>
            </c:numRef>
          </c:xVal>
          <c:yVal>
            <c:numRef>
              <c:f>'Set 2 Pattern Check'!$Q$4:$Q$42</c:f>
              <c:numCache>
                <c:formatCode>0</c:formatCode>
                <c:ptCount val="39"/>
                <c:pt idx="0">
                  <c:v>516.66666666666686</c:v>
                </c:pt>
                <c:pt idx="1">
                  <c:v>413.33333333333326</c:v>
                </c:pt>
                <c:pt idx="2">
                  <c:v>396.66666666666657</c:v>
                </c:pt>
                <c:pt idx="3">
                  <c:v>423.3333333333332</c:v>
                </c:pt>
                <c:pt idx="4">
                  <c:v>420.00000000000017</c:v>
                </c:pt>
                <c:pt idx="5">
                  <c:v>423.33333333333348</c:v>
                </c:pt>
                <c:pt idx="6">
                  <c:v>416.66666666666669</c:v>
                </c:pt>
                <c:pt idx="7">
                  <c:v>415.00000000000006</c:v>
                </c:pt>
                <c:pt idx="8">
                  <c:v>420.00000000000006</c:v>
                </c:pt>
                <c:pt idx="9">
                  <c:v>430.00000000000017</c:v>
                </c:pt>
                <c:pt idx="10">
                  <c:v>440.00000000000017</c:v>
                </c:pt>
                <c:pt idx="11">
                  <c:v>440.00000000000017</c:v>
                </c:pt>
                <c:pt idx="12">
                  <c:v>433.33333333333309</c:v>
                </c:pt>
                <c:pt idx="13">
                  <c:v>430</c:v>
                </c:pt>
                <c:pt idx="14">
                  <c:v>390.00000000000017</c:v>
                </c:pt>
                <c:pt idx="15">
                  <c:v>430</c:v>
                </c:pt>
                <c:pt idx="16">
                  <c:v>430.00000000000017</c:v>
                </c:pt>
                <c:pt idx="17">
                  <c:v>430.00000000000017</c:v>
                </c:pt>
                <c:pt idx="18">
                  <c:v>436.66666666666697</c:v>
                </c:pt>
                <c:pt idx="19">
                  <c:v>446.66666666666634</c:v>
                </c:pt>
                <c:pt idx="20">
                  <c:v>470</c:v>
                </c:pt>
                <c:pt idx="21">
                  <c:v>436.66666666666646</c:v>
                </c:pt>
                <c:pt idx="22">
                  <c:v>413.33333333333348</c:v>
                </c:pt>
                <c:pt idx="23">
                  <c:v>396.66666666666714</c:v>
                </c:pt>
                <c:pt idx="24">
                  <c:v>459.99999999999983</c:v>
                </c:pt>
                <c:pt idx="25">
                  <c:v>460.00000000000017</c:v>
                </c:pt>
                <c:pt idx="26">
                  <c:v>453.33333333333326</c:v>
                </c:pt>
                <c:pt idx="27">
                  <c:v>313.33333333333303</c:v>
                </c:pt>
                <c:pt idx="28">
                  <c:v>333.33333333333309</c:v>
                </c:pt>
                <c:pt idx="29">
                  <c:v>346.66666666666634</c:v>
                </c:pt>
                <c:pt idx="30">
                  <c:v>1013.3333333333335</c:v>
                </c:pt>
                <c:pt idx="31">
                  <c:v>306.66666666666657</c:v>
                </c:pt>
                <c:pt idx="32">
                  <c:v>366.6666666666668</c:v>
                </c:pt>
                <c:pt idx="33">
                  <c:v>436.66666666666657</c:v>
                </c:pt>
                <c:pt idx="34">
                  <c:v>413.33333333333331</c:v>
                </c:pt>
                <c:pt idx="35">
                  <c:v>546.66666666666686</c:v>
                </c:pt>
                <c:pt idx="36">
                  <c:v>526.66666666666663</c:v>
                </c:pt>
                <c:pt idx="37">
                  <c:v>576.66666666666663</c:v>
                </c:pt>
                <c:pt idx="38">
                  <c:v>503.33333333333331</c:v>
                </c:pt>
              </c:numCache>
            </c:numRef>
          </c:yVal>
          <c:smooth val="0"/>
          <c:extLst>
            <c:ext xmlns:c16="http://schemas.microsoft.com/office/drawing/2014/chart" uri="{C3380CC4-5D6E-409C-BE32-E72D297353CC}">
              <c16:uniqueId val="{00000003-233F-9E45-ABD4-CBAA66D1D785}"/>
            </c:ext>
          </c:extLst>
        </c:ser>
        <c:ser>
          <c:idx val="3"/>
          <c:order val="3"/>
          <c:tx>
            <c:v>Tot Alk Tank</c:v>
          </c:tx>
          <c:spPr>
            <a:ln w="19050" cap="rnd">
              <a:noFill/>
              <a:round/>
            </a:ln>
            <a:effectLst/>
          </c:spPr>
          <c:marker>
            <c:symbol val="diamond"/>
            <c:size val="7"/>
            <c:spPr>
              <a:noFill/>
              <a:ln w="9525">
                <a:solidFill>
                  <a:srgbClr val="C00000"/>
                </a:solidFill>
              </a:ln>
              <a:effectLst/>
            </c:spPr>
          </c:marker>
          <c:xVal>
            <c:numRef>
              <c:f>'Set 2 Pattern Check'!$W$4:$W$43</c:f>
              <c:numCache>
                <c:formatCode>0.00</c:formatCode>
                <c:ptCount val="40"/>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1174.9666666666667</c:v>
                </c:pt>
                <c:pt idx="28">
                  <c:v>1198.6833333333334</c:v>
                </c:pt>
                <c:pt idx="29">
                  <c:v>1222.4333333333334</c:v>
                </c:pt>
                <c:pt idx="30">
                  <c:v>1459.4333333333334</c:v>
                </c:pt>
                <c:pt idx="31">
                  <c:v>1483.75</c:v>
                </c:pt>
                <c:pt idx="32">
                  <c:v>1603.2666666666667</c:v>
                </c:pt>
                <c:pt idx="33">
                  <c:v>1651.7333333333333</c:v>
                </c:pt>
                <c:pt idx="34">
                  <c:v>1723.5</c:v>
                </c:pt>
                <c:pt idx="35">
                  <c:v>1771.9166666666667</c:v>
                </c:pt>
                <c:pt idx="36">
                  <c:v>1817.7</c:v>
                </c:pt>
                <c:pt idx="37">
                  <c:v>1896.55</c:v>
                </c:pt>
                <c:pt idx="38">
                  <c:v>1944.5</c:v>
                </c:pt>
                <c:pt idx="39">
                  <c:v>2061.85</c:v>
                </c:pt>
              </c:numCache>
            </c:numRef>
          </c:xVal>
          <c:yVal>
            <c:numRef>
              <c:f>'Set 2 Pattern Check'!$K$4:$K$42</c:f>
              <c:numCache>
                <c:formatCode>General</c:formatCode>
                <c:ptCount val="39"/>
                <c:pt idx="0">
                  <c:v>370</c:v>
                </c:pt>
                <c:pt idx="1">
                  <c:v>0</c:v>
                </c:pt>
                <c:pt idx="2">
                  <c:v>360</c:v>
                </c:pt>
                <c:pt idx="3">
                  <c:v>389.99999999999989</c:v>
                </c:pt>
                <c:pt idx="4">
                  <c:v>400</c:v>
                </c:pt>
                <c:pt idx="5">
                  <c:v>390.00000000000023</c:v>
                </c:pt>
                <c:pt idx="6">
                  <c:v>440.00000000000023</c:v>
                </c:pt>
                <c:pt idx="7">
                  <c:v>400</c:v>
                </c:pt>
                <c:pt idx="8">
                  <c:v>450</c:v>
                </c:pt>
                <c:pt idx="9">
                  <c:v>440.00000000000023</c:v>
                </c:pt>
                <c:pt idx="10">
                  <c:v>450</c:v>
                </c:pt>
                <c:pt idx="11">
                  <c:v>450</c:v>
                </c:pt>
                <c:pt idx="12">
                  <c:v>459.99999999999977</c:v>
                </c:pt>
                <c:pt idx="13">
                  <c:v>409.99999999999977</c:v>
                </c:pt>
                <c:pt idx="14">
                  <c:v>369.99999999999994</c:v>
                </c:pt>
                <c:pt idx="15">
                  <c:v>509.99999999999977</c:v>
                </c:pt>
                <c:pt idx="16">
                  <c:v>410.00000000000011</c:v>
                </c:pt>
                <c:pt idx="17">
                  <c:v>410.00000000000011</c:v>
                </c:pt>
                <c:pt idx="18">
                  <c:v>440.00000000000023</c:v>
                </c:pt>
                <c:pt idx="19">
                  <c:v>459.99999999999977</c:v>
                </c:pt>
                <c:pt idx="20">
                  <c:v>500</c:v>
                </c:pt>
                <c:pt idx="21">
                  <c:v>480.00000000000006</c:v>
                </c:pt>
                <c:pt idx="22">
                  <c:v>439.99999999999989</c:v>
                </c:pt>
                <c:pt idx="23">
                  <c:v>350</c:v>
                </c:pt>
                <c:pt idx="24">
                  <c:v>460.00000000000011</c:v>
                </c:pt>
                <c:pt idx="25">
                  <c:v>469.99999999999994</c:v>
                </c:pt>
                <c:pt idx="26">
                  <c:v>429.99999999999972</c:v>
                </c:pt>
                <c:pt idx="27">
                  <c:v>279.99999999999972</c:v>
                </c:pt>
                <c:pt idx="28">
                  <c:v>350</c:v>
                </c:pt>
                <c:pt idx="29">
                  <c:v>389.99999999999989</c:v>
                </c:pt>
                <c:pt idx="30">
                  <c:v>230.00000000000006</c:v>
                </c:pt>
                <c:pt idx="31">
                  <c:v>230.00000000000003</c:v>
                </c:pt>
                <c:pt idx="32">
                  <c:v>389.99999999999994</c:v>
                </c:pt>
                <c:pt idx="33">
                  <c:v>459.99999999999994</c:v>
                </c:pt>
                <c:pt idx="34">
                  <c:v>450</c:v>
                </c:pt>
                <c:pt idx="35">
                  <c:v>540</c:v>
                </c:pt>
                <c:pt idx="36">
                  <c:v>509.99999999999994</c:v>
                </c:pt>
                <c:pt idx="37">
                  <c:v>459.99999999999994</c:v>
                </c:pt>
                <c:pt idx="38">
                  <c:v>460.00000000000006</c:v>
                </c:pt>
              </c:numCache>
            </c:numRef>
          </c:yVal>
          <c:smooth val="0"/>
          <c:extLst>
            <c:ext xmlns:c16="http://schemas.microsoft.com/office/drawing/2014/chart" uri="{C3380CC4-5D6E-409C-BE32-E72D297353CC}">
              <c16:uniqueId val="{00000004-233F-9E45-ABD4-CBAA66D1D785}"/>
            </c:ext>
          </c:extLst>
        </c:ser>
        <c:dLbls>
          <c:showLegendKey val="0"/>
          <c:showVal val="0"/>
          <c:showCatName val="0"/>
          <c:showSerName val="0"/>
          <c:showPercent val="0"/>
          <c:showBubbleSize val="0"/>
        </c:dLbls>
        <c:axId val="1955258415"/>
        <c:axId val="1955255455"/>
      </c:scatterChart>
      <c:valAx>
        <c:axId val="19403025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276015"/>
        <c:crosses val="autoZero"/>
        <c:crossBetween val="midCat"/>
      </c:valAx>
      <c:valAx>
        <c:axId val="1921276015"/>
        <c:scaling>
          <c:orientation val="minMax"/>
          <c:max val="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ppm and TOC decimal percent</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030256"/>
        <c:crosses val="autoZero"/>
        <c:crossBetween val="midCat"/>
      </c:valAx>
      <c:valAx>
        <c:axId val="1955255455"/>
        <c:scaling>
          <c:orientation val="minMax"/>
        </c:scaling>
        <c:delete val="0"/>
        <c:axPos val="r"/>
        <c:numFmt formatCode="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5258415"/>
        <c:crosses val="max"/>
        <c:crossBetween val="midCat"/>
      </c:valAx>
      <c:valAx>
        <c:axId val="1955258415"/>
        <c:scaling>
          <c:orientation val="minMax"/>
        </c:scaling>
        <c:delete val="1"/>
        <c:axPos val="b"/>
        <c:numFmt formatCode="0.00" sourceLinked="1"/>
        <c:majorTickMark val="out"/>
        <c:minorTickMark val="none"/>
        <c:tickLblPos val="nextTo"/>
        <c:crossAx val="195525545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2 Control Pattern Check</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Fluoride Control 2</c:v>
          </c:tx>
          <c:spPr>
            <a:ln w="19050" cap="rnd">
              <a:noFill/>
              <a:round/>
            </a:ln>
            <a:effectLst/>
          </c:spPr>
          <c:marker>
            <c:symbol val="circle"/>
            <c:size val="7"/>
            <c:spPr>
              <a:noFill/>
              <a:ln w="9525">
                <a:solidFill>
                  <a:schemeClr val="accent1"/>
                </a:solidFill>
              </a:ln>
              <a:effectLst/>
            </c:spPr>
          </c:marker>
          <c:xVal>
            <c:numRef>
              <c:f>'Set 2 Pattern Check'!$A$4:$A$42</c:f>
              <c:numCache>
                <c:formatCode>0.00</c:formatCode>
                <c:ptCount val="39"/>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1176</c:v>
                </c:pt>
                <c:pt idx="28">
                  <c:v>1200.1166666666666</c:v>
                </c:pt>
                <c:pt idx="29">
                  <c:v>1223.9833333333333</c:v>
                </c:pt>
                <c:pt idx="30">
                  <c:v>1442.9166666666667</c:v>
                </c:pt>
                <c:pt idx="31">
                  <c:v>1462.7833333333333</c:v>
                </c:pt>
                <c:pt idx="32">
                  <c:v>1487.9666666666667</c:v>
                </c:pt>
                <c:pt idx="33">
                  <c:v>1607.6666666666667</c:v>
                </c:pt>
                <c:pt idx="34">
                  <c:v>1655.8333333333333</c:v>
                </c:pt>
                <c:pt idx="35">
                  <c:v>1727.7666666666667</c:v>
                </c:pt>
                <c:pt idx="36">
                  <c:v>1776.1166666666666</c:v>
                </c:pt>
                <c:pt idx="37">
                  <c:v>1822.25</c:v>
                </c:pt>
                <c:pt idx="38">
                  <c:v>1901.2333333333333</c:v>
                </c:pt>
              </c:numCache>
            </c:numRef>
          </c:xVal>
          <c:yVal>
            <c:numRef>
              <c:f>'Set 2 Pattern Check'!$D$4:$D$42</c:f>
              <c:numCache>
                <c:formatCode>0.00</c:formatCode>
                <c:ptCount val="39"/>
                <c:pt idx="0">
                  <c:v>0</c:v>
                </c:pt>
                <c:pt idx="1">
                  <c:v>0.34207108990426721</c:v>
                </c:pt>
                <c:pt idx="2">
                  <c:v>0.38691752483918707</c:v>
                </c:pt>
                <c:pt idx="3">
                  <c:v>0.36378461631383446</c:v>
                </c:pt>
                <c:pt idx="4">
                  <c:v>0.34605743967626013</c:v>
                </c:pt>
                <c:pt idx="5">
                  <c:v>0.31111580471908762</c:v>
                </c:pt>
                <c:pt idx="6">
                  <c:v>0.27442520065174097</c:v>
                </c:pt>
                <c:pt idx="7">
                  <c:v>0.28142538169090581</c:v>
                </c:pt>
                <c:pt idx="8">
                  <c:v>0.32089191961861085</c:v>
                </c:pt>
                <c:pt idx="9">
                  <c:v>0.22925513778246176</c:v>
                </c:pt>
                <c:pt idx="10">
                  <c:v>0.19584017854375252</c:v>
                </c:pt>
                <c:pt idx="11">
                  <c:v>0.14268001611853318</c:v>
                </c:pt>
                <c:pt idx="12">
                  <c:v>0.23353803125190004</c:v>
                </c:pt>
                <c:pt idx="13">
                  <c:v>0.30017632394965643</c:v>
                </c:pt>
                <c:pt idx="14">
                  <c:v>0.2428406396303277</c:v>
                </c:pt>
                <c:pt idx="15">
                  <c:v>0.31834747281634607</c:v>
                </c:pt>
                <c:pt idx="16">
                  <c:v>0.42776914804636157</c:v>
                </c:pt>
                <c:pt idx="17">
                  <c:v>0.21770475571645162</c:v>
                </c:pt>
                <c:pt idx="18">
                  <c:v>0.19428200129954518</c:v>
                </c:pt>
                <c:pt idx="19">
                  <c:v>0.15359386119620039</c:v>
                </c:pt>
                <c:pt idx="20">
                  <c:v>0.15883587263935772</c:v>
                </c:pt>
                <c:pt idx="21">
                  <c:v>0.18526290180336347</c:v>
                </c:pt>
                <c:pt idx="22">
                  <c:v>0.12982392117507527</c:v>
                </c:pt>
                <c:pt idx="23">
                  <c:v>0.12628573183088213</c:v>
                </c:pt>
                <c:pt idx="24">
                  <c:v>9.3370996960299685E-2</c:v>
                </c:pt>
                <c:pt idx="25">
                  <c:v>0.11105652614449324</c:v>
                </c:pt>
                <c:pt idx="26">
                  <c:v>0.10366656220620495</c:v>
                </c:pt>
                <c:pt idx="27">
                  <c:v>0.11685991852083986</c:v>
                </c:pt>
                <c:pt idx="28">
                  <c:v>0.17104356001253529</c:v>
                </c:pt>
                <c:pt idx="29">
                  <c:v>0.24059286324660401</c:v>
                </c:pt>
                <c:pt idx="30">
                  <c:v>0.2989067978902083</c:v>
                </c:pt>
                <c:pt idx="31">
                  <c:v>0.12744202492854406</c:v>
                </c:pt>
                <c:pt idx="32">
                  <c:v>0.13395986945485311</c:v>
                </c:pt>
                <c:pt idx="33">
                  <c:v>0.23851686208146983</c:v>
                </c:pt>
                <c:pt idx="34">
                  <c:v>0.22271512089074297</c:v>
                </c:pt>
                <c:pt idx="35">
                  <c:v>0.34398777872440434</c:v>
                </c:pt>
                <c:pt idx="36">
                  <c:v>8.6955205811138025E-2</c:v>
                </c:pt>
                <c:pt idx="37">
                  <c:v>7.7481840193704604E-2</c:v>
                </c:pt>
                <c:pt idx="38">
                  <c:v>7.4909200968523007E-2</c:v>
                </c:pt>
              </c:numCache>
            </c:numRef>
          </c:yVal>
          <c:smooth val="0"/>
          <c:extLst>
            <c:ext xmlns:c16="http://schemas.microsoft.com/office/drawing/2014/chart" uri="{C3380CC4-5D6E-409C-BE32-E72D297353CC}">
              <c16:uniqueId val="{00000000-2F1C-5B46-9D19-7E9BA7C55BEB}"/>
            </c:ext>
          </c:extLst>
        </c:ser>
        <c:ser>
          <c:idx val="1"/>
          <c:order val="1"/>
          <c:tx>
            <c:v>TOC Control 2</c:v>
          </c:tx>
          <c:spPr>
            <a:ln w="25400" cap="rnd">
              <a:noFill/>
              <a:round/>
            </a:ln>
            <a:effectLst/>
          </c:spPr>
          <c:marker>
            <c:symbol val="square"/>
            <c:size val="7"/>
            <c:spPr>
              <a:solidFill>
                <a:schemeClr val="tx1"/>
              </a:solidFill>
              <a:ln w="9525">
                <a:solidFill>
                  <a:schemeClr val="tx1"/>
                </a:solidFill>
              </a:ln>
              <a:effectLst/>
            </c:spPr>
          </c:marker>
          <c:xVal>
            <c:numRef>
              <c:f>'Set 2 Pattern Check'!$A$18:$A$40</c:f>
              <c:numCache>
                <c:formatCode>0.00</c:formatCode>
                <c:ptCount val="23"/>
                <c:pt idx="0">
                  <c:v>527.65</c:v>
                </c:pt>
                <c:pt idx="1">
                  <c:v>599</c:v>
                </c:pt>
                <c:pt idx="2">
                  <c:v>623</c:v>
                </c:pt>
                <c:pt idx="3">
                  <c:v>646.56666666666672</c:v>
                </c:pt>
                <c:pt idx="4">
                  <c:v>699.03</c:v>
                </c:pt>
                <c:pt idx="5">
                  <c:v>766.58</c:v>
                </c:pt>
                <c:pt idx="6">
                  <c:v>815.1</c:v>
                </c:pt>
                <c:pt idx="7">
                  <c:v>862.92</c:v>
                </c:pt>
                <c:pt idx="8">
                  <c:v>935.88</c:v>
                </c:pt>
                <c:pt idx="9">
                  <c:v>982.4</c:v>
                </c:pt>
                <c:pt idx="10">
                  <c:v>1006.7833333333333</c:v>
                </c:pt>
                <c:pt idx="11">
                  <c:v>1106.5999999999999</c:v>
                </c:pt>
                <c:pt idx="12">
                  <c:v>1151.2</c:v>
                </c:pt>
                <c:pt idx="13">
                  <c:v>1176</c:v>
                </c:pt>
                <c:pt idx="14">
                  <c:v>1200.1166666666666</c:v>
                </c:pt>
                <c:pt idx="15">
                  <c:v>1223.9833333333333</c:v>
                </c:pt>
                <c:pt idx="16">
                  <c:v>1442.9166666666667</c:v>
                </c:pt>
                <c:pt idx="17">
                  <c:v>1462.7833333333333</c:v>
                </c:pt>
                <c:pt idx="18">
                  <c:v>1487.9666666666667</c:v>
                </c:pt>
                <c:pt idx="19">
                  <c:v>1607.6666666666667</c:v>
                </c:pt>
                <c:pt idx="20">
                  <c:v>1655.8333333333333</c:v>
                </c:pt>
                <c:pt idx="21">
                  <c:v>1727.7666666666667</c:v>
                </c:pt>
                <c:pt idx="22">
                  <c:v>1776.1166666666666</c:v>
                </c:pt>
              </c:numCache>
            </c:numRef>
          </c:xVal>
          <c:yVal>
            <c:numRef>
              <c:f>'Set 2 Pattern Check'!$I$18:$I$40</c:f>
              <c:numCache>
                <c:formatCode>0.00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2-2F1C-5B46-9D19-7E9BA7C55BEB}"/>
            </c:ext>
          </c:extLst>
        </c:ser>
        <c:ser>
          <c:idx val="3"/>
          <c:order val="3"/>
          <c:tx>
            <c:v>pH Control 2</c:v>
          </c:tx>
          <c:spPr>
            <a:ln w="25400" cap="rnd">
              <a:noFill/>
              <a:round/>
            </a:ln>
            <a:effectLst/>
          </c:spPr>
          <c:marker>
            <c:symbol val="triangle"/>
            <c:size val="7"/>
            <c:spPr>
              <a:noFill/>
              <a:ln w="9525">
                <a:solidFill>
                  <a:srgbClr val="002060"/>
                </a:solidFill>
              </a:ln>
              <a:effectLst/>
            </c:spPr>
          </c:marker>
          <c:xVal>
            <c:numRef>
              <c:f>'Set 2 Pattern Check'!$W$4:$W$43</c:f>
              <c:numCache>
                <c:formatCode>0.00</c:formatCode>
                <c:ptCount val="40"/>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1174.9666666666667</c:v>
                </c:pt>
                <c:pt idx="28">
                  <c:v>1198.6833333333334</c:v>
                </c:pt>
                <c:pt idx="29">
                  <c:v>1222.4333333333334</c:v>
                </c:pt>
                <c:pt idx="30">
                  <c:v>1459.4333333333334</c:v>
                </c:pt>
                <c:pt idx="31">
                  <c:v>1483.75</c:v>
                </c:pt>
                <c:pt idx="32">
                  <c:v>1603.2666666666667</c:v>
                </c:pt>
                <c:pt idx="33">
                  <c:v>1651.7333333333333</c:v>
                </c:pt>
                <c:pt idx="34">
                  <c:v>1723.5</c:v>
                </c:pt>
                <c:pt idx="35">
                  <c:v>1771.9166666666667</c:v>
                </c:pt>
                <c:pt idx="36">
                  <c:v>1817.7</c:v>
                </c:pt>
                <c:pt idx="37">
                  <c:v>1896.55</c:v>
                </c:pt>
                <c:pt idx="38">
                  <c:v>1944.5</c:v>
                </c:pt>
                <c:pt idx="39">
                  <c:v>2061.85</c:v>
                </c:pt>
              </c:numCache>
            </c:numRef>
          </c:xVal>
          <c:yVal>
            <c:numRef>
              <c:f>'Set 2 Pattern Check'!$U$11:$U$43</c:f>
              <c:numCache>
                <c:formatCode>General</c:formatCode>
                <c:ptCount val="33"/>
                <c:pt idx="0">
                  <c:v>8.92</c:v>
                </c:pt>
                <c:pt idx="1">
                  <c:v>8.8699999999999992</c:v>
                </c:pt>
                <c:pt idx="2">
                  <c:v>8.8699999999999992</c:v>
                </c:pt>
                <c:pt idx="3">
                  <c:v>8.94</c:v>
                </c:pt>
                <c:pt idx="4">
                  <c:v>8.8800000000000008</c:v>
                </c:pt>
                <c:pt idx="5">
                  <c:v>8.91</c:v>
                </c:pt>
                <c:pt idx="6">
                  <c:v>8.93</c:v>
                </c:pt>
                <c:pt idx="7">
                  <c:v>8.93</c:v>
                </c:pt>
                <c:pt idx="8">
                  <c:v>8.8699999999999992</c:v>
                </c:pt>
                <c:pt idx="9">
                  <c:v>8.84</c:v>
                </c:pt>
                <c:pt idx="10">
                  <c:v>8.8800000000000008</c:v>
                </c:pt>
                <c:pt idx="11">
                  <c:v>8.8699999999999992</c:v>
                </c:pt>
                <c:pt idx="12">
                  <c:v>8.8800000000000008</c:v>
                </c:pt>
                <c:pt idx="13">
                  <c:v>8.7799999999999994</c:v>
                </c:pt>
                <c:pt idx="14">
                  <c:v>8.77</c:v>
                </c:pt>
                <c:pt idx="15">
                  <c:v>8.83</c:v>
                </c:pt>
                <c:pt idx="16">
                  <c:v>8.7899999999999991</c:v>
                </c:pt>
                <c:pt idx="17">
                  <c:v>8.58</c:v>
                </c:pt>
                <c:pt idx="18">
                  <c:v>8.68</c:v>
                </c:pt>
                <c:pt idx="19">
                  <c:v>8.61</c:v>
                </c:pt>
                <c:pt idx="20">
                  <c:v>8.69</c:v>
                </c:pt>
                <c:pt idx="21">
                  <c:v>8.7799999999999994</c:v>
                </c:pt>
                <c:pt idx="22">
                  <c:v>8.74</c:v>
                </c:pt>
                <c:pt idx="23">
                  <c:v>8.76</c:v>
                </c:pt>
                <c:pt idx="24">
                  <c:v>8.99</c:v>
                </c:pt>
                <c:pt idx="25">
                  <c:v>8.67</c:v>
                </c:pt>
                <c:pt idx="26">
                  <c:v>8.83</c:v>
                </c:pt>
                <c:pt idx="27">
                  <c:v>8.67</c:v>
                </c:pt>
                <c:pt idx="28">
                  <c:v>8.6999999999999993</c:v>
                </c:pt>
                <c:pt idx="29">
                  <c:v>8.7100000000000009</c:v>
                </c:pt>
                <c:pt idx="30">
                  <c:v>8.7899999999999991</c:v>
                </c:pt>
                <c:pt idx="31">
                  <c:v>8.8000000000000007</c:v>
                </c:pt>
                <c:pt idx="32">
                  <c:v>8.91</c:v>
                </c:pt>
              </c:numCache>
            </c:numRef>
          </c:yVal>
          <c:smooth val="0"/>
          <c:extLst>
            <c:ext xmlns:c16="http://schemas.microsoft.com/office/drawing/2014/chart" uri="{C3380CC4-5D6E-409C-BE32-E72D297353CC}">
              <c16:uniqueId val="{00000001-B395-FC4F-8A0A-B9CE6E8912A6}"/>
            </c:ext>
          </c:extLst>
        </c:ser>
        <c:ser>
          <c:idx val="4"/>
          <c:order val="4"/>
          <c:tx>
            <c:v>Fluoride 2 0</c:v>
          </c:tx>
          <c:spPr>
            <a:ln w="25400" cap="rnd">
              <a:noFill/>
              <a:round/>
            </a:ln>
            <a:effectLst/>
          </c:spPr>
          <c:marker>
            <c:symbol val="circle"/>
            <c:size val="7"/>
            <c:spPr>
              <a:solidFill>
                <a:schemeClr val="accent5"/>
              </a:solidFill>
              <a:ln w="9525">
                <a:solidFill>
                  <a:schemeClr val="accent5"/>
                </a:solidFill>
              </a:ln>
              <a:effectLst/>
            </c:spPr>
          </c:marker>
          <c:xVal>
            <c:numRef>
              <c:f>'Set 2 Pattern Check'!$B$4:$B$14</c:f>
              <c:numCache>
                <c:formatCode>0.00</c:formatCode>
                <c:ptCount val="11"/>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numCache>
            </c:numRef>
          </c:xVal>
          <c:yVal>
            <c:numRef>
              <c:f>'Set 2 Pattern Check'!$F$4:$F$12</c:f>
              <c:numCache>
                <c:formatCode>0.00</c:formatCode>
                <c:ptCount val="9"/>
                <c:pt idx="0">
                  <c:v>3.4565518460677134</c:v>
                </c:pt>
                <c:pt idx="1">
                  <c:v>4.828770957951499</c:v>
                </c:pt>
                <c:pt idx="2">
                  <c:v>3.5920464160522183</c:v>
                </c:pt>
                <c:pt idx="3">
                  <c:v>3.6924029977033728</c:v>
                </c:pt>
                <c:pt idx="4">
                  <c:v>2.9098680924821525</c:v>
                </c:pt>
                <c:pt idx="5">
                  <c:v>2.9178589265254562</c:v>
                </c:pt>
                <c:pt idx="6">
                  <c:v>2.8596852300242133</c:v>
                </c:pt>
                <c:pt idx="7">
                  <c:v>3.0462469733656174</c:v>
                </c:pt>
                <c:pt idx="8">
                  <c:v>3.1256053268765136</c:v>
                </c:pt>
              </c:numCache>
            </c:numRef>
          </c:yVal>
          <c:smooth val="0"/>
          <c:extLst>
            <c:ext xmlns:c16="http://schemas.microsoft.com/office/drawing/2014/chart" uri="{C3380CC4-5D6E-409C-BE32-E72D297353CC}">
              <c16:uniqueId val="{00000002-B395-FC4F-8A0A-B9CE6E8912A6}"/>
            </c:ext>
          </c:extLst>
        </c:ser>
        <c:ser>
          <c:idx val="7"/>
          <c:order val="6"/>
          <c:tx>
            <c:v>pH 2 0</c:v>
          </c:tx>
          <c:spPr>
            <a:ln w="25400" cap="rnd">
              <a:noFill/>
              <a:round/>
            </a:ln>
            <a:effectLst/>
          </c:spPr>
          <c:marker>
            <c:symbol val="triangle"/>
            <c:size val="7"/>
            <c:spPr>
              <a:solidFill>
                <a:srgbClr val="002060"/>
              </a:solidFill>
              <a:ln w="9525">
                <a:solidFill>
                  <a:schemeClr val="tx2"/>
                </a:solidFill>
              </a:ln>
              <a:effectLst/>
            </c:spPr>
          </c:marker>
          <c:xVal>
            <c:numRef>
              <c:f>'Set 2 Pattern Check'!$B$4:$B$14</c:f>
              <c:numCache>
                <c:formatCode>0.00</c:formatCode>
                <c:ptCount val="11"/>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numCache>
            </c:numRef>
          </c:xVal>
          <c:yVal>
            <c:numRef>
              <c:f>'Set 2 Pattern Check'!$T$4:$T$13</c:f>
              <c:numCache>
                <c:formatCode>General</c:formatCode>
                <c:ptCount val="10"/>
                <c:pt idx="0">
                  <c:v>8.43</c:v>
                </c:pt>
                <c:pt idx="1">
                  <c:v>8.68</c:v>
                </c:pt>
                <c:pt idx="2">
                  <c:v>8.56</c:v>
                </c:pt>
                <c:pt idx="3">
                  <c:v>8.6300000000000008</c:v>
                </c:pt>
                <c:pt idx="4">
                  <c:v>8.68</c:v>
                </c:pt>
                <c:pt idx="5">
                  <c:v>8.74</c:v>
                </c:pt>
                <c:pt idx="6">
                  <c:v>8.74</c:v>
                </c:pt>
                <c:pt idx="7">
                  <c:v>8.84</c:v>
                </c:pt>
                <c:pt idx="8">
                  <c:v>8.75</c:v>
                </c:pt>
                <c:pt idx="9">
                  <c:v>8.82</c:v>
                </c:pt>
              </c:numCache>
            </c:numRef>
          </c:yVal>
          <c:smooth val="0"/>
          <c:extLst>
            <c:ext xmlns:c16="http://schemas.microsoft.com/office/drawing/2014/chart" uri="{C3380CC4-5D6E-409C-BE32-E72D297353CC}">
              <c16:uniqueId val="{00000005-B395-FC4F-8A0A-B9CE6E8912A6}"/>
            </c:ext>
          </c:extLst>
        </c:ser>
        <c:dLbls>
          <c:showLegendKey val="0"/>
          <c:showVal val="0"/>
          <c:showCatName val="0"/>
          <c:showSerName val="0"/>
          <c:showPercent val="0"/>
          <c:showBubbleSize val="0"/>
        </c:dLbls>
        <c:axId val="1919311423"/>
        <c:axId val="1933601807"/>
      </c:scatterChart>
      <c:scatterChart>
        <c:scatterStyle val="lineMarker"/>
        <c:varyColors val="0"/>
        <c:ser>
          <c:idx val="2"/>
          <c:order val="2"/>
          <c:tx>
            <c:v>Tot Alk Control 2</c:v>
          </c:tx>
          <c:spPr>
            <a:ln w="25400" cap="rnd">
              <a:noFill/>
              <a:round/>
            </a:ln>
            <a:effectLst/>
          </c:spPr>
          <c:marker>
            <c:symbol val="diamond"/>
            <c:size val="7"/>
            <c:spPr>
              <a:noFill/>
              <a:ln w="9525">
                <a:solidFill>
                  <a:srgbClr val="C00000"/>
                </a:solidFill>
              </a:ln>
              <a:effectLst/>
            </c:spPr>
          </c:marker>
          <c:xVal>
            <c:numRef>
              <c:f>'Set 2 Pattern Check'!$W$4:$W$43</c:f>
              <c:numCache>
                <c:formatCode>0.00</c:formatCode>
                <c:ptCount val="40"/>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1174.9666666666667</c:v>
                </c:pt>
                <c:pt idx="28">
                  <c:v>1198.6833333333334</c:v>
                </c:pt>
                <c:pt idx="29">
                  <c:v>1222.4333333333334</c:v>
                </c:pt>
                <c:pt idx="30">
                  <c:v>1459.4333333333334</c:v>
                </c:pt>
                <c:pt idx="31">
                  <c:v>1483.75</c:v>
                </c:pt>
                <c:pt idx="32">
                  <c:v>1603.2666666666667</c:v>
                </c:pt>
                <c:pt idx="33">
                  <c:v>1651.7333333333333</c:v>
                </c:pt>
                <c:pt idx="34">
                  <c:v>1723.5</c:v>
                </c:pt>
                <c:pt idx="35">
                  <c:v>1771.9166666666667</c:v>
                </c:pt>
                <c:pt idx="36">
                  <c:v>1817.7</c:v>
                </c:pt>
                <c:pt idx="37">
                  <c:v>1896.55</c:v>
                </c:pt>
                <c:pt idx="38">
                  <c:v>1944.5</c:v>
                </c:pt>
                <c:pt idx="39">
                  <c:v>2061.85</c:v>
                </c:pt>
              </c:numCache>
            </c:numRef>
          </c:xVal>
          <c:yVal>
            <c:numRef>
              <c:f>'Set 2 Pattern Check'!$O$4:$O$42</c:f>
              <c:numCache>
                <c:formatCode>General</c:formatCode>
                <c:ptCount val="39"/>
                <c:pt idx="0">
                  <c:v>430.00000000000006</c:v>
                </c:pt>
                <c:pt idx="1">
                  <c:v>414.99999999999989</c:v>
                </c:pt>
                <c:pt idx="2">
                  <c:v>409.99999999999977</c:v>
                </c:pt>
                <c:pt idx="3">
                  <c:v>450</c:v>
                </c:pt>
                <c:pt idx="4">
                  <c:v>419.99999999999994</c:v>
                </c:pt>
                <c:pt idx="5">
                  <c:v>430.00000000000006</c:v>
                </c:pt>
                <c:pt idx="6">
                  <c:v>450</c:v>
                </c:pt>
                <c:pt idx="7">
                  <c:v>419.99999999999994</c:v>
                </c:pt>
                <c:pt idx="8">
                  <c:v>439.99999999999989</c:v>
                </c:pt>
                <c:pt idx="9">
                  <c:v>440.00000000000023</c:v>
                </c:pt>
                <c:pt idx="10">
                  <c:v>400.00000000000034</c:v>
                </c:pt>
                <c:pt idx="11">
                  <c:v>419.99999999999994</c:v>
                </c:pt>
                <c:pt idx="12">
                  <c:v>400.00000000000034</c:v>
                </c:pt>
                <c:pt idx="13">
                  <c:v>469.99999999999994</c:v>
                </c:pt>
                <c:pt idx="14">
                  <c:v>430.00000000000006</c:v>
                </c:pt>
                <c:pt idx="15">
                  <c:v>479.99999999999972</c:v>
                </c:pt>
                <c:pt idx="16">
                  <c:v>479.99999999999972</c:v>
                </c:pt>
                <c:pt idx="17">
                  <c:v>400</c:v>
                </c:pt>
                <c:pt idx="18">
                  <c:v>450</c:v>
                </c:pt>
                <c:pt idx="19">
                  <c:v>400.00000000000034</c:v>
                </c:pt>
                <c:pt idx="20">
                  <c:v>489.99999999999989</c:v>
                </c:pt>
                <c:pt idx="21">
                  <c:v>459.99999999999977</c:v>
                </c:pt>
                <c:pt idx="22">
                  <c:v>450.00000000000034</c:v>
                </c:pt>
                <c:pt idx="23">
                  <c:v>350</c:v>
                </c:pt>
                <c:pt idx="24">
                  <c:v>459.99999999999977</c:v>
                </c:pt>
                <c:pt idx="25">
                  <c:v>410.00000000000011</c:v>
                </c:pt>
                <c:pt idx="26">
                  <c:v>440.00000000000023</c:v>
                </c:pt>
                <c:pt idx="27">
                  <c:v>319.99999999999994</c:v>
                </c:pt>
                <c:pt idx="28">
                  <c:v>319.99999999999994</c:v>
                </c:pt>
                <c:pt idx="29">
                  <c:v>369.99999999999994</c:v>
                </c:pt>
                <c:pt idx="30">
                  <c:v>1250</c:v>
                </c:pt>
                <c:pt idx="31">
                  <c:v>400</c:v>
                </c:pt>
                <c:pt idx="32">
                  <c:v>390.00000000000006</c:v>
                </c:pt>
                <c:pt idx="33">
                  <c:v>520.00000000000011</c:v>
                </c:pt>
                <c:pt idx="34">
                  <c:v>459.99999999999994</c:v>
                </c:pt>
                <c:pt idx="35">
                  <c:v>520.00000000000011</c:v>
                </c:pt>
                <c:pt idx="36">
                  <c:v>509.99999999999977</c:v>
                </c:pt>
                <c:pt idx="37">
                  <c:v>569.99999999999955</c:v>
                </c:pt>
                <c:pt idx="38">
                  <c:v>520.00000000000011</c:v>
                </c:pt>
              </c:numCache>
            </c:numRef>
          </c:yVal>
          <c:smooth val="0"/>
          <c:extLst>
            <c:ext xmlns:c16="http://schemas.microsoft.com/office/drawing/2014/chart" uri="{C3380CC4-5D6E-409C-BE32-E72D297353CC}">
              <c16:uniqueId val="{00000003-2F1C-5B46-9D19-7E9BA7C55BEB}"/>
            </c:ext>
          </c:extLst>
        </c:ser>
        <c:ser>
          <c:idx val="6"/>
          <c:order val="5"/>
          <c:tx>
            <c:v>TotAlk 2 0</c:v>
          </c:tx>
          <c:spPr>
            <a:ln w="25400" cap="rnd">
              <a:noFill/>
              <a:round/>
            </a:ln>
            <a:effectLst/>
          </c:spPr>
          <c:marker>
            <c:symbol val="diamond"/>
            <c:size val="7"/>
            <c:spPr>
              <a:solidFill>
                <a:srgbClr val="C00000"/>
              </a:solidFill>
              <a:ln w="9525">
                <a:solidFill>
                  <a:srgbClr val="C00000"/>
                </a:solidFill>
              </a:ln>
              <a:effectLst/>
            </c:spPr>
          </c:marker>
          <c:xVal>
            <c:numRef>
              <c:f>'Set 2 Pattern Check'!$B$4:$B$14</c:f>
              <c:numCache>
                <c:formatCode>0.00</c:formatCode>
                <c:ptCount val="11"/>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numCache>
            </c:numRef>
          </c:xVal>
          <c:yVal>
            <c:numRef>
              <c:f>'Set 2 Pattern Check'!$M$4:$M$13</c:f>
              <c:numCache>
                <c:formatCode>General</c:formatCode>
                <c:ptCount val="10"/>
                <c:pt idx="0">
                  <c:v>0</c:v>
                </c:pt>
                <c:pt idx="1">
                  <c:v>409.99999999999943</c:v>
                </c:pt>
                <c:pt idx="2">
                  <c:v>200</c:v>
                </c:pt>
                <c:pt idx="3">
                  <c:v>489.99999999999989</c:v>
                </c:pt>
                <c:pt idx="4">
                  <c:v>450</c:v>
                </c:pt>
                <c:pt idx="5">
                  <c:v>419.99999999999955</c:v>
                </c:pt>
                <c:pt idx="6">
                  <c:v>429.99999999999972</c:v>
                </c:pt>
                <c:pt idx="7">
                  <c:v>419.99999999999994</c:v>
                </c:pt>
                <c:pt idx="8">
                  <c:v>380</c:v>
                </c:pt>
                <c:pt idx="9">
                  <c:v>519.99999999999955</c:v>
                </c:pt>
              </c:numCache>
            </c:numRef>
          </c:yVal>
          <c:smooth val="0"/>
          <c:extLst>
            <c:ext xmlns:c16="http://schemas.microsoft.com/office/drawing/2014/chart" uri="{C3380CC4-5D6E-409C-BE32-E72D297353CC}">
              <c16:uniqueId val="{00000004-B395-FC4F-8A0A-B9CE6E8912A6}"/>
            </c:ext>
          </c:extLst>
        </c:ser>
        <c:dLbls>
          <c:showLegendKey val="0"/>
          <c:showVal val="0"/>
          <c:showCatName val="0"/>
          <c:showSerName val="0"/>
          <c:showPercent val="0"/>
          <c:showBubbleSize val="0"/>
        </c:dLbls>
        <c:axId val="1935353039"/>
        <c:axId val="1935300895"/>
      </c:scatterChart>
      <c:valAx>
        <c:axId val="1919311423"/>
        <c:scaling>
          <c:orientation val="minMax"/>
          <c:max val="2100"/>
          <c:min val="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3601807"/>
        <c:crosses val="autoZero"/>
        <c:crossBetween val="midCat"/>
      </c:valAx>
      <c:valAx>
        <c:axId val="19336018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ppm/ TOC decimal percent</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19311423"/>
        <c:crosses val="autoZero"/>
        <c:crossBetween val="midCat"/>
      </c:valAx>
      <c:valAx>
        <c:axId val="1935300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Alkalinity</a:t>
                </a:r>
                <a:r>
                  <a:rPr lang="en-US" baseline="0"/>
                  <a:t> at CaCO3 mg/L</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5353039"/>
        <c:crosses val="max"/>
        <c:crossBetween val="midCat"/>
      </c:valAx>
      <c:valAx>
        <c:axId val="1935353039"/>
        <c:scaling>
          <c:orientation val="minMax"/>
        </c:scaling>
        <c:delete val="1"/>
        <c:axPos val="b"/>
        <c:numFmt formatCode="0.00" sourceLinked="1"/>
        <c:majorTickMark val="out"/>
        <c:minorTickMark val="none"/>
        <c:tickLblPos val="nextTo"/>
        <c:crossAx val="193530089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2: Percentage of Influent TOC Passing Through Columns to Effluent</a:t>
            </a:r>
            <a:endParaRPr lang="en-US"/>
          </a:p>
        </c:rich>
      </c:tx>
      <c:layout>
        <c:manualLayout>
          <c:xMode val="edge"/>
          <c:yMode val="edge"/>
          <c:x val="9.758834251992432E-2"/>
          <c:y val="2.77777930391107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2Control TOC</c:v>
          </c:tx>
          <c:spPr>
            <a:ln w="19050" cap="rnd">
              <a:noFill/>
              <a:round/>
            </a:ln>
            <a:effectLst/>
          </c:spPr>
          <c:marker>
            <c:symbol val="square"/>
            <c:size val="5"/>
            <c:spPr>
              <a:noFill/>
              <a:ln w="9525">
                <a:solidFill>
                  <a:srgbClr val="C00000"/>
                </a:solidFill>
              </a:ln>
              <a:effectLst/>
            </c:spPr>
          </c:marker>
          <c:xVal>
            <c:numRef>
              <c:f>'Set 2 Pattern Check'!$A$18:$A$44</c:f>
              <c:numCache>
                <c:formatCode>0.00</c:formatCode>
                <c:ptCount val="27"/>
                <c:pt idx="0">
                  <c:v>527.65</c:v>
                </c:pt>
                <c:pt idx="1">
                  <c:v>599</c:v>
                </c:pt>
                <c:pt idx="2">
                  <c:v>623</c:v>
                </c:pt>
                <c:pt idx="3">
                  <c:v>646.56666666666672</c:v>
                </c:pt>
                <c:pt idx="4">
                  <c:v>699.03</c:v>
                </c:pt>
                <c:pt idx="5">
                  <c:v>766.58</c:v>
                </c:pt>
                <c:pt idx="6">
                  <c:v>815.1</c:v>
                </c:pt>
                <c:pt idx="7">
                  <c:v>862.92</c:v>
                </c:pt>
                <c:pt idx="8">
                  <c:v>935.88</c:v>
                </c:pt>
                <c:pt idx="9">
                  <c:v>982.4</c:v>
                </c:pt>
                <c:pt idx="10">
                  <c:v>1006.7833333333333</c:v>
                </c:pt>
                <c:pt idx="11">
                  <c:v>1106.5999999999999</c:v>
                </c:pt>
                <c:pt idx="12">
                  <c:v>1151.2</c:v>
                </c:pt>
                <c:pt idx="13">
                  <c:v>1176</c:v>
                </c:pt>
                <c:pt idx="14">
                  <c:v>1200.1166666666666</c:v>
                </c:pt>
                <c:pt idx="15">
                  <c:v>1223.9833333333333</c:v>
                </c:pt>
                <c:pt idx="16">
                  <c:v>1442.9166666666667</c:v>
                </c:pt>
                <c:pt idx="17">
                  <c:v>1462.7833333333333</c:v>
                </c:pt>
                <c:pt idx="18">
                  <c:v>1487.9666666666667</c:v>
                </c:pt>
                <c:pt idx="19">
                  <c:v>1607.6666666666667</c:v>
                </c:pt>
                <c:pt idx="20">
                  <c:v>1655.8333333333333</c:v>
                </c:pt>
                <c:pt idx="21">
                  <c:v>1727.7666666666667</c:v>
                </c:pt>
                <c:pt idx="22">
                  <c:v>1776.1166666666666</c:v>
                </c:pt>
                <c:pt idx="23">
                  <c:v>1822.25</c:v>
                </c:pt>
                <c:pt idx="24">
                  <c:v>1901.2333333333333</c:v>
                </c:pt>
                <c:pt idx="25">
                  <c:v>1949.1666666666667</c:v>
                </c:pt>
                <c:pt idx="26">
                  <c:v>2066.4500000000003</c:v>
                </c:pt>
              </c:numCache>
            </c:numRef>
          </c:xVal>
          <c:yVal>
            <c:numRef>
              <c:f>'Set 2 Pattern Check'!$I$18:$I$44</c:f>
              <c:numCache>
                <c:formatCode>0.00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0-A2A7-C84B-867C-9570E41F2B5F}"/>
            </c:ext>
          </c:extLst>
        </c:ser>
        <c:ser>
          <c:idx val="1"/>
          <c:order val="1"/>
          <c:tx>
            <c:v>Set 2 TOC</c:v>
          </c:tx>
          <c:spPr>
            <a:ln w="25400" cap="rnd">
              <a:noFill/>
              <a:round/>
            </a:ln>
            <a:effectLst/>
          </c:spPr>
          <c:marker>
            <c:symbol val="square"/>
            <c:size val="5"/>
            <c:spPr>
              <a:solidFill>
                <a:srgbClr val="C00000"/>
              </a:solidFill>
              <a:ln w="9525">
                <a:solidFill>
                  <a:srgbClr val="C00000"/>
                </a:solidFill>
              </a:ln>
              <a:effectLst/>
            </c:spPr>
          </c:marker>
          <c:xVal>
            <c:numRef>
              <c:f>'Set 2 Pattern Check'!$A$18:$A$44</c:f>
              <c:numCache>
                <c:formatCode>0.00</c:formatCode>
                <c:ptCount val="27"/>
                <c:pt idx="0">
                  <c:v>527.65</c:v>
                </c:pt>
                <c:pt idx="1">
                  <c:v>599</c:v>
                </c:pt>
                <c:pt idx="2">
                  <c:v>623</c:v>
                </c:pt>
                <c:pt idx="3">
                  <c:v>646.56666666666672</c:v>
                </c:pt>
                <c:pt idx="4">
                  <c:v>699.03</c:v>
                </c:pt>
                <c:pt idx="5">
                  <c:v>766.58</c:v>
                </c:pt>
                <c:pt idx="6">
                  <c:v>815.1</c:v>
                </c:pt>
                <c:pt idx="7">
                  <c:v>862.92</c:v>
                </c:pt>
                <c:pt idx="8">
                  <c:v>935.88</c:v>
                </c:pt>
                <c:pt idx="9">
                  <c:v>982.4</c:v>
                </c:pt>
                <c:pt idx="10">
                  <c:v>1006.7833333333333</c:v>
                </c:pt>
                <c:pt idx="11">
                  <c:v>1106.5999999999999</c:v>
                </c:pt>
                <c:pt idx="12">
                  <c:v>1151.2</c:v>
                </c:pt>
                <c:pt idx="13">
                  <c:v>1176</c:v>
                </c:pt>
                <c:pt idx="14">
                  <c:v>1200.1166666666666</c:v>
                </c:pt>
                <c:pt idx="15">
                  <c:v>1223.9833333333333</c:v>
                </c:pt>
                <c:pt idx="16">
                  <c:v>1442.9166666666667</c:v>
                </c:pt>
                <c:pt idx="17">
                  <c:v>1462.7833333333333</c:v>
                </c:pt>
                <c:pt idx="18">
                  <c:v>1487.9666666666667</c:v>
                </c:pt>
                <c:pt idx="19">
                  <c:v>1607.6666666666667</c:v>
                </c:pt>
                <c:pt idx="20">
                  <c:v>1655.8333333333333</c:v>
                </c:pt>
                <c:pt idx="21">
                  <c:v>1727.7666666666667</c:v>
                </c:pt>
                <c:pt idx="22">
                  <c:v>1776.1166666666666</c:v>
                </c:pt>
                <c:pt idx="23">
                  <c:v>1822.25</c:v>
                </c:pt>
                <c:pt idx="24">
                  <c:v>1901.2333333333333</c:v>
                </c:pt>
                <c:pt idx="25">
                  <c:v>1949.1666666666667</c:v>
                </c:pt>
                <c:pt idx="26">
                  <c:v>2066.4500000000003</c:v>
                </c:pt>
              </c:numCache>
            </c:numRef>
          </c:xVal>
          <c:yVal>
            <c:numRef>
              <c:f>'Set 2 Pattern Check'!$J$18:$J$44</c:f>
              <c:numCache>
                <c:formatCode>0.00</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2-A2A7-C84B-867C-9570E41F2B5F}"/>
            </c:ext>
          </c:extLst>
        </c:ser>
        <c:ser>
          <c:idx val="2"/>
          <c:order val="2"/>
          <c:tx>
            <c:v>DOM 20ppm loading</c:v>
          </c:tx>
          <c:spPr>
            <a:ln w="25400" cap="rnd">
              <a:solidFill>
                <a:srgbClr val="00B050"/>
              </a:solidFill>
              <a:round/>
            </a:ln>
            <a:effectLst/>
          </c:spPr>
          <c:marker>
            <c:symbol val="square"/>
            <c:size val="5"/>
            <c:spPr>
              <a:solidFill>
                <a:srgbClr val="00B050"/>
              </a:solidFill>
              <a:ln w="9525">
                <a:solidFill>
                  <a:srgbClr val="00B050"/>
                </a:solidFill>
              </a:ln>
              <a:effectLst/>
            </c:spPr>
          </c:marker>
          <c:xVal>
            <c:numRef>
              <c:f>'Set 2 Pattern Check'!$G$3:$G$4</c:f>
              <c:numCache>
                <c:formatCode>General</c:formatCode>
                <c:ptCount val="2"/>
                <c:pt idx="0">
                  <c:v>1450</c:v>
                </c:pt>
                <c:pt idx="1">
                  <c:v>1450</c:v>
                </c:pt>
              </c:numCache>
            </c:numRef>
          </c:xVal>
          <c:yVal>
            <c:numRef>
              <c:f>'Set 2 Pattern Check'!$H$3:$H$4</c:f>
              <c:numCache>
                <c:formatCode>General</c:formatCode>
                <c:ptCount val="2"/>
                <c:pt idx="0">
                  <c:v>0</c:v>
                </c:pt>
                <c:pt idx="1">
                  <c:v>100</c:v>
                </c:pt>
              </c:numCache>
            </c:numRef>
          </c:yVal>
          <c:smooth val="0"/>
          <c:extLst>
            <c:ext xmlns:c16="http://schemas.microsoft.com/office/drawing/2014/chart" uri="{C3380CC4-5D6E-409C-BE32-E72D297353CC}">
              <c16:uniqueId val="{00000003-A2A7-C84B-867C-9570E41F2B5F}"/>
            </c:ext>
          </c:extLst>
        </c:ser>
        <c:dLbls>
          <c:showLegendKey val="0"/>
          <c:showVal val="0"/>
          <c:showCatName val="0"/>
          <c:showSerName val="0"/>
          <c:showPercent val="0"/>
          <c:showBubbleSize val="0"/>
        </c:dLbls>
        <c:axId val="78522720"/>
        <c:axId val="71864592"/>
      </c:scatterChart>
      <c:valAx>
        <c:axId val="78522720"/>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864592"/>
        <c:crosses val="autoZero"/>
        <c:crossBetween val="midCat"/>
      </c:valAx>
      <c:valAx>
        <c:axId val="71864592"/>
        <c:scaling>
          <c:orientation val="minMax"/>
          <c:max val="10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%TOC</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522720"/>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3 Pattern Check</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Fluoride Set 3</c:v>
          </c:tx>
          <c:spPr>
            <a:ln w="19050" cap="rnd">
              <a:noFill/>
              <a:round/>
            </a:ln>
            <a:effectLst/>
          </c:spPr>
          <c:marker>
            <c:symbol val="circle"/>
            <c:size val="7"/>
            <c:spPr>
              <a:solidFill>
                <a:schemeClr val="accent1"/>
              </a:solidFill>
              <a:ln w="9525">
                <a:solidFill>
                  <a:schemeClr val="accent1"/>
                </a:solidFill>
              </a:ln>
              <a:effectLst/>
            </c:spPr>
          </c:marker>
          <c:xVal>
            <c:numRef>
              <c:f>'Set 3 Pattern Check'!$A$4:$A$29</c:f>
              <c:numCache>
                <c:formatCode>0.00</c:formatCode>
                <c:ptCount val="26"/>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numCache>
            </c:numRef>
          </c:xVal>
          <c:yVal>
            <c:numRef>
              <c:f>'Set 3 Pattern Check'!$C$4:$C$29</c:f>
              <c:numCache>
                <c:formatCode>0.00</c:formatCode>
                <c:ptCount val="26"/>
                <c:pt idx="0">
                  <c:v>1.8517561460043368</c:v>
                </c:pt>
                <c:pt idx="1">
                  <c:v>3.2786121075778767</c:v>
                </c:pt>
                <c:pt idx="2">
                  <c:v>2.768944691027746</c:v>
                </c:pt>
                <c:pt idx="3">
                  <c:v>2.797128290914884</c:v>
                </c:pt>
                <c:pt idx="4">
                  <c:v>2.7895355673133451</c:v>
                </c:pt>
                <c:pt idx="5">
                  <c:v>2.496776921728189</c:v>
                </c:pt>
                <c:pt idx="6">
                  <c:v>2.1507472384665367</c:v>
                </c:pt>
                <c:pt idx="7">
                  <c:v>1.688030289207189</c:v>
                </c:pt>
                <c:pt idx="8">
                  <c:v>1.1761396466259162</c:v>
                </c:pt>
                <c:pt idx="9">
                  <c:v>0.96592464191223437</c:v>
                </c:pt>
                <c:pt idx="10">
                  <c:v>1.7399213976480705</c:v>
                </c:pt>
                <c:pt idx="11">
                  <c:v>0.98383432098007306</c:v>
                </c:pt>
                <c:pt idx="12">
                  <c:v>1.3954987871902729</c:v>
                </c:pt>
                <c:pt idx="13">
                  <c:v>1.4082575994985898</c:v>
                </c:pt>
                <c:pt idx="14">
                  <c:v>1.5319649012848635</c:v>
                </c:pt>
                <c:pt idx="15">
                  <c:v>1.1413350047007209</c:v>
                </c:pt>
                <c:pt idx="16">
                  <c:v>1.5349029083301411</c:v>
                </c:pt>
                <c:pt idx="17">
                  <c:v>1.4300763178831364</c:v>
                </c:pt>
                <c:pt idx="18">
                  <c:v>1.2713262810501811</c:v>
                </c:pt>
                <c:pt idx="19">
                  <c:v>1.1134110963374835</c:v>
                </c:pt>
                <c:pt idx="20">
                  <c:v>1.1286715822555298</c:v>
                </c:pt>
                <c:pt idx="21">
                  <c:v>1.8611005023649341</c:v>
                </c:pt>
                <c:pt idx="22">
                  <c:v>1.7622433091453922</c:v>
                </c:pt>
                <c:pt idx="23">
                  <c:v>1.1406628329297819</c:v>
                </c:pt>
                <c:pt idx="24">
                  <c:v>1.1465647699757868</c:v>
                </c:pt>
                <c:pt idx="25">
                  <c:v>1.0348062953995156</c:v>
                </c:pt>
              </c:numCache>
            </c:numRef>
          </c:yVal>
          <c:smooth val="0"/>
          <c:extLst>
            <c:ext xmlns:c16="http://schemas.microsoft.com/office/drawing/2014/chart" uri="{C3380CC4-5D6E-409C-BE32-E72D297353CC}">
              <c16:uniqueId val="{00000000-5515-4B4A-838F-DE5194EA9BA6}"/>
            </c:ext>
          </c:extLst>
        </c:ser>
        <c:ser>
          <c:idx val="5"/>
          <c:order val="5"/>
          <c:tx>
            <c:v>Fluoride Control</c:v>
          </c:tx>
          <c:spPr>
            <a:ln w="19050" cap="rnd">
              <a:noFill/>
              <a:round/>
            </a:ln>
            <a:effectLst/>
          </c:spPr>
          <c:marker>
            <c:symbol val="circle"/>
            <c:size val="7"/>
            <c:spPr>
              <a:noFill/>
              <a:ln w="9525">
                <a:solidFill>
                  <a:schemeClr val="accent1"/>
                </a:solidFill>
              </a:ln>
              <a:effectLst/>
            </c:spPr>
          </c:marker>
          <c:xVal>
            <c:numRef>
              <c:f>'Set 3 Pattern Check'!$A$4:$A$26</c:f>
              <c:numCache>
                <c:formatCode>0.00</c:formatCode>
                <c:ptCount val="23"/>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numCache>
            </c:numRef>
          </c:xVal>
          <c:yVal>
            <c:numRef>
              <c:f>'Set 3 Pattern Check'!$D$4:$D$26</c:f>
              <c:numCache>
                <c:formatCode>0.00</c:formatCode>
                <c:ptCount val="23"/>
                <c:pt idx="0">
                  <c:v>1.4644008025779778</c:v>
                </c:pt>
                <c:pt idx="1">
                  <c:v>0.27026205387000668</c:v>
                </c:pt>
                <c:pt idx="2">
                  <c:v>0.19334833100261439</c:v>
                </c:pt>
                <c:pt idx="3">
                  <c:v>0.20283187955550247</c:v>
                </c:pt>
                <c:pt idx="4">
                  <c:v>0.27228565240261143</c:v>
                </c:pt>
                <c:pt idx="5">
                  <c:v>0.263467310250936</c:v>
                </c:pt>
                <c:pt idx="6">
                  <c:v>0.21442495126705652</c:v>
                </c:pt>
                <c:pt idx="7">
                  <c:v>0</c:v>
                </c:pt>
                <c:pt idx="8">
                  <c:v>0</c:v>
                </c:pt>
                <c:pt idx="9">
                  <c:v>0.20360064471003259</c:v>
                </c:pt>
                <c:pt idx="10">
                  <c:v>9.6717737726058524E-3</c:v>
                </c:pt>
                <c:pt idx="11">
                  <c:v>0</c:v>
                </c:pt>
                <c:pt idx="12">
                  <c:v>4.9894071049157177E-2</c:v>
                </c:pt>
                <c:pt idx="13">
                  <c:v>5.3431526167345644E-2</c:v>
                </c:pt>
                <c:pt idx="14">
                  <c:v>0.12268881228455031</c:v>
                </c:pt>
                <c:pt idx="15">
                  <c:v>0.12770291444688187</c:v>
                </c:pt>
                <c:pt idx="16">
                  <c:v>0.34446179685888562</c:v>
                </c:pt>
                <c:pt idx="17">
                  <c:v>0.31529009635501082</c:v>
                </c:pt>
                <c:pt idx="18">
                  <c:v>0.23882488139788433</c:v>
                </c:pt>
                <c:pt idx="19">
                  <c:v>7.5546959990330058E-4</c:v>
                </c:pt>
                <c:pt idx="20">
                  <c:v>0.1328115556630001</c:v>
                </c:pt>
                <c:pt idx="21">
                  <c:v>0.58991157202032962</c:v>
                </c:pt>
                <c:pt idx="22">
                  <c:v>0.58976468168865126</c:v>
                </c:pt>
              </c:numCache>
            </c:numRef>
          </c:yVal>
          <c:smooth val="0"/>
          <c:extLst>
            <c:ext xmlns:c16="http://schemas.microsoft.com/office/drawing/2014/chart" uri="{C3380CC4-5D6E-409C-BE32-E72D297353CC}">
              <c16:uniqueId val="{00000006-5515-4B4A-838F-DE5194EA9BA6}"/>
            </c:ext>
          </c:extLst>
        </c:ser>
        <c:ser>
          <c:idx val="6"/>
          <c:order val="6"/>
          <c:tx>
            <c:v>Fluoride 3 0</c:v>
          </c:tx>
          <c:spPr>
            <a:ln w="19050" cap="rnd">
              <a:noFill/>
              <a:round/>
            </a:ln>
            <a:effectLst/>
          </c:spPr>
          <c:marker>
            <c:symbol val="circle"/>
            <c:size val="7"/>
            <c:spPr>
              <a:pattFill prst="wave">
                <a:fgClr>
                  <a:schemeClr val="accent1"/>
                </a:fgClr>
                <a:bgClr>
                  <a:schemeClr val="bg1"/>
                </a:bgClr>
              </a:pattFill>
              <a:ln w="9525">
                <a:solidFill>
                  <a:schemeClr val="accent1">
                    <a:lumMod val="60000"/>
                  </a:schemeClr>
                </a:solidFill>
              </a:ln>
              <a:effectLst/>
            </c:spPr>
          </c:marker>
          <c:xVal>
            <c:numRef>
              <c:f>'Set 3 Pattern Check'!$B$4:$B$14</c:f>
              <c:numCache>
                <c:formatCode>0.00</c:formatCode>
                <c:ptCount val="11"/>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numCache>
            </c:numRef>
          </c:xVal>
          <c:yVal>
            <c:numRef>
              <c:f>'Set 3 Pattern Check'!$F$4:$F$12</c:f>
              <c:numCache>
                <c:formatCode>0.00</c:formatCode>
                <c:ptCount val="9"/>
                <c:pt idx="0">
                  <c:v>3.411762972566815</c:v>
                </c:pt>
                <c:pt idx="1">
                  <c:v>4.2262132775436836</c:v>
                </c:pt>
                <c:pt idx="2">
                  <c:v>3.1998670373504172</c:v>
                </c:pt>
                <c:pt idx="3">
                  <c:v>3.1740299770337241</c:v>
                </c:pt>
                <c:pt idx="4">
                  <c:v>2.3337935897059254</c:v>
                </c:pt>
                <c:pt idx="5">
                  <c:v>2.0284085901465962</c:v>
                </c:pt>
                <c:pt idx="6">
                  <c:v>1.4207021791767558</c:v>
                </c:pt>
                <c:pt idx="7">
                  <c:v>1.7528753026634387</c:v>
                </c:pt>
                <c:pt idx="8">
                  <c:v>1.4131355932203391</c:v>
                </c:pt>
              </c:numCache>
            </c:numRef>
          </c:yVal>
          <c:smooth val="0"/>
          <c:extLst>
            <c:ext xmlns:c16="http://schemas.microsoft.com/office/drawing/2014/chart" uri="{C3380CC4-5D6E-409C-BE32-E72D297353CC}">
              <c16:uniqueId val="{00000007-5515-4B4A-838F-DE5194EA9BA6}"/>
            </c:ext>
          </c:extLst>
        </c:ser>
        <c:ser>
          <c:idx val="9"/>
          <c:order val="9"/>
          <c:tx>
            <c:v>pH Set 3</c:v>
          </c:tx>
          <c:spPr>
            <a:ln w="19050" cap="rnd">
              <a:noFill/>
              <a:round/>
            </a:ln>
            <a:effectLst/>
          </c:spPr>
          <c:marker>
            <c:symbol val="triangle"/>
            <c:size val="7"/>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a:solidFill>
                  <a:srgbClr val="002060"/>
                </a:solidFill>
              </a:ln>
              <a:effectLst/>
            </c:spPr>
          </c:marker>
          <c:xVal>
            <c:numRef>
              <c:f>'Set 3 Pattern Check'!$U$4:$U$30</c:f>
              <c:numCache>
                <c:formatCode>0.00</c:formatCode>
                <c:ptCount val="27"/>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598.54999999999995</c:v>
                </c:pt>
                <c:pt idx="13">
                  <c:v>642.83333333333337</c:v>
                </c:pt>
                <c:pt idx="14">
                  <c:v>666.91666666666663</c:v>
                </c:pt>
                <c:pt idx="15">
                  <c:v>690.56666666666672</c:v>
                </c:pt>
                <c:pt idx="16">
                  <c:v>714.41666666666663</c:v>
                </c:pt>
                <c:pt idx="17">
                  <c:v>953.23333333333335</c:v>
                </c:pt>
                <c:pt idx="18">
                  <c:v>978.6</c:v>
                </c:pt>
                <c:pt idx="19">
                  <c:v>1098.1333333333334</c:v>
                </c:pt>
                <c:pt idx="20">
                  <c:v>1146.5999999999999</c:v>
                </c:pt>
                <c:pt idx="21">
                  <c:v>1218.3666666666666</c:v>
                </c:pt>
                <c:pt idx="22">
                  <c:v>1266.5999999999999</c:v>
                </c:pt>
                <c:pt idx="23">
                  <c:v>1312.5666666666666</c:v>
                </c:pt>
                <c:pt idx="24">
                  <c:v>1391.5833333333333</c:v>
                </c:pt>
                <c:pt idx="25">
                  <c:v>1439.4333333333334</c:v>
                </c:pt>
                <c:pt idx="26">
                  <c:v>1556.7166666666667</c:v>
                </c:pt>
              </c:numCache>
            </c:numRef>
          </c:xVal>
          <c:yVal>
            <c:numRef>
              <c:f>'Set 3 Pattern Check'!$T$4:$T$30</c:f>
              <c:numCache>
                <c:formatCode>0.00</c:formatCode>
                <c:ptCount val="27"/>
                <c:pt idx="0">
                  <c:v>8.3500000000000014</c:v>
                </c:pt>
                <c:pt idx="1">
                  <c:v>9.7299999999999986</c:v>
                </c:pt>
                <c:pt idx="2">
                  <c:v>9.4533333333333349</c:v>
                </c:pt>
                <c:pt idx="3">
                  <c:v>9.7733333333333334</c:v>
                </c:pt>
                <c:pt idx="4">
                  <c:v>9.5299999999999994</c:v>
                </c:pt>
                <c:pt idx="5">
                  <c:v>9.7033333333333331</c:v>
                </c:pt>
                <c:pt idx="6">
                  <c:v>9.74</c:v>
                </c:pt>
                <c:pt idx="7">
                  <c:v>9.7033333333333331</c:v>
                </c:pt>
                <c:pt idx="8">
                  <c:v>9.5766666666666662</c:v>
                </c:pt>
                <c:pt idx="9">
                  <c:v>9.59</c:v>
                </c:pt>
                <c:pt idx="10">
                  <c:v>7.8566666666666665</c:v>
                </c:pt>
                <c:pt idx="11">
                  <c:v>9.5233333333333334</c:v>
                </c:pt>
                <c:pt idx="12">
                  <c:v>9.4066666666666663</c:v>
                </c:pt>
                <c:pt idx="13">
                  <c:v>9.5466666666666669</c:v>
                </c:pt>
                <c:pt idx="14">
                  <c:v>9.5666666666666682</c:v>
                </c:pt>
                <c:pt idx="15">
                  <c:v>9.5633333333333326</c:v>
                </c:pt>
                <c:pt idx="16">
                  <c:v>9.5466666666666651</c:v>
                </c:pt>
                <c:pt idx="17">
                  <c:v>9.4</c:v>
                </c:pt>
                <c:pt idx="18">
                  <c:v>9.4366666666666674</c:v>
                </c:pt>
                <c:pt idx="19">
                  <c:v>9.3333333333333339</c:v>
                </c:pt>
                <c:pt idx="20">
                  <c:v>9.5033333333333321</c:v>
                </c:pt>
                <c:pt idx="21">
                  <c:v>9.2999999999999989</c:v>
                </c:pt>
                <c:pt idx="22">
                  <c:v>9.3066666666666666</c:v>
                </c:pt>
                <c:pt idx="23">
                  <c:v>9.26</c:v>
                </c:pt>
                <c:pt idx="24">
                  <c:v>9.6233333333333348</c:v>
                </c:pt>
                <c:pt idx="25">
                  <c:v>9.5133333333333336</c:v>
                </c:pt>
                <c:pt idx="26">
                  <c:v>9.6833333333333336</c:v>
                </c:pt>
              </c:numCache>
            </c:numRef>
          </c:yVal>
          <c:smooth val="0"/>
          <c:extLst>
            <c:ext xmlns:c16="http://schemas.microsoft.com/office/drawing/2014/chart" uri="{C3380CC4-5D6E-409C-BE32-E72D297353CC}">
              <c16:uniqueId val="{0000000A-5515-4B4A-838F-DE5194EA9BA6}"/>
            </c:ext>
          </c:extLst>
        </c:ser>
        <c:ser>
          <c:idx val="10"/>
          <c:order val="10"/>
          <c:tx>
            <c:v>pH Control 3</c:v>
          </c:tx>
          <c:spPr>
            <a:ln w="19050" cap="rnd">
              <a:noFill/>
              <a:round/>
            </a:ln>
            <a:effectLst/>
          </c:spPr>
          <c:marker>
            <c:symbol val="triangle"/>
            <c:size val="7"/>
            <c:spPr>
              <a:solidFill>
                <a:srgbClr val="002060"/>
              </a:solidFill>
              <a:ln w="9525">
                <a:solidFill>
                  <a:schemeClr val="accent5">
                    <a:lumMod val="60000"/>
                  </a:schemeClr>
                </a:solidFill>
              </a:ln>
              <a:effectLst/>
            </c:spPr>
          </c:marker>
          <c:xVal>
            <c:numRef>
              <c:f>'Set 3 Pattern Check'!$U$4:$U$30</c:f>
              <c:numCache>
                <c:formatCode>0.00</c:formatCode>
                <c:ptCount val="27"/>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598.54999999999995</c:v>
                </c:pt>
                <c:pt idx="13">
                  <c:v>642.83333333333337</c:v>
                </c:pt>
                <c:pt idx="14">
                  <c:v>666.91666666666663</c:v>
                </c:pt>
                <c:pt idx="15">
                  <c:v>690.56666666666672</c:v>
                </c:pt>
                <c:pt idx="16">
                  <c:v>714.41666666666663</c:v>
                </c:pt>
                <c:pt idx="17">
                  <c:v>953.23333333333335</c:v>
                </c:pt>
                <c:pt idx="18">
                  <c:v>978.6</c:v>
                </c:pt>
                <c:pt idx="19">
                  <c:v>1098.1333333333334</c:v>
                </c:pt>
                <c:pt idx="20">
                  <c:v>1146.5999999999999</c:v>
                </c:pt>
                <c:pt idx="21">
                  <c:v>1218.3666666666666</c:v>
                </c:pt>
                <c:pt idx="22">
                  <c:v>1266.5999999999999</c:v>
                </c:pt>
                <c:pt idx="23">
                  <c:v>1312.5666666666666</c:v>
                </c:pt>
                <c:pt idx="24">
                  <c:v>1391.5833333333333</c:v>
                </c:pt>
                <c:pt idx="25">
                  <c:v>1439.4333333333334</c:v>
                </c:pt>
                <c:pt idx="26">
                  <c:v>1556.7166666666667</c:v>
                </c:pt>
              </c:numCache>
            </c:numRef>
          </c:xVal>
          <c:yVal>
            <c:numRef>
              <c:f>'Set 3 Pattern Check'!$S$4:$S$30</c:f>
              <c:numCache>
                <c:formatCode>General</c:formatCode>
                <c:ptCount val="27"/>
                <c:pt idx="0">
                  <c:v>8.26</c:v>
                </c:pt>
                <c:pt idx="1">
                  <c:v>10.050000000000001</c:v>
                </c:pt>
                <c:pt idx="2">
                  <c:v>9.77</c:v>
                </c:pt>
                <c:pt idx="3">
                  <c:v>9.9700000000000006</c:v>
                </c:pt>
                <c:pt idx="4">
                  <c:v>9.64</c:v>
                </c:pt>
                <c:pt idx="5">
                  <c:v>9.7200000000000006</c:v>
                </c:pt>
                <c:pt idx="6">
                  <c:v>9.66</c:v>
                </c:pt>
                <c:pt idx="7">
                  <c:v>9.6199999999999992</c:v>
                </c:pt>
                <c:pt idx="8">
                  <c:v>9.69</c:v>
                </c:pt>
                <c:pt idx="9">
                  <c:v>9.6199999999999992</c:v>
                </c:pt>
                <c:pt idx="10">
                  <c:v>8.0399999999999991</c:v>
                </c:pt>
                <c:pt idx="11">
                  <c:v>9.57</c:v>
                </c:pt>
                <c:pt idx="12">
                  <c:v>9.43</c:v>
                </c:pt>
                <c:pt idx="13">
                  <c:v>9.49</c:v>
                </c:pt>
                <c:pt idx="14">
                  <c:v>9.4499999999999993</c:v>
                </c:pt>
                <c:pt idx="15">
                  <c:v>9.4600000000000009</c:v>
                </c:pt>
                <c:pt idx="16">
                  <c:v>9.5</c:v>
                </c:pt>
                <c:pt idx="17">
                  <c:v>9.48</c:v>
                </c:pt>
                <c:pt idx="18">
                  <c:v>9.57</c:v>
                </c:pt>
                <c:pt idx="19">
                  <c:v>9.44</c:v>
                </c:pt>
                <c:pt idx="20">
                  <c:v>9.4499999999999993</c:v>
                </c:pt>
                <c:pt idx="21">
                  <c:v>9.4</c:v>
                </c:pt>
                <c:pt idx="22">
                  <c:v>9</c:v>
                </c:pt>
                <c:pt idx="23">
                  <c:v>8.98</c:v>
                </c:pt>
                <c:pt idx="24">
                  <c:v>9.26</c:v>
                </c:pt>
                <c:pt idx="25">
                  <c:v>9.7100000000000009</c:v>
                </c:pt>
                <c:pt idx="26">
                  <c:v>9.83</c:v>
                </c:pt>
              </c:numCache>
            </c:numRef>
          </c:yVal>
          <c:smooth val="0"/>
          <c:extLst>
            <c:ext xmlns:c16="http://schemas.microsoft.com/office/drawing/2014/chart" uri="{C3380CC4-5D6E-409C-BE32-E72D297353CC}">
              <c16:uniqueId val="{0000000B-5515-4B4A-838F-DE5194EA9BA6}"/>
            </c:ext>
          </c:extLst>
        </c:ser>
        <c:ser>
          <c:idx val="11"/>
          <c:order val="11"/>
          <c:tx>
            <c:v>pH 3 0</c:v>
          </c:tx>
          <c:spPr>
            <a:ln w="19050" cap="rnd">
              <a:noFill/>
              <a:round/>
            </a:ln>
            <a:effectLst/>
          </c:spPr>
          <c:marker>
            <c:symbol val="triangle"/>
            <c:size val="7"/>
            <c:spPr>
              <a:pattFill prst="wdUpDiag">
                <a:fgClr>
                  <a:srgbClr val="002060"/>
                </a:fgClr>
                <a:bgClr>
                  <a:schemeClr val="bg1"/>
                </a:bgClr>
              </a:pattFill>
              <a:ln w="9525">
                <a:solidFill>
                  <a:srgbClr val="002060"/>
                </a:solidFill>
              </a:ln>
              <a:effectLst/>
            </c:spPr>
          </c:marker>
          <c:xVal>
            <c:numRef>
              <c:f>'Set 3 Pattern Check'!$B$4:$B$14</c:f>
              <c:numCache>
                <c:formatCode>0.00</c:formatCode>
                <c:ptCount val="11"/>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numCache>
            </c:numRef>
          </c:xVal>
          <c:yVal>
            <c:numRef>
              <c:f>'Set 3 Pattern Check'!$R$4:$R$13</c:f>
              <c:numCache>
                <c:formatCode>General</c:formatCode>
                <c:ptCount val="10"/>
                <c:pt idx="0">
                  <c:v>9.1199999999999992</c:v>
                </c:pt>
                <c:pt idx="1">
                  <c:v>9.5500000000000007</c:v>
                </c:pt>
                <c:pt idx="2">
                  <c:v>9.4700000000000006</c:v>
                </c:pt>
                <c:pt idx="3">
                  <c:v>9.6199999999999992</c:v>
                </c:pt>
                <c:pt idx="4">
                  <c:v>9.61</c:v>
                </c:pt>
                <c:pt idx="5">
                  <c:v>9.6300000000000008</c:v>
                </c:pt>
                <c:pt idx="6">
                  <c:v>9.8000000000000007</c:v>
                </c:pt>
                <c:pt idx="7">
                  <c:v>9.75</c:v>
                </c:pt>
                <c:pt idx="8">
                  <c:v>9.8800000000000008</c:v>
                </c:pt>
                <c:pt idx="9">
                  <c:v>10.039999999999999</c:v>
                </c:pt>
              </c:numCache>
            </c:numRef>
          </c:yVal>
          <c:smooth val="0"/>
          <c:extLst>
            <c:ext xmlns:c16="http://schemas.microsoft.com/office/drawing/2014/chart" uri="{C3380CC4-5D6E-409C-BE32-E72D297353CC}">
              <c16:uniqueId val="{0000000C-5515-4B4A-838F-DE5194EA9BA6}"/>
            </c:ext>
          </c:extLst>
        </c:ser>
        <c:ser>
          <c:idx val="12"/>
          <c:order val="12"/>
          <c:tx>
            <c:v>pH Tank</c:v>
          </c:tx>
          <c:spPr>
            <a:ln w="19050" cap="rnd">
              <a:noFill/>
              <a:round/>
            </a:ln>
            <a:effectLst/>
          </c:spPr>
          <c:marker>
            <c:symbol val="triangle"/>
            <c:size val="7"/>
            <c:spPr>
              <a:noFill/>
              <a:ln w="9525">
                <a:solidFill>
                  <a:srgbClr val="002060"/>
                </a:solidFill>
              </a:ln>
              <a:effectLst/>
            </c:spPr>
          </c:marker>
          <c:xVal>
            <c:numRef>
              <c:f>'Set 3 Pattern Check'!$U$4:$U$30</c:f>
              <c:numCache>
                <c:formatCode>0.00</c:formatCode>
                <c:ptCount val="27"/>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598.54999999999995</c:v>
                </c:pt>
                <c:pt idx="13">
                  <c:v>642.83333333333337</c:v>
                </c:pt>
                <c:pt idx="14">
                  <c:v>666.91666666666663</c:v>
                </c:pt>
                <c:pt idx="15">
                  <c:v>690.56666666666672</c:v>
                </c:pt>
                <c:pt idx="16">
                  <c:v>714.41666666666663</c:v>
                </c:pt>
                <c:pt idx="17">
                  <c:v>953.23333333333335</c:v>
                </c:pt>
                <c:pt idx="18">
                  <c:v>978.6</c:v>
                </c:pt>
                <c:pt idx="19">
                  <c:v>1098.1333333333334</c:v>
                </c:pt>
                <c:pt idx="20">
                  <c:v>1146.5999999999999</c:v>
                </c:pt>
                <c:pt idx="21">
                  <c:v>1218.3666666666666</c:v>
                </c:pt>
                <c:pt idx="22">
                  <c:v>1266.5999999999999</c:v>
                </c:pt>
                <c:pt idx="23">
                  <c:v>1312.5666666666666</c:v>
                </c:pt>
                <c:pt idx="24">
                  <c:v>1391.5833333333333</c:v>
                </c:pt>
                <c:pt idx="25">
                  <c:v>1439.4333333333334</c:v>
                </c:pt>
                <c:pt idx="26">
                  <c:v>1556.7166666666667</c:v>
                </c:pt>
              </c:numCache>
            </c:numRef>
          </c:xVal>
          <c:yVal>
            <c:numRef>
              <c:f>'Set 3 Pattern Check'!$Q$4:$Q$30</c:f>
              <c:numCache>
                <c:formatCode>General</c:formatCode>
                <c:ptCount val="27"/>
                <c:pt idx="0">
                  <c:v>7.89</c:v>
                </c:pt>
                <c:pt idx="1">
                  <c:v>7.92</c:v>
                </c:pt>
                <c:pt idx="2">
                  <c:v>7.69</c:v>
                </c:pt>
                <c:pt idx="3">
                  <c:v>7.38</c:v>
                </c:pt>
                <c:pt idx="4">
                  <c:v>7.79</c:v>
                </c:pt>
                <c:pt idx="5">
                  <c:v>7.35</c:v>
                </c:pt>
                <c:pt idx="6">
                  <c:v>7.36</c:v>
                </c:pt>
                <c:pt idx="7">
                  <c:v>8.61</c:v>
                </c:pt>
                <c:pt idx="8">
                  <c:v>7.15</c:v>
                </c:pt>
                <c:pt idx="9">
                  <c:v>6.98</c:v>
                </c:pt>
                <c:pt idx="10">
                  <c:v>6.76</c:v>
                </c:pt>
                <c:pt idx="11">
                  <c:v>6.81</c:v>
                </c:pt>
                <c:pt idx="12">
                  <c:v>6.84</c:v>
                </c:pt>
                <c:pt idx="13">
                  <c:v>6.74</c:v>
                </c:pt>
                <c:pt idx="14">
                  <c:v>7.05</c:v>
                </c:pt>
                <c:pt idx="15">
                  <c:v>6.89</c:v>
                </c:pt>
                <c:pt idx="16">
                  <c:v>7.07</c:v>
                </c:pt>
                <c:pt idx="17">
                  <c:v>7.14</c:v>
                </c:pt>
                <c:pt idx="18">
                  <c:v>7.53</c:v>
                </c:pt>
                <c:pt idx="19">
                  <c:v>7.41</c:v>
                </c:pt>
                <c:pt idx="20">
                  <c:v>7.45</c:v>
                </c:pt>
                <c:pt idx="21">
                  <c:v>7.56</c:v>
                </c:pt>
                <c:pt idx="22">
                  <c:v>7.5</c:v>
                </c:pt>
                <c:pt idx="23">
                  <c:v>7.56</c:v>
                </c:pt>
                <c:pt idx="24">
                  <c:v>7.16</c:v>
                </c:pt>
                <c:pt idx="25">
                  <c:v>7.33</c:v>
                </c:pt>
                <c:pt idx="26">
                  <c:v>7.41</c:v>
                </c:pt>
              </c:numCache>
            </c:numRef>
          </c:yVal>
          <c:smooth val="0"/>
          <c:extLst>
            <c:ext xmlns:c16="http://schemas.microsoft.com/office/drawing/2014/chart" uri="{C3380CC4-5D6E-409C-BE32-E72D297353CC}">
              <c16:uniqueId val="{0000000D-5515-4B4A-838F-DE5194EA9BA6}"/>
            </c:ext>
          </c:extLst>
        </c:ser>
        <c:dLbls>
          <c:showLegendKey val="0"/>
          <c:showVal val="0"/>
          <c:showCatName val="0"/>
          <c:showSerName val="0"/>
          <c:showPercent val="0"/>
          <c:showBubbleSize val="0"/>
        </c:dLbls>
        <c:axId val="1771869375"/>
        <c:axId val="1797092527"/>
      </c:scatterChart>
      <c:scatterChart>
        <c:scatterStyle val="lineMarker"/>
        <c:varyColors val="0"/>
        <c:ser>
          <c:idx val="1"/>
          <c:order val="1"/>
          <c:tx>
            <c:v>Salinity Cl Set 3</c:v>
          </c:tx>
          <c:spPr>
            <a:ln w="19050" cap="rnd">
              <a:noFill/>
              <a:round/>
            </a:ln>
            <a:effectLst/>
          </c:spPr>
          <c:marker>
            <c:symbol val="diamond"/>
            <c:size val="7"/>
            <c:spPr>
              <a:solidFill>
                <a:schemeClr val="tx1"/>
              </a:solidFill>
              <a:ln w="9525">
                <a:solidFill>
                  <a:schemeClr val="tx1"/>
                </a:solidFill>
              </a:ln>
              <a:effectLst/>
            </c:spPr>
          </c:marker>
          <c:xVal>
            <c:numRef>
              <c:f>'Set 3 Pattern Check'!$A$4:$A$29</c:f>
              <c:numCache>
                <c:formatCode>0.00</c:formatCode>
                <c:ptCount val="26"/>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numCache>
            </c:numRef>
          </c:xVal>
          <c:yVal>
            <c:numRef>
              <c:f>'Set 3 Pattern Check'!$O$4:$O$28</c:f>
              <c:numCache>
                <c:formatCode>0.00</c:formatCode>
                <c:ptCount val="25"/>
                <c:pt idx="0">
                  <c:v>824.96009494650662</c:v>
                </c:pt>
                <c:pt idx="1">
                  <c:v>516.84170995447619</c:v>
                </c:pt>
                <c:pt idx="2">
                  <c:v>108.33281731971057</c:v>
                </c:pt>
                <c:pt idx="3">
                  <c:v>230.11730709690735</c:v>
                </c:pt>
                <c:pt idx="4">
                  <c:v>232.3822628917404</c:v>
                </c:pt>
                <c:pt idx="5">
                  <c:v>287.39562191108513</c:v>
                </c:pt>
                <c:pt idx="6">
                  <c:v>285.98719139518619</c:v>
                </c:pt>
                <c:pt idx="7">
                  <c:v>274.29667343217858</c:v>
                </c:pt>
                <c:pt idx="8">
                  <c:v>209.059708509638</c:v>
                </c:pt>
                <c:pt idx="9">
                  <c:v>239.95613884206543</c:v>
                </c:pt>
                <c:pt idx="10">
                  <c:v>238.42908252777875</c:v>
                </c:pt>
                <c:pt idx="11">
                  <c:v>302.70975953765179</c:v>
                </c:pt>
                <c:pt idx="12">
                  <c:v>334.5619044342771</c:v>
                </c:pt>
                <c:pt idx="13">
                  <c:v>379.02903436650723</c:v>
                </c:pt>
                <c:pt idx="14">
                  <c:v>341.60921714999944</c:v>
                </c:pt>
                <c:pt idx="15">
                  <c:v>642.07150802114518</c:v>
                </c:pt>
                <c:pt idx="16">
                  <c:v>350.81180409829489</c:v>
                </c:pt>
                <c:pt idx="17">
                  <c:v>269.57050466132301</c:v>
                </c:pt>
                <c:pt idx="18">
                  <c:v>327.35325145917187</c:v>
                </c:pt>
                <c:pt idx="19">
                  <c:v>321.07634708222963</c:v>
                </c:pt>
                <c:pt idx="20">
                  <c:v>367.84025364936298</c:v>
                </c:pt>
                <c:pt idx="21">
                  <c:v>443.4579337151269</c:v>
                </c:pt>
                <c:pt idx="22">
                  <c:v>336.78712711883895</c:v>
                </c:pt>
                <c:pt idx="23">
                  <c:v>259.9549782653695</c:v>
                </c:pt>
                <c:pt idx="24">
                  <c:v>261.14256307642768</c:v>
                </c:pt>
              </c:numCache>
            </c:numRef>
          </c:yVal>
          <c:smooth val="0"/>
          <c:extLst>
            <c:ext xmlns:c16="http://schemas.microsoft.com/office/drawing/2014/chart" uri="{C3380CC4-5D6E-409C-BE32-E72D297353CC}">
              <c16:uniqueId val="{00000002-5515-4B4A-838F-DE5194EA9BA6}"/>
            </c:ext>
          </c:extLst>
        </c:ser>
        <c:ser>
          <c:idx val="2"/>
          <c:order val="2"/>
          <c:tx>
            <c:v>Salinity SO4 Set 3</c:v>
          </c:tx>
          <c:spPr>
            <a:ln w="19050" cap="rnd">
              <a:noFill/>
              <a:round/>
            </a:ln>
            <a:effectLst/>
          </c:spPr>
          <c:marker>
            <c:symbol val="plus"/>
            <c:size val="8"/>
            <c:spPr>
              <a:solidFill>
                <a:schemeClr val="bg2">
                  <a:lumMod val="90000"/>
                </a:schemeClr>
              </a:solidFill>
              <a:ln w="9525">
                <a:solidFill>
                  <a:schemeClr val="tx1"/>
                </a:solidFill>
              </a:ln>
              <a:effectLst/>
            </c:spPr>
          </c:marker>
          <c:dPt>
            <c:idx val="0"/>
            <c:marker>
              <c:symbol val="plus"/>
              <c:size val="8"/>
              <c:spPr>
                <a:solidFill>
                  <a:schemeClr val="bg2">
                    <a:lumMod val="90000"/>
                  </a:schemeClr>
                </a:solidFill>
                <a:ln w="9525">
                  <a:solidFill>
                    <a:schemeClr val="tx1"/>
                  </a:solidFill>
                </a:ln>
                <a:effectLst/>
              </c:spPr>
            </c:marker>
            <c:bubble3D val="0"/>
            <c:extLst>
              <c:ext xmlns:c16="http://schemas.microsoft.com/office/drawing/2014/chart" uri="{C3380CC4-5D6E-409C-BE32-E72D297353CC}">
                <c16:uniqueId val="{00000001-B4B6-F44D-95B4-CA2A59F91499}"/>
              </c:ext>
            </c:extLst>
          </c:dPt>
          <c:xVal>
            <c:numRef>
              <c:f>'Set 3 Pattern Check'!$A$4:$A$29</c:f>
              <c:numCache>
                <c:formatCode>0.00</c:formatCode>
                <c:ptCount val="26"/>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numCache>
            </c:numRef>
          </c:xVal>
          <c:yVal>
            <c:numRef>
              <c:f>'Set 3 Pattern Check'!$P$4:$P$29</c:f>
              <c:numCache>
                <c:formatCode>0.00</c:formatCode>
                <c:ptCount val="26"/>
                <c:pt idx="0">
                  <c:v>318.64962072786165</c:v>
                </c:pt>
                <c:pt idx="1">
                  <c:v>120.07824085911533</c:v>
                </c:pt>
                <c:pt idx="2">
                  <c:v>26.910764510355406</c:v>
                </c:pt>
                <c:pt idx="3">
                  <c:v>65.606664962072799</c:v>
                </c:pt>
                <c:pt idx="4">
                  <c:v>66.74772010568482</c:v>
                </c:pt>
                <c:pt idx="5">
                  <c:v>87.271627034858923</c:v>
                </c:pt>
                <c:pt idx="6">
                  <c:v>104.34756669223556</c:v>
                </c:pt>
                <c:pt idx="7">
                  <c:v>83.981590386090502</c:v>
                </c:pt>
                <c:pt idx="8">
                  <c:v>68.793232762294394</c:v>
                </c:pt>
                <c:pt idx="9">
                  <c:v>75.488877524929691</c:v>
                </c:pt>
                <c:pt idx="10">
                  <c:v>75.669905395039635</c:v>
                </c:pt>
                <c:pt idx="11">
                  <c:v>94.872581607432025</c:v>
                </c:pt>
                <c:pt idx="12">
                  <c:v>99.537287991136111</c:v>
                </c:pt>
                <c:pt idx="13">
                  <c:v>115.63087019517599</c:v>
                </c:pt>
                <c:pt idx="14">
                  <c:v>92.76621494928834</c:v>
                </c:pt>
                <c:pt idx="15">
                  <c:v>185.28679792039546</c:v>
                </c:pt>
                <c:pt idx="16">
                  <c:v>92.722151197477203</c:v>
                </c:pt>
                <c:pt idx="17">
                  <c:v>64.644762635302143</c:v>
                </c:pt>
                <c:pt idx="18">
                  <c:v>81.136793658910747</c:v>
                </c:pt>
                <c:pt idx="19">
                  <c:v>80.817437995397597</c:v>
                </c:pt>
                <c:pt idx="20">
                  <c:v>84.009716185118904</c:v>
                </c:pt>
                <c:pt idx="21">
                  <c:v>143.05263388322649</c:v>
                </c:pt>
                <c:pt idx="22">
                  <c:v>65.910064446078948</c:v>
                </c:pt>
                <c:pt idx="23">
                  <c:v>60.842203425449192</c:v>
                </c:pt>
                <c:pt idx="24">
                  <c:v>60.241436377009563</c:v>
                </c:pt>
                <c:pt idx="25">
                  <c:v>237.32420055339571</c:v>
                </c:pt>
              </c:numCache>
            </c:numRef>
          </c:yVal>
          <c:smooth val="0"/>
          <c:extLst>
            <c:ext xmlns:c16="http://schemas.microsoft.com/office/drawing/2014/chart" uri="{C3380CC4-5D6E-409C-BE32-E72D297353CC}">
              <c16:uniqueId val="{00000003-5515-4B4A-838F-DE5194EA9BA6}"/>
            </c:ext>
          </c:extLst>
        </c:ser>
        <c:ser>
          <c:idx val="3"/>
          <c:order val="3"/>
          <c:tx>
            <c:v>Salinity Cl Control</c:v>
          </c:tx>
          <c:spPr>
            <a:ln w="19050" cap="rnd">
              <a:noFill/>
              <a:round/>
            </a:ln>
            <a:effectLst/>
          </c:spPr>
          <c:marker>
            <c:symbol val="diamond"/>
            <c:size val="7"/>
            <c:spPr>
              <a:noFill/>
              <a:ln w="9525">
                <a:solidFill>
                  <a:schemeClr val="tx1"/>
                </a:solidFill>
              </a:ln>
              <a:effectLst/>
            </c:spPr>
          </c:marker>
          <c:xVal>
            <c:numRef>
              <c:f>'Set 3 Pattern Check'!$A$4:$A$29</c:f>
              <c:numCache>
                <c:formatCode>0.00</c:formatCode>
                <c:ptCount val="26"/>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numCache>
            </c:numRef>
          </c:xVal>
          <c:yVal>
            <c:numRef>
              <c:f>'Set 3 Pattern Check'!$K$4:$K$28</c:f>
              <c:numCache>
                <c:formatCode>0.00</c:formatCode>
                <c:ptCount val="25"/>
                <c:pt idx="0">
                  <c:v>556.79194330730343</c:v>
                </c:pt>
                <c:pt idx="1">
                  <c:v>565.74546768034691</c:v>
                </c:pt>
                <c:pt idx="2">
                  <c:v>112.3196532388455</c:v>
                </c:pt>
                <c:pt idx="3">
                  <c:v>226.19818363204786</c:v>
                </c:pt>
                <c:pt idx="4">
                  <c:v>236.88757783205477</c:v>
                </c:pt>
                <c:pt idx="5">
                  <c:v>286.85472496473903</c:v>
                </c:pt>
                <c:pt idx="6">
                  <c:v>274.37751556641098</c:v>
                </c:pt>
                <c:pt idx="7">
                  <c:v>283.98121710413159</c:v>
                </c:pt>
                <c:pt idx="8">
                  <c:v>216.61804671643335</c:v>
                </c:pt>
                <c:pt idx="9">
                  <c:v>241.06144002201657</c:v>
                </c:pt>
                <c:pt idx="10">
                  <c:v>216.17977914616947</c:v>
                </c:pt>
                <c:pt idx="11">
                  <c:v>307.49836595686128</c:v>
                </c:pt>
                <c:pt idx="12">
                  <c:v>333.43751075028376</c:v>
                </c:pt>
                <c:pt idx="13">
                  <c:v>320.20468540369461</c:v>
                </c:pt>
                <c:pt idx="14">
                  <c:v>339.25470432419417</c:v>
                </c:pt>
                <c:pt idx="15">
                  <c:v>278.50149643950601</c:v>
                </c:pt>
                <c:pt idx="16">
                  <c:v>330.36086552684992</c:v>
                </c:pt>
                <c:pt idx="17">
                  <c:v>269.24197598816608</c:v>
                </c:pt>
                <c:pt idx="18">
                  <c:v>333.69792562523651</c:v>
                </c:pt>
                <c:pt idx="19">
                  <c:v>313.48962812618254</c:v>
                </c:pt>
                <c:pt idx="20">
                  <c:v>383.84739757129586</c:v>
                </c:pt>
                <c:pt idx="21">
                  <c:v>343.89291382046503</c:v>
                </c:pt>
                <c:pt idx="22">
                  <c:v>346.95853170496093</c:v>
                </c:pt>
                <c:pt idx="23">
                  <c:v>260.58873249154766</c:v>
                </c:pt>
                <c:pt idx="24">
                  <c:v>258.71075691713236</c:v>
                </c:pt>
              </c:numCache>
            </c:numRef>
          </c:yVal>
          <c:smooth val="0"/>
          <c:extLst>
            <c:ext xmlns:c16="http://schemas.microsoft.com/office/drawing/2014/chart" uri="{C3380CC4-5D6E-409C-BE32-E72D297353CC}">
              <c16:uniqueId val="{00000004-5515-4B4A-838F-DE5194EA9BA6}"/>
            </c:ext>
          </c:extLst>
        </c:ser>
        <c:ser>
          <c:idx val="4"/>
          <c:order val="4"/>
          <c:tx>
            <c:v>Salinity SO4 Control</c:v>
          </c:tx>
          <c:spPr>
            <a:ln w="19050" cap="rnd">
              <a:noFill/>
              <a:round/>
            </a:ln>
            <a:effectLst/>
          </c:spPr>
          <c:marker>
            <c:symbol val="plus"/>
            <c:size val="8"/>
            <c:spPr>
              <a:noFill/>
              <a:ln w="9525">
                <a:solidFill>
                  <a:schemeClr val="tx1"/>
                </a:solidFill>
              </a:ln>
              <a:effectLst/>
            </c:spPr>
          </c:marker>
          <c:xVal>
            <c:numRef>
              <c:f>'Set 3 Pattern Check'!$A$4:$A$29</c:f>
              <c:numCache>
                <c:formatCode>0.00</c:formatCode>
                <c:ptCount val="26"/>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numCache>
            </c:numRef>
          </c:xVal>
          <c:yVal>
            <c:numRef>
              <c:f>'Set 3 Pattern Check'!$L$4:$L$29</c:f>
              <c:numCache>
                <c:formatCode>0.00</c:formatCode>
                <c:ptCount val="26"/>
                <c:pt idx="0">
                  <c:v>175.2590130401432</c:v>
                </c:pt>
                <c:pt idx="1">
                  <c:v>122.5617489133214</c:v>
                </c:pt>
                <c:pt idx="2">
                  <c:v>25.849399130657122</c:v>
                </c:pt>
                <c:pt idx="3">
                  <c:v>63.903093837893117</c:v>
                </c:pt>
                <c:pt idx="4">
                  <c:v>67.66351316798773</c:v>
                </c:pt>
                <c:pt idx="5">
                  <c:v>86.659933520838649</c:v>
                </c:pt>
                <c:pt idx="6">
                  <c:v>99.338788033750959</c:v>
                </c:pt>
                <c:pt idx="7">
                  <c:v>86.796982868831506</c:v>
                </c:pt>
                <c:pt idx="8">
                  <c:v>71.57402198926107</c:v>
                </c:pt>
                <c:pt idx="9">
                  <c:v>75.487087701355151</c:v>
                </c:pt>
                <c:pt idx="10">
                  <c:v>65.297366402454614</c:v>
                </c:pt>
                <c:pt idx="11">
                  <c:v>95.963180772181019</c:v>
                </c:pt>
                <c:pt idx="12">
                  <c:v>98.657376630017893</c:v>
                </c:pt>
                <c:pt idx="13">
                  <c:v>90.746867808744554</c:v>
                </c:pt>
                <c:pt idx="14">
                  <c:v>91.652518537458434</c:v>
                </c:pt>
                <c:pt idx="15">
                  <c:v>65.26029148555358</c:v>
                </c:pt>
                <c:pt idx="16">
                  <c:v>76.99028381488111</c:v>
                </c:pt>
                <c:pt idx="17">
                  <c:v>64.158015852723082</c:v>
                </c:pt>
                <c:pt idx="18">
                  <c:v>82.884684223983641</c:v>
                </c:pt>
                <c:pt idx="19">
                  <c:v>78.162106878036312</c:v>
                </c:pt>
                <c:pt idx="20">
                  <c:v>88.445154691894658</c:v>
                </c:pt>
                <c:pt idx="21">
                  <c:v>69.146527266995903</c:v>
                </c:pt>
                <c:pt idx="22">
                  <c:v>68.807397289061669</c:v>
                </c:pt>
                <c:pt idx="23">
                  <c:v>60.688767468740153</c:v>
                </c:pt>
                <c:pt idx="24">
                  <c:v>60.473888830513822</c:v>
                </c:pt>
                <c:pt idx="25">
                  <c:v>62.474781969107916</c:v>
                </c:pt>
              </c:numCache>
            </c:numRef>
          </c:yVal>
          <c:smooth val="0"/>
          <c:extLst>
            <c:ext xmlns:c16="http://schemas.microsoft.com/office/drawing/2014/chart" uri="{C3380CC4-5D6E-409C-BE32-E72D297353CC}">
              <c16:uniqueId val="{00000005-5515-4B4A-838F-DE5194EA9BA6}"/>
            </c:ext>
          </c:extLst>
        </c:ser>
        <c:ser>
          <c:idx val="7"/>
          <c:order val="7"/>
          <c:tx>
            <c:v>Salinity Cl 3 0</c:v>
          </c:tx>
          <c:spPr>
            <a:ln w="19050" cap="rnd">
              <a:noFill/>
              <a:round/>
            </a:ln>
            <a:effectLst/>
          </c:spPr>
          <c:marker>
            <c:symbol val="diamond"/>
            <c:size val="7"/>
            <c:spPr>
              <a:pattFill prst="dkUpDiag">
                <a:fgClr>
                  <a:schemeClr val="tx1"/>
                </a:fgClr>
                <a:bgClr>
                  <a:schemeClr val="bg1"/>
                </a:bgClr>
              </a:pattFill>
              <a:ln w="9525">
                <a:solidFill>
                  <a:schemeClr val="tx1"/>
                </a:solidFill>
              </a:ln>
              <a:effectLst/>
            </c:spPr>
          </c:marker>
          <c:xVal>
            <c:numRef>
              <c:f>'Set 3 Pattern Check'!$B$4:$B$14</c:f>
              <c:numCache>
                <c:formatCode>0.00</c:formatCode>
                <c:ptCount val="11"/>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numCache>
            </c:numRef>
          </c:xVal>
          <c:yVal>
            <c:numRef>
              <c:f>'Set 3 Pattern Check'!$M$4:$M$11</c:f>
              <c:numCache>
                <c:formatCode>0.00</c:formatCode>
                <c:ptCount val="8"/>
                <c:pt idx="0">
                  <c:v>433.81076060407997</c:v>
                </c:pt>
                <c:pt idx="1">
                  <c:v>425.75544394372014</c:v>
                </c:pt>
                <c:pt idx="2">
                  <c:v>415.77058034332106</c:v>
                </c:pt>
                <c:pt idx="3">
                  <c:v>492.99614709828347</c:v>
                </c:pt>
                <c:pt idx="4">
                  <c:v>403.18032843441654</c:v>
                </c:pt>
                <c:pt idx="5">
                  <c:v>388.10253225695158</c:v>
                </c:pt>
                <c:pt idx="6">
                  <c:v>342.88363347823088</c:v>
                </c:pt>
                <c:pt idx="7">
                  <c:v>263.57569171324081</c:v>
                </c:pt>
              </c:numCache>
            </c:numRef>
          </c:yVal>
          <c:smooth val="0"/>
          <c:extLst>
            <c:ext xmlns:c16="http://schemas.microsoft.com/office/drawing/2014/chart" uri="{C3380CC4-5D6E-409C-BE32-E72D297353CC}">
              <c16:uniqueId val="{00000008-5515-4B4A-838F-DE5194EA9BA6}"/>
            </c:ext>
          </c:extLst>
        </c:ser>
        <c:ser>
          <c:idx val="8"/>
          <c:order val="8"/>
          <c:tx>
            <c:v>Salinity SO4 3 0</c:v>
          </c:tx>
          <c:spPr>
            <a:ln w="19050" cap="rnd">
              <a:noFill/>
              <a:round/>
            </a:ln>
            <a:effectLst/>
          </c:spPr>
          <c:marker>
            <c:symbol val="dash"/>
            <c:size val="5"/>
            <c:spPr>
              <a:solidFill>
                <a:schemeClr val="accent3">
                  <a:lumMod val="60000"/>
                </a:schemeClr>
              </a:solidFill>
              <a:ln w="15875">
                <a:solidFill>
                  <a:schemeClr val="tx1"/>
                </a:solidFill>
              </a:ln>
              <a:effectLst/>
            </c:spPr>
          </c:marker>
          <c:xVal>
            <c:numRef>
              <c:f>'Set 3 Pattern Check'!$B$4:$B$14</c:f>
              <c:numCache>
                <c:formatCode>0.00</c:formatCode>
                <c:ptCount val="11"/>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numCache>
            </c:numRef>
          </c:xVal>
          <c:yVal>
            <c:numRef>
              <c:f>'Set 3 Pattern Check'!$N$4:$N$12</c:f>
              <c:numCache>
                <c:formatCode>0.00</c:formatCode>
                <c:ptCount val="9"/>
                <c:pt idx="0">
                  <c:v>262.49833802096651</c:v>
                </c:pt>
                <c:pt idx="1">
                  <c:v>109.21094349271284</c:v>
                </c:pt>
                <c:pt idx="2">
                  <c:v>92.916901048325229</c:v>
                </c:pt>
                <c:pt idx="3">
                  <c:v>133.48222960879571</c:v>
                </c:pt>
                <c:pt idx="4">
                  <c:v>118.94688452243352</c:v>
                </c:pt>
                <c:pt idx="5">
                  <c:v>100.25506987496058</c:v>
                </c:pt>
                <c:pt idx="6">
                  <c:v>104.23163812125671</c:v>
                </c:pt>
                <c:pt idx="7">
                  <c:v>88.571240937270119</c:v>
                </c:pt>
                <c:pt idx="8">
                  <c:v>142.56567195544812</c:v>
                </c:pt>
              </c:numCache>
            </c:numRef>
          </c:yVal>
          <c:smooth val="0"/>
          <c:extLst>
            <c:ext xmlns:c16="http://schemas.microsoft.com/office/drawing/2014/chart" uri="{C3380CC4-5D6E-409C-BE32-E72D297353CC}">
              <c16:uniqueId val="{00000009-5515-4B4A-838F-DE5194EA9BA6}"/>
            </c:ext>
          </c:extLst>
        </c:ser>
        <c:dLbls>
          <c:showLegendKey val="0"/>
          <c:showVal val="0"/>
          <c:showCatName val="0"/>
          <c:showSerName val="0"/>
          <c:showPercent val="0"/>
          <c:showBubbleSize val="0"/>
        </c:dLbls>
        <c:axId val="1838797007"/>
        <c:axId val="1797201663"/>
      </c:scatterChart>
      <c:valAx>
        <c:axId val="1771869375"/>
        <c:scaling>
          <c:orientation val="minMax"/>
          <c:max val="1600"/>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7092527"/>
        <c:crosses val="autoZero"/>
        <c:crossBetween val="midCat"/>
      </c:valAx>
      <c:valAx>
        <c:axId val="17970925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ppm &amp; pH</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869375"/>
        <c:crosses val="autoZero"/>
        <c:crossBetween val="midCat"/>
      </c:valAx>
      <c:valAx>
        <c:axId val="179720166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Salinity</a:t>
                </a:r>
                <a:r>
                  <a:rPr lang="en-US" baseline="0"/>
                  <a:t> ppm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8797007"/>
        <c:crosses val="max"/>
        <c:crossBetween val="midCat"/>
      </c:valAx>
      <c:valAx>
        <c:axId val="1838797007"/>
        <c:scaling>
          <c:orientation val="minMax"/>
        </c:scaling>
        <c:delete val="1"/>
        <c:axPos val="b"/>
        <c:numFmt formatCode="0.00" sourceLinked="1"/>
        <c:majorTickMark val="out"/>
        <c:minorTickMark val="none"/>
        <c:tickLblPos val="nextTo"/>
        <c:crossAx val="1797201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Runs'!$C$184:$C$191</c:f>
              <c:numCache>
                <c:formatCode>General</c:formatCode>
                <c:ptCount val="8"/>
                <c:pt idx="0">
                  <c:v>0.5</c:v>
                </c:pt>
                <c:pt idx="1">
                  <c:v>1</c:v>
                </c:pt>
                <c:pt idx="2">
                  <c:v>1.5</c:v>
                </c:pt>
                <c:pt idx="3">
                  <c:v>2</c:v>
                </c:pt>
                <c:pt idx="4">
                  <c:v>2.5</c:v>
                </c:pt>
                <c:pt idx="5">
                  <c:v>3</c:v>
                </c:pt>
                <c:pt idx="6">
                  <c:v>5</c:v>
                </c:pt>
                <c:pt idx="7">
                  <c:v>5</c:v>
                </c:pt>
              </c:numCache>
            </c:numRef>
          </c:xVal>
          <c:yVal>
            <c:numRef>
              <c:f>'Standards All Runs'!$E$184:$E$191</c:f>
              <c:numCache>
                <c:formatCode>General</c:formatCode>
                <c:ptCount val="8"/>
                <c:pt idx="0">
                  <c:v>1.5674999999999999</c:v>
                </c:pt>
                <c:pt idx="1">
                  <c:v>3.1623999999999999</c:v>
                </c:pt>
                <c:pt idx="2">
                  <c:v>4.7603999999999997</c:v>
                </c:pt>
                <c:pt idx="3">
                  <c:v>6.4455</c:v>
                </c:pt>
                <c:pt idx="4">
                  <c:v>8.3478999999999992</c:v>
                </c:pt>
                <c:pt idx="5">
                  <c:v>10.215</c:v>
                </c:pt>
                <c:pt idx="6">
                  <c:v>15.979200000000001</c:v>
                </c:pt>
                <c:pt idx="7">
                  <c:v>15.786</c:v>
                </c:pt>
              </c:numCache>
            </c:numRef>
          </c:yVal>
          <c:smooth val="0"/>
          <c:extLst>
            <c:ext xmlns:c16="http://schemas.microsoft.com/office/drawing/2014/chart" uri="{C3380CC4-5D6E-409C-BE32-E72D297353CC}">
              <c16:uniqueId val="{00000000-1F24-5446-9000-B8E811583E07}"/>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Runs'!$C$183:$C$191</c:f>
              <c:numCache>
                <c:formatCode>General</c:formatCode>
                <c:ptCount val="9"/>
                <c:pt idx="0">
                  <c:v>0</c:v>
                </c:pt>
                <c:pt idx="1">
                  <c:v>0.5</c:v>
                </c:pt>
                <c:pt idx="2">
                  <c:v>1</c:v>
                </c:pt>
                <c:pt idx="3">
                  <c:v>1.5</c:v>
                </c:pt>
                <c:pt idx="4">
                  <c:v>2</c:v>
                </c:pt>
                <c:pt idx="5">
                  <c:v>2.5</c:v>
                </c:pt>
                <c:pt idx="6">
                  <c:v>3</c:v>
                </c:pt>
                <c:pt idx="7">
                  <c:v>5</c:v>
                </c:pt>
                <c:pt idx="8">
                  <c:v>5</c:v>
                </c:pt>
              </c:numCache>
            </c:numRef>
          </c:xVal>
          <c:yVal>
            <c:numRef>
              <c:f>'Standards All Runs'!$F$183:$F$191</c:f>
              <c:numCache>
                <c:formatCode>General</c:formatCode>
                <c:ptCount val="9"/>
                <c:pt idx="0">
                  <c:v>0</c:v>
                </c:pt>
                <c:pt idx="1">
                  <c:v>8.1205999999999996</c:v>
                </c:pt>
                <c:pt idx="2">
                  <c:v>17.421099999999999</c:v>
                </c:pt>
                <c:pt idx="3">
                  <c:v>26.906700000000001</c:v>
                </c:pt>
                <c:pt idx="4">
                  <c:v>36.813000000000002</c:v>
                </c:pt>
                <c:pt idx="5">
                  <c:v>45.683300000000003</c:v>
                </c:pt>
                <c:pt idx="6">
                  <c:v>56.2928</c:v>
                </c:pt>
                <c:pt idx="7">
                  <c:v>86.987399999999994</c:v>
                </c:pt>
                <c:pt idx="8">
                  <c:v>85.302700000000002</c:v>
                </c:pt>
              </c:numCache>
            </c:numRef>
          </c:yVal>
          <c:smooth val="0"/>
          <c:extLst>
            <c:ext xmlns:c16="http://schemas.microsoft.com/office/drawing/2014/chart" uri="{C3380CC4-5D6E-409C-BE32-E72D297353CC}">
              <c16:uniqueId val="{00000002-96EF-2148-AFC4-2681E5ED4A56}"/>
            </c:ext>
          </c:extLst>
        </c:ser>
        <c:dLbls>
          <c:showLegendKey val="0"/>
          <c:showVal val="0"/>
          <c:showCatName val="0"/>
          <c:showSerName val="0"/>
          <c:showPercent val="0"/>
          <c:showBubbleSize val="0"/>
        </c:dLbls>
        <c:axId val="1034981952"/>
        <c:axId val="1034983600"/>
      </c:scatterChart>
      <c:valAx>
        <c:axId val="1034981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983600"/>
        <c:crosses val="autoZero"/>
        <c:crossBetween val="midCat"/>
      </c:valAx>
      <c:valAx>
        <c:axId val="1034983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49819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Runs'!$C$198:$C$203</c:f>
              <c:numCache>
                <c:formatCode>General</c:formatCode>
                <c:ptCount val="6"/>
                <c:pt idx="0">
                  <c:v>0.5</c:v>
                </c:pt>
                <c:pt idx="1">
                  <c:v>1</c:v>
                </c:pt>
                <c:pt idx="2">
                  <c:v>2</c:v>
                </c:pt>
                <c:pt idx="3">
                  <c:v>2.5</c:v>
                </c:pt>
                <c:pt idx="4">
                  <c:v>3</c:v>
                </c:pt>
                <c:pt idx="5">
                  <c:v>5</c:v>
                </c:pt>
              </c:numCache>
            </c:numRef>
          </c:xVal>
          <c:yVal>
            <c:numRef>
              <c:f>'Standards All Runs'!$E$198:$E$203</c:f>
              <c:numCache>
                <c:formatCode>General</c:formatCode>
                <c:ptCount val="6"/>
                <c:pt idx="0">
                  <c:v>1.6288</c:v>
                </c:pt>
                <c:pt idx="1">
                  <c:v>3.2164999999999999</c:v>
                </c:pt>
                <c:pt idx="2">
                  <c:v>6.6012000000000004</c:v>
                </c:pt>
                <c:pt idx="3">
                  <c:v>8.1674000000000007</c:v>
                </c:pt>
                <c:pt idx="4">
                  <c:v>10.6851</c:v>
                </c:pt>
                <c:pt idx="5">
                  <c:v>16.703600000000002</c:v>
                </c:pt>
              </c:numCache>
            </c:numRef>
          </c:yVal>
          <c:smooth val="0"/>
          <c:extLst>
            <c:ext xmlns:c16="http://schemas.microsoft.com/office/drawing/2014/chart" uri="{C3380CC4-5D6E-409C-BE32-E72D297353CC}">
              <c16:uniqueId val="{00000000-C855-7941-9091-D1F4333EE460}"/>
            </c:ext>
          </c:extLst>
        </c:ser>
        <c:dLbls>
          <c:showLegendKey val="0"/>
          <c:showVal val="0"/>
          <c:showCatName val="0"/>
          <c:showSerName val="0"/>
          <c:showPercent val="0"/>
          <c:showBubbleSize val="0"/>
        </c:dLbls>
        <c:axId val="198455744"/>
        <c:axId val="198457392"/>
      </c:scatterChart>
      <c:valAx>
        <c:axId val="19845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7392"/>
        <c:crosses val="autoZero"/>
        <c:crossBetween val="midCat"/>
      </c:valAx>
      <c:valAx>
        <c:axId val="198457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557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t>
            </a:r>
            <a:r>
              <a:rPr lang="en-US" baseline="0"/>
              <a:t> &amp; SO4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Chloride</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891338582677165"/>
                  <c:y val="0.133842592592592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Runs'!$C$222:$C$229</c:f>
              <c:numCache>
                <c:formatCode>General</c:formatCode>
                <c:ptCount val="8"/>
                <c:pt idx="0">
                  <c:v>0</c:v>
                </c:pt>
                <c:pt idx="1">
                  <c:v>1</c:v>
                </c:pt>
                <c:pt idx="2">
                  <c:v>5</c:v>
                </c:pt>
                <c:pt idx="3">
                  <c:v>10</c:v>
                </c:pt>
                <c:pt idx="4">
                  <c:v>20</c:v>
                </c:pt>
                <c:pt idx="5">
                  <c:v>40</c:v>
                </c:pt>
                <c:pt idx="6">
                  <c:v>60</c:v>
                </c:pt>
                <c:pt idx="7">
                  <c:v>80</c:v>
                </c:pt>
              </c:numCache>
            </c:numRef>
          </c:xVal>
          <c:yVal>
            <c:numRef>
              <c:f>'Standards All Runs'!$I$222:$I$229</c:f>
              <c:numCache>
                <c:formatCode>General</c:formatCode>
                <c:ptCount val="8"/>
                <c:pt idx="0">
                  <c:v>0</c:v>
                </c:pt>
                <c:pt idx="1">
                  <c:v>1.9668000000000001</c:v>
                </c:pt>
                <c:pt idx="2">
                  <c:v>11.462</c:v>
                </c:pt>
                <c:pt idx="3">
                  <c:v>27.633400000000002</c:v>
                </c:pt>
                <c:pt idx="4">
                  <c:v>47.516399999999997</c:v>
                </c:pt>
                <c:pt idx="5">
                  <c:v>115.07340000000001</c:v>
                </c:pt>
                <c:pt idx="6">
                  <c:v>174.03460000000001</c:v>
                </c:pt>
                <c:pt idx="7">
                  <c:v>229.47839999999999</c:v>
                </c:pt>
              </c:numCache>
            </c:numRef>
          </c:yVal>
          <c:smooth val="0"/>
          <c:extLst>
            <c:ext xmlns:c16="http://schemas.microsoft.com/office/drawing/2014/chart" uri="{C3380CC4-5D6E-409C-BE32-E72D297353CC}">
              <c16:uniqueId val="{00000000-02E4-D741-A14A-04A55969F78D}"/>
            </c:ext>
          </c:extLst>
        </c:ser>
        <c:ser>
          <c:idx val="1"/>
          <c:order val="1"/>
          <c:tx>
            <c:v>Sulphate</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6.7086614173228351E-2"/>
                  <c:y val="0.216384149897929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Runs'!$C$222:$C$229</c:f>
              <c:numCache>
                <c:formatCode>General</c:formatCode>
                <c:ptCount val="8"/>
                <c:pt idx="0">
                  <c:v>0</c:v>
                </c:pt>
                <c:pt idx="1">
                  <c:v>1</c:v>
                </c:pt>
                <c:pt idx="2">
                  <c:v>5</c:v>
                </c:pt>
                <c:pt idx="3">
                  <c:v>10</c:v>
                </c:pt>
                <c:pt idx="4">
                  <c:v>20</c:v>
                </c:pt>
                <c:pt idx="5">
                  <c:v>40</c:v>
                </c:pt>
                <c:pt idx="6">
                  <c:v>60</c:v>
                </c:pt>
                <c:pt idx="7">
                  <c:v>80</c:v>
                </c:pt>
              </c:numCache>
            </c:numRef>
          </c:xVal>
          <c:yVal>
            <c:numRef>
              <c:f>'Standards All Runs'!$O$222:$O$229</c:f>
              <c:numCache>
                <c:formatCode>General</c:formatCode>
                <c:ptCount val="8"/>
                <c:pt idx="0">
                  <c:v>0</c:v>
                </c:pt>
                <c:pt idx="1">
                  <c:v>1.4109</c:v>
                </c:pt>
                <c:pt idx="2">
                  <c:v>7.1562999999999999</c:v>
                </c:pt>
                <c:pt idx="3">
                  <c:v>16.5915</c:v>
                </c:pt>
                <c:pt idx="4">
                  <c:v>29.835699999999999</c:v>
                </c:pt>
                <c:pt idx="5">
                  <c:v>76.112300000000005</c:v>
                </c:pt>
                <c:pt idx="6">
                  <c:v>115.1576</c:v>
                </c:pt>
                <c:pt idx="7">
                  <c:v>154.78370000000001</c:v>
                </c:pt>
              </c:numCache>
            </c:numRef>
          </c:yVal>
          <c:smooth val="0"/>
          <c:extLst>
            <c:ext xmlns:c16="http://schemas.microsoft.com/office/drawing/2014/chart" uri="{C3380CC4-5D6E-409C-BE32-E72D297353CC}">
              <c16:uniqueId val="{00000002-02E4-D741-A14A-04A55969F78D}"/>
            </c:ext>
          </c:extLst>
        </c:ser>
        <c:dLbls>
          <c:showLegendKey val="0"/>
          <c:showVal val="0"/>
          <c:showCatName val="0"/>
          <c:showSerName val="0"/>
          <c:showPercent val="0"/>
          <c:showBubbleSize val="0"/>
        </c:dLbls>
        <c:axId val="217151296"/>
        <c:axId val="231799376"/>
      </c:scatterChart>
      <c:valAx>
        <c:axId val="217151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1799376"/>
        <c:crosses val="autoZero"/>
        <c:crossBetween val="midCat"/>
      </c:valAx>
      <c:valAx>
        <c:axId val="231799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15129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5753674540682411"/>
                  <c:y val="8.8425925925925929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Runs'!$C$211:$C$217</c:f>
              <c:numCache>
                <c:formatCode>General</c:formatCode>
                <c:ptCount val="7"/>
                <c:pt idx="0">
                  <c:v>0.5</c:v>
                </c:pt>
                <c:pt idx="1">
                  <c:v>1</c:v>
                </c:pt>
                <c:pt idx="2">
                  <c:v>1.5</c:v>
                </c:pt>
                <c:pt idx="3">
                  <c:v>2</c:v>
                </c:pt>
                <c:pt idx="4">
                  <c:v>2.5</c:v>
                </c:pt>
                <c:pt idx="5">
                  <c:v>3</c:v>
                </c:pt>
                <c:pt idx="6">
                  <c:v>5</c:v>
                </c:pt>
              </c:numCache>
            </c:numRef>
          </c:xVal>
          <c:yVal>
            <c:numRef>
              <c:f>'Standards All Runs'!$E$211:$E$217</c:f>
              <c:numCache>
                <c:formatCode>General</c:formatCode>
                <c:ptCount val="7"/>
                <c:pt idx="0">
                  <c:v>1.6465000000000001</c:v>
                </c:pt>
                <c:pt idx="1">
                  <c:v>3.2728999999999999</c:v>
                </c:pt>
                <c:pt idx="2">
                  <c:v>5.2274000000000003</c:v>
                </c:pt>
                <c:pt idx="3">
                  <c:v>6.5811999999999999</c:v>
                </c:pt>
                <c:pt idx="4">
                  <c:v>8.0752000000000006</c:v>
                </c:pt>
                <c:pt idx="5">
                  <c:v>10.583600000000001</c:v>
                </c:pt>
                <c:pt idx="6">
                  <c:v>16.4251</c:v>
                </c:pt>
              </c:numCache>
            </c:numRef>
          </c:yVal>
          <c:smooth val="0"/>
          <c:extLst>
            <c:ext xmlns:c16="http://schemas.microsoft.com/office/drawing/2014/chart" uri="{C3380CC4-5D6E-409C-BE32-E72D297353CC}">
              <c16:uniqueId val="{00000000-7E30-A347-872F-02B9186E9971}"/>
            </c:ext>
          </c:extLst>
        </c:ser>
        <c:dLbls>
          <c:showLegendKey val="0"/>
          <c:showVal val="0"/>
          <c:showCatName val="0"/>
          <c:showSerName val="0"/>
          <c:showPercent val="0"/>
          <c:showBubbleSize val="0"/>
        </c:dLbls>
        <c:axId val="212470144"/>
        <c:axId val="1921835887"/>
      </c:scatterChart>
      <c:valAx>
        <c:axId val="2124701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1835887"/>
        <c:crosses val="autoZero"/>
        <c:crossBetween val="midCat"/>
      </c:valAx>
      <c:valAx>
        <c:axId val="19218358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47014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Fluoride</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7.2222222222222215E-2"/>
                  <c:y val="-0.3783909303003791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Runs'!$C$233:$C$239</c:f>
              <c:numCache>
                <c:formatCode>General</c:formatCode>
                <c:ptCount val="7"/>
                <c:pt idx="0">
                  <c:v>0.5</c:v>
                </c:pt>
                <c:pt idx="1">
                  <c:v>1</c:v>
                </c:pt>
                <c:pt idx="2">
                  <c:v>1.5</c:v>
                </c:pt>
                <c:pt idx="3">
                  <c:v>2</c:v>
                </c:pt>
                <c:pt idx="4">
                  <c:v>2.5</c:v>
                </c:pt>
                <c:pt idx="5">
                  <c:v>3</c:v>
                </c:pt>
                <c:pt idx="6">
                  <c:v>5</c:v>
                </c:pt>
              </c:numCache>
            </c:numRef>
          </c:xVal>
          <c:yVal>
            <c:numRef>
              <c:f>'Standards All Runs'!$E$233:$E$239</c:f>
              <c:numCache>
                <c:formatCode>General</c:formatCode>
                <c:ptCount val="7"/>
                <c:pt idx="0">
                  <c:v>1.6709000000000001</c:v>
                </c:pt>
                <c:pt idx="1">
                  <c:v>1.6709000000000001</c:v>
                </c:pt>
                <c:pt idx="2">
                  <c:v>5.0857000000000001</c:v>
                </c:pt>
                <c:pt idx="3">
                  <c:v>6.3135000000000003</c:v>
                </c:pt>
                <c:pt idx="4">
                  <c:v>9.3925999999999998</c:v>
                </c:pt>
                <c:pt idx="5">
                  <c:v>10.3947</c:v>
                </c:pt>
                <c:pt idx="6">
                  <c:v>16.0596</c:v>
                </c:pt>
              </c:numCache>
            </c:numRef>
          </c:yVal>
          <c:smooth val="0"/>
          <c:extLst>
            <c:ext xmlns:c16="http://schemas.microsoft.com/office/drawing/2014/chart" uri="{C3380CC4-5D6E-409C-BE32-E72D297353CC}">
              <c16:uniqueId val="{00000000-EBB8-A243-87A0-6BF7B12EBEAD}"/>
            </c:ext>
          </c:extLst>
        </c:ser>
        <c:ser>
          <c:idx val="1"/>
          <c:order val="1"/>
          <c:tx>
            <c:v>Chloride</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Runs'!$C$245:$C$248</c:f>
              <c:numCache>
                <c:formatCode>General</c:formatCode>
                <c:ptCount val="4"/>
                <c:pt idx="0">
                  <c:v>0</c:v>
                </c:pt>
                <c:pt idx="1">
                  <c:v>5</c:v>
                </c:pt>
                <c:pt idx="2">
                  <c:v>20</c:v>
                </c:pt>
                <c:pt idx="3">
                  <c:v>40</c:v>
                </c:pt>
              </c:numCache>
            </c:numRef>
          </c:xVal>
          <c:yVal>
            <c:numRef>
              <c:f>'Standards All Runs'!$I$245:$I$248</c:f>
              <c:numCache>
                <c:formatCode>General</c:formatCode>
                <c:ptCount val="4"/>
                <c:pt idx="0">
                  <c:v>0</c:v>
                </c:pt>
                <c:pt idx="1">
                  <c:v>13.7662</c:v>
                </c:pt>
                <c:pt idx="2">
                  <c:v>53.833599999999997</c:v>
                </c:pt>
                <c:pt idx="3">
                  <c:v>116.2546</c:v>
                </c:pt>
              </c:numCache>
            </c:numRef>
          </c:yVal>
          <c:smooth val="0"/>
          <c:extLst>
            <c:ext xmlns:c16="http://schemas.microsoft.com/office/drawing/2014/chart" uri="{C3380CC4-5D6E-409C-BE32-E72D297353CC}">
              <c16:uniqueId val="{00000002-EBB8-A243-87A0-6BF7B12EBEAD}"/>
            </c:ext>
          </c:extLst>
        </c:ser>
        <c:ser>
          <c:idx val="2"/>
          <c:order val="2"/>
          <c:tx>
            <c:v>Sulphate</c:v>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layout>
                <c:manualLayout>
                  <c:x val="1.7086614173228345E-2"/>
                  <c:y val="0.1789016477107028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Runs'!$C$245:$C$248</c:f>
              <c:numCache>
                <c:formatCode>General</c:formatCode>
                <c:ptCount val="4"/>
                <c:pt idx="0">
                  <c:v>0</c:v>
                </c:pt>
                <c:pt idx="1">
                  <c:v>5</c:v>
                </c:pt>
                <c:pt idx="2">
                  <c:v>20</c:v>
                </c:pt>
                <c:pt idx="3">
                  <c:v>40</c:v>
                </c:pt>
              </c:numCache>
            </c:numRef>
          </c:xVal>
          <c:yVal>
            <c:numRef>
              <c:f>'Standards All Runs'!$O$245:$O$248</c:f>
              <c:numCache>
                <c:formatCode>General</c:formatCode>
                <c:ptCount val="4"/>
                <c:pt idx="0">
                  <c:v>0</c:v>
                </c:pt>
                <c:pt idx="1">
                  <c:v>7.7262000000000004</c:v>
                </c:pt>
                <c:pt idx="2">
                  <c:v>33.367600000000003</c:v>
                </c:pt>
                <c:pt idx="3">
                  <c:v>76.029799999999994</c:v>
                </c:pt>
              </c:numCache>
            </c:numRef>
          </c:yVal>
          <c:smooth val="0"/>
          <c:extLst>
            <c:ext xmlns:c16="http://schemas.microsoft.com/office/drawing/2014/chart" uri="{C3380CC4-5D6E-409C-BE32-E72D297353CC}">
              <c16:uniqueId val="{00000003-EBB8-A243-87A0-6BF7B12EBEAD}"/>
            </c:ext>
          </c:extLst>
        </c:ser>
        <c:dLbls>
          <c:showLegendKey val="0"/>
          <c:showVal val="0"/>
          <c:showCatName val="0"/>
          <c:showSerName val="0"/>
          <c:showPercent val="0"/>
          <c:showBubbleSize val="0"/>
        </c:dLbls>
        <c:axId val="870842127"/>
        <c:axId val="870829951"/>
      </c:scatterChart>
      <c:valAx>
        <c:axId val="8708421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829951"/>
        <c:crosses val="autoZero"/>
        <c:crossBetween val="midCat"/>
      </c:valAx>
      <c:valAx>
        <c:axId val="870829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8421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Runs'!$C$251:$C$258</c:f>
              <c:numCache>
                <c:formatCode>General</c:formatCode>
                <c:ptCount val="8"/>
                <c:pt idx="0">
                  <c:v>0</c:v>
                </c:pt>
                <c:pt idx="1">
                  <c:v>0.5</c:v>
                </c:pt>
                <c:pt idx="2">
                  <c:v>1</c:v>
                </c:pt>
                <c:pt idx="3">
                  <c:v>1.5</c:v>
                </c:pt>
                <c:pt idx="4">
                  <c:v>2</c:v>
                </c:pt>
                <c:pt idx="5">
                  <c:v>2.5</c:v>
                </c:pt>
                <c:pt idx="6">
                  <c:v>3</c:v>
                </c:pt>
                <c:pt idx="7">
                  <c:v>5</c:v>
                </c:pt>
              </c:numCache>
            </c:numRef>
          </c:xVal>
          <c:yVal>
            <c:numRef>
              <c:f>'Standards All Runs'!$E$251:$E$258</c:f>
              <c:numCache>
                <c:formatCode>General</c:formatCode>
                <c:ptCount val="8"/>
                <c:pt idx="0">
                  <c:v>0</c:v>
                </c:pt>
                <c:pt idx="1">
                  <c:v>1.6072</c:v>
                </c:pt>
                <c:pt idx="2">
                  <c:v>3.1432000000000002</c:v>
                </c:pt>
                <c:pt idx="3">
                  <c:v>5.0105000000000004</c:v>
                </c:pt>
                <c:pt idx="4">
                  <c:v>6.2068000000000003</c:v>
                </c:pt>
                <c:pt idx="5">
                  <c:v>9.3705999999999996</c:v>
                </c:pt>
                <c:pt idx="6">
                  <c:v>10.3969</c:v>
                </c:pt>
                <c:pt idx="7">
                  <c:v>16.093299999999999</c:v>
                </c:pt>
              </c:numCache>
            </c:numRef>
          </c:yVal>
          <c:smooth val="0"/>
          <c:extLst>
            <c:ext xmlns:c16="http://schemas.microsoft.com/office/drawing/2014/chart" uri="{C3380CC4-5D6E-409C-BE32-E72D297353CC}">
              <c16:uniqueId val="{00000000-EBD6-EF43-AE6E-1E83FDA52F66}"/>
            </c:ext>
          </c:extLst>
        </c:ser>
        <c:dLbls>
          <c:showLegendKey val="0"/>
          <c:showVal val="0"/>
          <c:showCatName val="0"/>
          <c:showSerName val="0"/>
          <c:showPercent val="0"/>
          <c:showBubbleSize val="0"/>
        </c:dLbls>
        <c:axId val="1697833167"/>
        <c:axId val="1698577423"/>
      </c:scatterChart>
      <c:valAx>
        <c:axId val="16978331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8577423"/>
        <c:crosses val="autoZero"/>
        <c:crossBetween val="midCat"/>
      </c:valAx>
      <c:valAx>
        <c:axId val="16985774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783316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Runs'!$C$263:$C$268</c:f>
              <c:numCache>
                <c:formatCode>General</c:formatCode>
                <c:ptCount val="6"/>
                <c:pt idx="0">
                  <c:v>0</c:v>
                </c:pt>
                <c:pt idx="1">
                  <c:v>0.5</c:v>
                </c:pt>
                <c:pt idx="2">
                  <c:v>1</c:v>
                </c:pt>
                <c:pt idx="3">
                  <c:v>1.5</c:v>
                </c:pt>
                <c:pt idx="4">
                  <c:v>3</c:v>
                </c:pt>
                <c:pt idx="5">
                  <c:v>5</c:v>
                </c:pt>
              </c:numCache>
            </c:numRef>
          </c:xVal>
          <c:yVal>
            <c:numRef>
              <c:f>'Standards All Runs'!$E$263:$E$268</c:f>
              <c:numCache>
                <c:formatCode>General</c:formatCode>
                <c:ptCount val="6"/>
                <c:pt idx="0">
                  <c:v>0</c:v>
                </c:pt>
                <c:pt idx="1">
                  <c:v>1.6155999999999999</c:v>
                </c:pt>
                <c:pt idx="2">
                  <c:v>3.5326</c:v>
                </c:pt>
                <c:pt idx="3">
                  <c:v>4.5382999999999996</c:v>
                </c:pt>
                <c:pt idx="4">
                  <c:v>9.9634</c:v>
                </c:pt>
                <c:pt idx="5">
                  <c:v>16.581600000000002</c:v>
                </c:pt>
              </c:numCache>
            </c:numRef>
          </c:yVal>
          <c:smooth val="0"/>
          <c:extLst>
            <c:ext xmlns:c16="http://schemas.microsoft.com/office/drawing/2014/chart" uri="{C3380CC4-5D6E-409C-BE32-E72D297353CC}">
              <c16:uniqueId val="{00000000-E0C1-A94D-9064-704307F716CE}"/>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Runs'!$C$263:$C$268</c:f>
              <c:numCache>
                <c:formatCode>General</c:formatCode>
                <c:ptCount val="6"/>
                <c:pt idx="0">
                  <c:v>0</c:v>
                </c:pt>
                <c:pt idx="1">
                  <c:v>0.5</c:v>
                </c:pt>
                <c:pt idx="2">
                  <c:v>1</c:v>
                </c:pt>
                <c:pt idx="3">
                  <c:v>1.5</c:v>
                </c:pt>
                <c:pt idx="4">
                  <c:v>3</c:v>
                </c:pt>
                <c:pt idx="5">
                  <c:v>5</c:v>
                </c:pt>
              </c:numCache>
            </c:numRef>
          </c:xVal>
          <c:yVal>
            <c:numRef>
              <c:f>'Standards All Runs'!$F$263:$F$268</c:f>
              <c:numCache>
                <c:formatCode>General</c:formatCode>
                <c:ptCount val="6"/>
                <c:pt idx="0">
                  <c:v>0</c:v>
                </c:pt>
                <c:pt idx="1">
                  <c:v>3.5175000000000001</c:v>
                </c:pt>
                <c:pt idx="2">
                  <c:v>7.5067000000000004</c:v>
                </c:pt>
                <c:pt idx="3">
                  <c:v>10.9907</c:v>
                </c:pt>
                <c:pt idx="4">
                  <c:v>25.2745</c:v>
                </c:pt>
                <c:pt idx="5">
                  <c:v>44.205300000000001</c:v>
                </c:pt>
              </c:numCache>
            </c:numRef>
          </c:yVal>
          <c:smooth val="0"/>
          <c:extLst>
            <c:ext xmlns:c16="http://schemas.microsoft.com/office/drawing/2014/chart" uri="{C3380CC4-5D6E-409C-BE32-E72D297353CC}">
              <c16:uniqueId val="{00000002-8BAF-3048-9E2F-2BDD29B6B339}"/>
            </c:ext>
          </c:extLst>
        </c:ser>
        <c:dLbls>
          <c:showLegendKey val="0"/>
          <c:showVal val="0"/>
          <c:showCatName val="0"/>
          <c:showSerName val="0"/>
          <c:showPercent val="0"/>
          <c:showBubbleSize val="0"/>
        </c:dLbls>
        <c:axId val="480281519"/>
        <c:axId val="603718719"/>
      </c:scatterChart>
      <c:valAx>
        <c:axId val="4802815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718719"/>
        <c:crosses val="autoZero"/>
        <c:crossBetween val="midCat"/>
      </c:valAx>
      <c:valAx>
        <c:axId val="6037187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02815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9/3/21</a:t>
            </a:r>
            <a:r>
              <a:rPr lang="en-US" baseline="0"/>
              <a:t> F Standards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Runs'!$C$19:$C$29</c:f>
              <c:numCache>
                <c:formatCode>General</c:formatCode>
                <c:ptCount val="11"/>
                <c:pt idx="0">
                  <c:v>0</c:v>
                </c:pt>
                <c:pt idx="1">
                  <c:v>0.5</c:v>
                </c:pt>
                <c:pt idx="2">
                  <c:v>1</c:v>
                </c:pt>
                <c:pt idx="3">
                  <c:v>1.5</c:v>
                </c:pt>
                <c:pt idx="4">
                  <c:v>2</c:v>
                </c:pt>
                <c:pt idx="5">
                  <c:v>2.5</c:v>
                </c:pt>
                <c:pt idx="6">
                  <c:v>3</c:v>
                </c:pt>
                <c:pt idx="7">
                  <c:v>5</c:v>
                </c:pt>
                <c:pt idx="8">
                  <c:v>2.5</c:v>
                </c:pt>
                <c:pt idx="9">
                  <c:v>2.5</c:v>
                </c:pt>
                <c:pt idx="10">
                  <c:v>2.5</c:v>
                </c:pt>
              </c:numCache>
            </c:numRef>
          </c:xVal>
          <c:yVal>
            <c:numRef>
              <c:f>'Standards All Runs'!$F$19:$F$29</c:f>
              <c:numCache>
                <c:formatCode>General</c:formatCode>
                <c:ptCount val="11"/>
                <c:pt idx="0">
                  <c:v>0</c:v>
                </c:pt>
                <c:pt idx="1">
                  <c:v>2.1436000000000002</c:v>
                </c:pt>
                <c:pt idx="2">
                  <c:v>5.1330999999999998</c:v>
                </c:pt>
                <c:pt idx="3">
                  <c:v>7.9455</c:v>
                </c:pt>
                <c:pt idx="4">
                  <c:v>11.367900000000001</c:v>
                </c:pt>
                <c:pt idx="5">
                  <c:v>13.5121</c:v>
                </c:pt>
                <c:pt idx="6">
                  <c:v>16.1557</c:v>
                </c:pt>
                <c:pt idx="7">
                  <c:v>27.483799999999999</c:v>
                </c:pt>
                <c:pt idx="8">
                  <c:v>13.6859</c:v>
                </c:pt>
                <c:pt idx="9">
                  <c:v>14.021699999999999</c:v>
                </c:pt>
                <c:pt idx="10">
                  <c:v>14.468400000000001</c:v>
                </c:pt>
              </c:numCache>
            </c:numRef>
          </c:yVal>
          <c:smooth val="0"/>
          <c:extLst>
            <c:ext xmlns:c16="http://schemas.microsoft.com/office/drawing/2014/chart" uri="{C3380CC4-5D6E-409C-BE32-E72D297353CC}">
              <c16:uniqueId val="{00000000-90F2-BB46-B043-2A229623E495}"/>
            </c:ext>
          </c:extLst>
        </c:ser>
        <c:ser>
          <c:idx val="1"/>
          <c:order val="1"/>
          <c:tx>
            <c:v>Area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7.9338363954505692E-2"/>
                  <c:y val="0.1659299358413531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Runs'!$C$20:$C$29</c:f>
              <c:numCache>
                <c:formatCode>General</c:formatCode>
                <c:ptCount val="10"/>
                <c:pt idx="0">
                  <c:v>0.5</c:v>
                </c:pt>
                <c:pt idx="1">
                  <c:v>1</c:v>
                </c:pt>
                <c:pt idx="2">
                  <c:v>1.5</c:v>
                </c:pt>
                <c:pt idx="3">
                  <c:v>2</c:v>
                </c:pt>
                <c:pt idx="4">
                  <c:v>2.5</c:v>
                </c:pt>
                <c:pt idx="5">
                  <c:v>3</c:v>
                </c:pt>
                <c:pt idx="6">
                  <c:v>5</c:v>
                </c:pt>
                <c:pt idx="7">
                  <c:v>2.5</c:v>
                </c:pt>
                <c:pt idx="8">
                  <c:v>2.5</c:v>
                </c:pt>
                <c:pt idx="9">
                  <c:v>2.5</c:v>
                </c:pt>
              </c:numCache>
            </c:numRef>
          </c:xVal>
          <c:yVal>
            <c:numRef>
              <c:f>'Standards All Runs'!$E$20:$E$29</c:f>
              <c:numCache>
                <c:formatCode>General</c:formatCode>
                <c:ptCount val="10"/>
                <c:pt idx="0">
                  <c:v>0.66310000000000002</c:v>
                </c:pt>
                <c:pt idx="1">
                  <c:v>2.2864</c:v>
                </c:pt>
                <c:pt idx="2">
                  <c:v>3.5495999999999999</c:v>
                </c:pt>
                <c:pt idx="3">
                  <c:v>5.4646999999999997</c:v>
                </c:pt>
                <c:pt idx="4">
                  <c:v>6.4682000000000004</c:v>
                </c:pt>
                <c:pt idx="5">
                  <c:v>8.2116000000000007</c:v>
                </c:pt>
                <c:pt idx="6">
                  <c:v>14.7544</c:v>
                </c:pt>
                <c:pt idx="7">
                  <c:v>6.2823000000000002</c:v>
                </c:pt>
                <c:pt idx="8">
                  <c:v>6.6948999999999996</c:v>
                </c:pt>
                <c:pt idx="9">
                  <c:v>6.7058999999999997</c:v>
                </c:pt>
              </c:numCache>
            </c:numRef>
          </c:yVal>
          <c:smooth val="0"/>
          <c:extLst>
            <c:ext xmlns:c16="http://schemas.microsoft.com/office/drawing/2014/chart" uri="{C3380CC4-5D6E-409C-BE32-E72D297353CC}">
              <c16:uniqueId val="{00000002-90F2-BB46-B043-2A229623E495}"/>
            </c:ext>
          </c:extLst>
        </c:ser>
        <c:dLbls>
          <c:showLegendKey val="0"/>
          <c:showVal val="0"/>
          <c:showCatName val="0"/>
          <c:showSerName val="0"/>
          <c:showPercent val="0"/>
          <c:showBubbleSize val="0"/>
        </c:dLbls>
        <c:axId val="598699536"/>
        <c:axId val="598686112"/>
      </c:scatterChart>
      <c:valAx>
        <c:axId val="59869953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686112"/>
        <c:crosses val="autoZero"/>
        <c:crossBetween val="midCat"/>
      </c:valAx>
      <c:valAx>
        <c:axId val="598686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869953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[1]Standards!$E$3:$E$9</c:f>
              <c:numCache>
                <c:formatCode>General</c:formatCode>
                <c:ptCount val="7"/>
                <c:pt idx="0">
                  <c:v>0</c:v>
                </c:pt>
                <c:pt idx="1">
                  <c:v>0</c:v>
                </c:pt>
                <c:pt idx="2">
                  <c:v>0</c:v>
                </c:pt>
                <c:pt idx="3">
                  <c:v>0</c:v>
                </c:pt>
                <c:pt idx="4">
                  <c:v>0</c:v>
                </c:pt>
                <c:pt idx="5">
                  <c:v>0</c:v>
                </c:pt>
                <c:pt idx="6">
                  <c:v>0</c:v>
                </c:pt>
              </c:numCache>
            </c:numRef>
          </c:xVal>
          <c:yVal>
            <c:numRef>
              <c:f>'Standards All Runs'!$AB$251:$AB$255</c:f>
              <c:numCache>
                <c:formatCode>General</c:formatCode>
                <c:ptCount val="5"/>
              </c:numCache>
            </c:numRef>
          </c:yVal>
          <c:smooth val="0"/>
          <c:extLst>
            <c:ext xmlns:c16="http://schemas.microsoft.com/office/drawing/2014/chart" uri="{C3380CC4-5D6E-409C-BE32-E72D297353CC}">
              <c16:uniqueId val="{00000000-8A87-4D4D-A54A-F0EC1AD8DF27}"/>
            </c:ext>
          </c:extLst>
        </c:ser>
        <c:dLbls>
          <c:showLegendKey val="0"/>
          <c:showVal val="0"/>
          <c:showCatName val="0"/>
          <c:showSerName val="0"/>
          <c:showPercent val="0"/>
          <c:showBubbleSize val="0"/>
        </c:dLbls>
        <c:axId val="651496271"/>
        <c:axId val="651924175"/>
      </c:scatterChart>
      <c:valAx>
        <c:axId val="6514962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924175"/>
        <c:crosses val="autoZero"/>
        <c:crossBetween val="midCat"/>
      </c:valAx>
      <c:valAx>
        <c:axId val="651924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14962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Runs'!$C$274:$C$281</c:f>
              <c:numCache>
                <c:formatCode>General</c:formatCode>
                <c:ptCount val="8"/>
                <c:pt idx="0">
                  <c:v>0</c:v>
                </c:pt>
                <c:pt idx="1">
                  <c:v>0.5</c:v>
                </c:pt>
                <c:pt idx="2">
                  <c:v>1</c:v>
                </c:pt>
                <c:pt idx="3">
                  <c:v>1.5</c:v>
                </c:pt>
                <c:pt idx="4">
                  <c:v>2</c:v>
                </c:pt>
                <c:pt idx="5">
                  <c:v>2.5</c:v>
                </c:pt>
                <c:pt idx="6">
                  <c:v>3</c:v>
                </c:pt>
                <c:pt idx="7">
                  <c:v>5</c:v>
                </c:pt>
              </c:numCache>
            </c:numRef>
          </c:xVal>
          <c:yVal>
            <c:numRef>
              <c:f>'Standards All Runs'!$E$274:$E$281</c:f>
              <c:numCache>
                <c:formatCode>General</c:formatCode>
                <c:ptCount val="8"/>
                <c:pt idx="0">
                  <c:v>0</c:v>
                </c:pt>
                <c:pt idx="1">
                  <c:v>1.524</c:v>
                </c:pt>
                <c:pt idx="2">
                  <c:v>3.3140999999999998</c:v>
                </c:pt>
                <c:pt idx="3">
                  <c:v>4.9012000000000002</c:v>
                </c:pt>
                <c:pt idx="4">
                  <c:v>6.6369999999999996</c:v>
                </c:pt>
                <c:pt idx="5">
                  <c:v>8.4513999999999996</c:v>
                </c:pt>
                <c:pt idx="6">
                  <c:v>10.0662</c:v>
                </c:pt>
                <c:pt idx="7">
                  <c:v>16.711600000000001</c:v>
                </c:pt>
              </c:numCache>
            </c:numRef>
          </c:yVal>
          <c:smooth val="0"/>
          <c:extLst>
            <c:ext xmlns:c16="http://schemas.microsoft.com/office/drawing/2014/chart" uri="{C3380CC4-5D6E-409C-BE32-E72D297353CC}">
              <c16:uniqueId val="{00000000-E31B-0C46-814D-5E765D5BA0CF}"/>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Runs'!$C$274:$C$281</c:f>
              <c:numCache>
                <c:formatCode>General</c:formatCode>
                <c:ptCount val="8"/>
                <c:pt idx="0">
                  <c:v>0</c:v>
                </c:pt>
                <c:pt idx="1">
                  <c:v>0.5</c:v>
                </c:pt>
                <c:pt idx="2">
                  <c:v>1</c:v>
                </c:pt>
                <c:pt idx="3">
                  <c:v>1.5</c:v>
                </c:pt>
                <c:pt idx="4">
                  <c:v>2</c:v>
                </c:pt>
                <c:pt idx="5">
                  <c:v>2.5</c:v>
                </c:pt>
                <c:pt idx="6">
                  <c:v>3</c:v>
                </c:pt>
                <c:pt idx="7">
                  <c:v>5</c:v>
                </c:pt>
              </c:numCache>
            </c:numRef>
          </c:xVal>
          <c:yVal>
            <c:numRef>
              <c:f>'Standards All Runs'!$F$274:$F$281</c:f>
              <c:numCache>
                <c:formatCode>General</c:formatCode>
                <c:ptCount val="8"/>
                <c:pt idx="0">
                  <c:v>0</c:v>
                </c:pt>
                <c:pt idx="1">
                  <c:v>3.3081</c:v>
                </c:pt>
                <c:pt idx="2">
                  <c:v>6.8304</c:v>
                </c:pt>
                <c:pt idx="3">
                  <c:v>10.6349</c:v>
                </c:pt>
                <c:pt idx="4">
                  <c:v>14.9201</c:v>
                </c:pt>
                <c:pt idx="5">
                  <c:v>19.176300000000001</c:v>
                </c:pt>
                <c:pt idx="6">
                  <c:v>23.877300000000002</c:v>
                </c:pt>
                <c:pt idx="7">
                  <c:v>42.9148</c:v>
                </c:pt>
              </c:numCache>
            </c:numRef>
          </c:yVal>
          <c:smooth val="0"/>
          <c:extLst>
            <c:ext xmlns:c16="http://schemas.microsoft.com/office/drawing/2014/chart" uri="{C3380CC4-5D6E-409C-BE32-E72D297353CC}">
              <c16:uniqueId val="{00000002-7BD1-BF45-A2EB-2ED6DFDD297F}"/>
            </c:ext>
          </c:extLst>
        </c:ser>
        <c:dLbls>
          <c:showLegendKey val="0"/>
          <c:showVal val="0"/>
          <c:showCatName val="0"/>
          <c:showSerName val="0"/>
          <c:showPercent val="0"/>
          <c:showBubbleSize val="0"/>
        </c:dLbls>
        <c:axId val="951855360"/>
        <c:axId val="951857008"/>
      </c:scatterChart>
      <c:valAx>
        <c:axId val="951855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857008"/>
        <c:crosses val="autoZero"/>
        <c:crossBetween val="midCat"/>
      </c:valAx>
      <c:valAx>
        <c:axId val="95185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185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The</a:t>
            </a:r>
            <a:r>
              <a:rPr lang="en-US" baseline="0"/>
              <a:t> Acetate Doesn't SHow Up in the IC at F Time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Ac+F</c:v>
          </c:tx>
          <c:spPr>
            <a:ln w="19050" cap="rnd">
              <a:noFill/>
              <a:round/>
            </a:ln>
            <a:effectLst/>
          </c:spPr>
          <c:marker>
            <c:symbol val="circle"/>
            <c:size val="5"/>
            <c:spPr>
              <a:solidFill>
                <a:schemeClr val="accent1"/>
              </a:solidFill>
              <a:ln w="9525">
                <a:solidFill>
                  <a:schemeClr val="accent1"/>
                </a:solidFill>
              </a:ln>
              <a:effectLst/>
            </c:spPr>
          </c:marker>
          <c:xVal>
            <c:numRef>
              <c:f>'Standards All Runs'!$U$2:$U$6</c:f>
              <c:numCache>
                <c:formatCode>General</c:formatCode>
                <c:ptCount val="5"/>
                <c:pt idx="0">
                  <c:v>0.5</c:v>
                </c:pt>
                <c:pt idx="1">
                  <c:v>1.5</c:v>
                </c:pt>
                <c:pt idx="2">
                  <c:v>2.5</c:v>
                </c:pt>
                <c:pt idx="3">
                  <c:v>3</c:v>
                </c:pt>
                <c:pt idx="4">
                  <c:v>5</c:v>
                </c:pt>
              </c:numCache>
            </c:numRef>
          </c:xVal>
          <c:yVal>
            <c:numRef>
              <c:f>'Standards All Runs'!$W$2:$W$6</c:f>
              <c:numCache>
                <c:formatCode>General</c:formatCode>
                <c:ptCount val="5"/>
                <c:pt idx="0">
                  <c:v>1.7315</c:v>
                </c:pt>
                <c:pt idx="1">
                  <c:v>4.7903000000000002</c:v>
                </c:pt>
                <c:pt idx="2">
                  <c:v>8.1709999999999994</c:v>
                </c:pt>
                <c:pt idx="3">
                  <c:v>9.9664999999999999</c:v>
                </c:pt>
                <c:pt idx="4">
                  <c:v>15.960699999999999</c:v>
                </c:pt>
              </c:numCache>
            </c:numRef>
          </c:yVal>
          <c:smooth val="0"/>
          <c:extLst>
            <c:ext xmlns:c16="http://schemas.microsoft.com/office/drawing/2014/chart" uri="{C3380CC4-5D6E-409C-BE32-E72D297353CC}">
              <c16:uniqueId val="{00000000-1FF8-F04E-8B2C-931DA5145A02}"/>
            </c:ext>
          </c:extLst>
        </c:ser>
        <c:ser>
          <c:idx val="1"/>
          <c:order val="1"/>
          <c:tx>
            <c:v>F</c:v>
          </c:tx>
          <c:spPr>
            <a:ln w="25400" cap="rnd">
              <a:noFill/>
              <a:round/>
            </a:ln>
            <a:effectLst/>
          </c:spPr>
          <c:marker>
            <c:symbol val="circle"/>
            <c:size val="5"/>
            <c:spPr>
              <a:solidFill>
                <a:schemeClr val="accent2"/>
              </a:solidFill>
              <a:ln w="9525">
                <a:solidFill>
                  <a:schemeClr val="accent2"/>
                </a:solidFill>
              </a:ln>
              <a:effectLst/>
            </c:spPr>
          </c:marker>
          <c:xVal>
            <c:numRef>
              <c:f>'Standards All Runs'!$AJ$2:$AJ$9</c:f>
              <c:numCache>
                <c:formatCode>General</c:formatCode>
                <c:ptCount val="8"/>
                <c:pt idx="0">
                  <c:v>0.5</c:v>
                </c:pt>
                <c:pt idx="1">
                  <c:v>1</c:v>
                </c:pt>
                <c:pt idx="2">
                  <c:v>1.5</c:v>
                </c:pt>
                <c:pt idx="3">
                  <c:v>2</c:v>
                </c:pt>
                <c:pt idx="4">
                  <c:v>2.5</c:v>
                </c:pt>
                <c:pt idx="5">
                  <c:v>3</c:v>
                </c:pt>
                <c:pt idx="6">
                  <c:v>5</c:v>
                </c:pt>
                <c:pt idx="7">
                  <c:v>0.5</c:v>
                </c:pt>
              </c:numCache>
            </c:numRef>
          </c:xVal>
          <c:yVal>
            <c:numRef>
              <c:f>'Standards All Runs'!$AL$2:$AL$9</c:f>
              <c:numCache>
                <c:formatCode>General</c:formatCode>
                <c:ptCount val="8"/>
                <c:pt idx="0">
                  <c:v>1.6426000000000001</c:v>
                </c:pt>
                <c:pt idx="1">
                  <c:v>3.3161</c:v>
                </c:pt>
                <c:pt idx="2">
                  <c:v>5.0258000000000003</c:v>
                </c:pt>
                <c:pt idx="3">
                  <c:v>6.6891999999999996</c:v>
                </c:pt>
                <c:pt idx="4">
                  <c:v>8.4304000000000006</c:v>
                </c:pt>
                <c:pt idx="5">
                  <c:v>10.170299999999999</c:v>
                </c:pt>
                <c:pt idx="6">
                  <c:v>16.628</c:v>
                </c:pt>
                <c:pt idx="7">
                  <c:v>1.6105</c:v>
                </c:pt>
              </c:numCache>
            </c:numRef>
          </c:yVal>
          <c:smooth val="0"/>
          <c:extLst>
            <c:ext xmlns:c16="http://schemas.microsoft.com/office/drawing/2014/chart" uri="{C3380CC4-5D6E-409C-BE32-E72D297353CC}">
              <c16:uniqueId val="{00000002-1FF8-F04E-8B2C-931DA5145A02}"/>
            </c:ext>
          </c:extLst>
        </c:ser>
        <c:dLbls>
          <c:showLegendKey val="0"/>
          <c:showVal val="0"/>
          <c:showCatName val="0"/>
          <c:showSerName val="0"/>
          <c:showPercent val="0"/>
          <c:showBubbleSize val="0"/>
        </c:dLbls>
        <c:axId val="550495280"/>
        <c:axId val="550492832"/>
      </c:scatterChart>
      <c:valAx>
        <c:axId val="5504952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492832"/>
        <c:crosses val="autoZero"/>
        <c:crossBetween val="midCat"/>
      </c:valAx>
      <c:valAx>
        <c:axId val="550492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4952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Runs'!$C$302:$C$309</c:f>
              <c:numCache>
                <c:formatCode>General</c:formatCode>
                <c:ptCount val="8"/>
                <c:pt idx="0">
                  <c:v>0</c:v>
                </c:pt>
                <c:pt idx="1">
                  <c:v>0.5</c:v>
                </c:pt>
                <c:pt idx="2">
                  <c:v>1</c:v>
                </c:pt>
                <c:pt idx="3">
                  <c:v>1.5</c:v>
                </c:pt>
                <c:pt idx="4">
                  <c:v>2</c:v>
                </c:pt>
                <c:pt idx="5">
                  <c:v>2.5</c:v>
                </c:pt>
                <c:pt idx="6">
                  <c:v>3</c:v>
                </c:pt>
                <c:pt idx="7">
                  <c:v>5</c:v>
                </c:pt>
              </c:numCache>
            </c:numRef>
          </c:xVal>
          <c:yVal>
            <c:numRef>
              <c:f>'Standards All Runs'!$E$302:$E$309</c:f>
              <c:numCache>
                <c:formatCode>General</c:formatCode>
                <c:ptCount val="8"/>
                <c:pt idx="0">
                  <c:v>0</c:v>
                </c:pt>
                <c:pt idx="1">
                  <c:v>1.6408</c:v>
                </c:pt>
                <c:pt idx="2">
                  <c:v>3.1061999999999999</c:v>
                </c:pt>
                <c:pt idx="3">
                  <c:v>4.7674000000000003</c:v>
                </c:pt>
                <c:pt idx="4">
                  <c:v>6.5720000000000001</c:v>
                </c:pt>
                <c:pt idx="5">
                  <c:v>8.1560000000000006</c:v>
                </c:pt>
                <c:pt idx="6">
                  <c:v>10.004300000000001</c:v>
                </c:pt>
                <c:pt idx="7">
                  <c:v>16.587499999999999</c:v>
                </c:pt>
              </c:numCache>
            </c:numRef>
          </c:yVal>
          <c:smooth val="0"/>
          <c:extLst>
            <c:ext xmlns:c16="http://schemas.microsoft.com/office/drawing/2014/chart" uri="{C3380CC4-5D6E-409C-BE32-E72D297353CC}">
              <c16:uniqueId val="{00000000-043C-0C45-8965-53CAD470AA15}"/>
            </c:ext>
          </c:extLst>
        </c:ser>
        <c:dLbls>
          <c:showLegendKey val="0"/>
          <c:showVal val="0"/>
          <c:showCatName val="0"/>
          <c:showSerName val="0"/>
          <c:showPercent val="0"/>
          <c:showBubbleSize val="0"/>
        </c:dLbls>
        <c:axId val="1262756431"/>
        <c:axId val="1262758079"/>
      </c:scatterChart>
      <c:valAx>
        <c:axId val="12627564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758079"/>
        <c:crosses val="autoZero"/>
        <c:crossBetween val="midCat"/>
      </c:valAx>
      <c:valAx>
        <c:axId val="12627580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27564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Runs'!$C$290:$C$297</c:f>
              <c:numCache>
                <c:formatCode>General</c:formatCode>
                <c:ptCount val="8"/>
                <c:pt idx="0">
                  <c:v>0</c:v>
                </c:pt>
                <c:pt idx="1">
                  <c:v>0.5</c:v>
                </c:pt>
                <c:pt idx="2">
                  <c:v>1</c:v>
                </c:pt>
                <c:pt idx="3">
                  <c:v>1.5</c:v>
                </c:pt>
                <c:pt idx="4">
                  <c:v>2</c:v>
                </c:pt>
                <c:pt idx="5">
                  <c:v>2.5</c:v>
                </c:pt>
                <c:pt idx="6">
                  <c:v>3</c:v>
                </c:pt>
                <c:pt idx="7">
                  <c:v>5</c:v>
                </c:pt>
              </c:numCache>
            </c:numRef>
          </c:xVal>
          <c:yVal>
            <c:numRef>
              <c:f>'Standards All Runs'!$E$290:$E$297</c:f>
              <c:numCache>
                <c:formatCode>General</c:formatCode>
                <c:ptCount val="8"/>
                <c:pt idx="0">
                  <c:v>0</c:v>
                </c:pt>
                <c:pt idx="1">
                  <c:v>1.9048</c:v>
                </c:pt>
                <c:pt idx="2">
                  <c:v>3.4702000000000002</c:v>
                </c:pt>
                <c:pt idx="3">
                  <c:v>5.0082000000000004</c:v>
                </c:pt>
                <c:pt idx="4">
                  <c:v>6.7637999999999998</c:v>
                </c:pt>
                <c:pt idx="5">
                  <c:v>8.4082000000000008</c:v>
                </c:pt>
                <c:pt idx="6">
                  <c:v>10.355600000000001</c:v>
                </c:pt>
                <c:pt idx="7">
                  <c:v>17.302499999999998</c:v>
                </c:pt>
              </c:numCache>
            </c:numRef>
          </c:yVal>
          <c:smooth val="0"/>
          <c:extLst>
            <c:ext xmlns:c16="http://schemas.microsoft.com/office/drawing/2014/chart" uri="{C3380CC4-5D6E-409C-BE32-E72D297353CC}">
              <c16:uniqueId val="{00000000-264E-AF4A-BF1B-B36504004776}"/>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Runs'!$C$290:$C$297</c:f>
              <c:numCache>
                <c:formatCode>General</c:formatCode>
                <c:ptCount val="8"/>
                <c:pt idx="0">
                  <c:v>0</c:v>
                </c:pt>
                <c:pt idx="1">
                  <c:v>0.5</c:v>
                </c:pt>
                <c:pt idx="2">
                  <c:v>1</c:v>
                </c:pt>
                <c:pt idx="3">
                  <c:v>1.5</c:v>
                </c:pt>
                <c:pt idx="4">
                  <c:v>2</c:v>
                </c:pt>
                <c:pt idx="5">
                  <c:v>2.5</c:v>
                </c:pt>
                <c:pt idx="6">
                  <c:v>3</c:v>
                </c:pt>
                <c:pt idx="7">
                  <c:v>5</c:v>
                </c:pt>
              </c:numCache>
            </c:numRef>
          </c:xVal>
          <c:yVal>
            <c:numRef>
              <c:f>'Standards All Runs'!$F$290:$F$297</c:f>
              <c:numCache>
                <c:formatCode>General</c:formatCode>
                <c:ptCount val="8"/>
                <c:pt idx="0">
                  <c:v>0</c:v>
                </c:pt>
                <c:pt idx="1">
                  <c:v>3.49</c:v>
                </c:pt>
                <c:pt idx="2">
                  <c:v>7.1788999999999996</c:v>
                </c:pt>
                <c:pt idx="3">
                  <c:v>11.0633</c:v>
                </c:pt>
                <c:pt idx="4">
                  <c:v>15.369</c:v>
                </c:pt>
                <c:pt idx="5">
                  <c:v>19.5852</c:v>
                </c:pt>
                <c:pt idx="6">
                  <c:v>24.2376</c:v>
                </c:pt>
                <c:pt idx="7">
                  <c:v>43.496299999999998</c:v>
                </c:pt>
              </c:numCache>
            </c:numRef>
          </c:yVal>
          <c:smooth val="0"/>
          <c:extLst>
            <c:ext xmlns:c16="http://schemas.microsoft.com/office/drawing/2014/chart" uri="{C3380CC4-5D6E-409C-BE32-E72D297353CC}">
              <c16:uniqueId val="{00000002-37D8-2C4C-AE56-95B2F30EF8BA}"/>
            </c:ext>
          </c:extLst>
        </c:ser>
        <c:dLbls>
          <c:showLegendKey val="0"/>
          <c:showVal val="0"/>
          <c:showCatName val="0"/>
          <c:showSerName val="0"/>
          <c:showPercent val="0"/>
          <c:showBubbleSize val="0"/>
        </c:dLbls>
        <c:axId val="1286204655"/>
        <c:axId val="1286197999"/>
      </c:scatterChart>
      <c:valAx>
        <c:axId val="12862046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197999"/>
        <c:crosses val="autoZero"/>
        <c:crossBetween val="midCat"/>
      </c:valAx>
      <c:valAx>
        <c:axId val="12861979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862046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Runs'!$AR$13:$AR$20</c:f>
              <c:numCache>
                <c:formatCode>General</c:formatCode>
                <c:ptCount val="8"/>
                <c:pt idx="0">
                  <c:v>0</c:v>
                </c:pt>
                <c:pt idx="1">
                  <c:v>0.1</c:v>
                </c:pt>
                <c:pt idx="2">
                  <c:v>0.5</c:v>
                </c:pt>
                <c:pt idx="3">
                  <c:v>1</c:v>
                </c:pt>
                <c:pt idx="4">
                  <c:v>2.5</c:v>
                </c:pt>
                <c:pt idx="5">
                  <c:v>5</c:v>
                </c:pt>
                <c:pt idx="7">
                  <c:v>10</c:v>
                </c:pt>
              </c:numCache>
            </c:numRef>
          </c:xVal>
          <c:yVal>
            <c:numRef>
              <c:f>'Standards All Runs'!$AZ$13:$AZ$21</c:f>
              <c:numCache>
                <c:formatCode>General</c:formatCode>
                <c:ptCount val="9"/>
                <c:pt idx="0">
                  <c:v>0</c:v>
                </c:pt>
                <c:pt idx="1">
                  <c:v>7.8147000000000002</c:v>
                </c:pt>
                <c:pt idx="2">
                  <c:v>48.796399999999998</c:v>
                </c:pt>
                <c:pt idx="3">
                  <c:v>104.518</c:v>
                </c:pt>
                <c:pt idx="4">
                  <c:v>274.31470000000002</c:v>
                </c:pt>
                <c:pt idx="5">
                  <c:v>554.92259999999999</c:v>
                </c:pt>
                <c:pt idx="7">
                  <c:v>1116.4902999999999</c:v>
                </c:pt>
                <c:pt idx="8">
                  <c:v>0.11890000000000001</c:v>
                </c:pt>
              </c:numCache>
            </c:numRef>
          </c:yVal>
          <c:smooth val="0"/>
          <c:extLst>
            <c:ext xmlns:c16="http://schemas.microsoft.com/office/drawing/2014/chart" uri="{C3380CC4-5D6E-409C-BE32-E72D297353CC}">
              <c16:uniqueId val="{00000000-8BF3-6546-98B8-4DF3B619C1B9}"/>
            </c:ext>
          </c:extLst>
        </c:ser>
        <c:dLbls>
          <c:showLegendKey val="0"/>
          <c:showVal val="0"/>
          <c:showCatName val="0"/>
          <c:showSerName val="0"/>
          <c:showPercent val="0"/>
          <c:showBubbleSize val="0"/>
        </c:dLbls>
        <c:axId val="300277295"/>
        <c:axId val="300278943"/>
      </c:scatterChart>
      <c:valAx>
        <c:axId val="300277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278943"/>
        <c:crosses val="autoZero"/>
        <c:crossBetween val="midCat"/>
      </c:valAx>
      <c:valAx>
        <c:axId val="3002789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2772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Runs'!$AR$2:$AR$8</c:f>
              <c:numCache>
                <c:formatCode>General</c:formatCode>
                <c:ptCount val="7"/>
                <c:pt idx="0">
                  <c:v>0</c:v>
                </c:pt>
                <c:pt idx="1">
                  <c:v>0.1</c:v>
                </c:pt>
                <c:pt idx="2">
                  <c:v>0.5</c:v>
                </c:pt>
                <c:pt idx="3">
                  <c:v>1</c:v>
                </c:pt>
                <c:pt idx="4">
                  <c:v>2.5</c:v>
                </c:pt>
                <c:pt idx="5">
                  <c:v>5</c:v>
                </c:pt>
                <c:pt idx="6">
                  <c:v>10</c:v>
                </c:pt>
              </c:numCache>
            </c:numRef>
          </c:xVal>
          <c:yVal>
            <c:numRef>
              <c:f>'Standards All Runs'!$AZ$2:$AZ$8</c:f>
              <c:numCache>
                <c:formatCode>General</c:formatCode>
                <c:ptCount val="7"/>
                <c:pt idx="0">
                  <c:v>0</c:v>
                </c:pt>
                <c:pt idx="1">
                  <c:v>7.1645000000000003</c:v>
                </c:pt>
                <c:pt idx="2">
                  <c:v>44.997700000000002</c:v>
                </c:pt>
                <c:pt idx="3">
                  <c:v>97.562799999999996</c:v>
                </c:pt>
                <c:pt idx="4">
                  <c:v>250.26179999999999</c:v>
                </c:pt>
                <c:pt idx="5">
                  <c:v>507.19549999999998</c:v>
                </c:pt>
                <c:pt idx="6">
                  <c:v>989.36379999999997</c:v>
                </c:pt>
              </c:numCache>
            </c:numRef>
          </c:yVal>
          <c:smooth val="0"/>
          <c:extLst>
            <c:ext xmlns:c16="http://schemas.microsoft.com/office/drawing/2014/chart" uri="{C3380CC4-5D6E-409C-BE32-E72D297353CC}">
              <c16:uniqueId val="{00000000-5207-0144-84DA-7B3F6C73C49A}"/>
            </c:ext>
          </c:extLst>
        </c:ser>
        <c:dLbls>
          <c:showLegendKey val="0"/>
          <c:showVal val="0"/>
          <c:showCatName val="0"/>
          <c:showSerName val="0"/>
          <c:showPercent val="0"/>
          <c:showBubbleSize val="0"/>
        </c:dLbls>
        <c:axId val="1897614880"/>
        <c:axId val="1854299808"/>
      </c:scatterChart>
      <c:valAx>
        <c:axId val="1897614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4299808"/>
        <c:crosses val="autoZero"/>
        <c:crossBetween val="midCat"/>
      </c:valAx>
      <c:valAx>
        <c:axId val="1854299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976148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Runs'!$AR$25:$AR$31</c:f>
              <c:numCache>
                <c:formatCode>General</c:formatCode>
                <c:ptCount val="7"/>
                <c:pt idx="0">
                  <c:v>0</c:v>
                </c:pt>
                <c:pt idx="1">
                  <c:v>0.1</c:v>
                </c:pt>
                <c:pt idx="2">
                  <c:v>0.5</c:v>
                </c:pt>
                <c:pt idx="3">
                  <c:v>1</c:v>
                </c:pt>
                <c:pt idx="4">
                  <c:v>2.5</c:v>
                </c:pt>
                <c:pt idx="5">
                  <c:v>5</c:v>
                </c:pt>
                <c:pt idx="6">
                  <c:v>10</c:v>
                </c:pt>
              </c:numCache>
            </c:numRef>
          </c:xVal>
          <c:yVal>
            <c:numRef>
              <c:f>'Standards All Runs'!$AZ$25:$AZ$31</c:f>
              <c:numCache>
                <c:formatCode>General</c:formatCode>
                <c:ptCount val="7"/>
                <c:pt idx="0">
                  <c:v>0</c:v>
                </c:pt>
                <c:pt idx="1">
                  <c:v>8.0267999999999997</c:v>
                </c:pt>
                <c:pt idx="2">
                  <c:v>49.8461</c:v>
                </c:pt>
                <c:pt idx="3">
                  <c:v>106.2771</c:v>
                </c:pt>
                <c:pt idx="4">
                  <c:v>279.02330000000001</c:v>
                </c:pt>
                <c:pt idx="5">
                  <c:v>567.55629999999996</c:v>
                </c:pt>
                <c:pt idx="6">
                  <c:v>1133.2126000000001</c:v>
                </c:pt>
              </c:numCache>
            </c:numRef>
          </c:yVal>
          <c:smooth val="0"/>
          <c:extLst>
            <c:ext xmlns:c16="http://schemas.microsoft.com/office/drawing/2014/chart" uri="{C3380CC4-5D6E-409C-BE32-E72D297353CC}">
              <c16:uniqueId val="{00000000-9681-504C-9935-2AF334E95F79}"/>
            </c:ext>
          </c:extLst>
        </c:ser>
        <c:dLbls>
          <c:showLegendKey val="0"/>
          <c:showVal val="0"/>
          <c:showCatName val="0"/>
          <c:showSerName val="0"/>
          <c:showPercent val="0"/>
          <c:showBubbleSize val="0"/>
        </c:dLbls>
        <c:axId val="1900569200"/>
        <c:axId val="1900623648"/>
      </c:scatterChart>
      <c:valAx>
        <c:axId val="19005692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623648"/>
        <c:crosses val="autoZero"/>
        <c:crossBetween val="midCat"/>
      </c:valAx>
      <c:valAx>
        <c:axId val="1900623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05692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Runs'!$C$210:$C$217</c:f>
              <c:numCache>
                <c:formatCode>General</c:formatCode>
                <c:ptCount val="8"/>
                <c:pt idx="0">
                  <c:v>0</c:v>
                </c:pt>
                <c:pt idx="1">
                  <c:v>0.5</c:v>
                </c:pt>
                <c:pt idx="2">
                  <c:v>1</c:v>
                </c:pt>
                <c:pt idx="3">
                  <c:v>1.5</c:v>
                </c:pt>
                <c:pt idx="4">
                  <c:v>2</c:v>
                </c:pt>
                <c:pt idx="5">
                  <c:v>2.5</c:v>
                </c:pt>
                <c:pt idx="6">
                  <c:v>3</c:v>
                </c:pt>
                <c:pt idx="7">
                  <c:v>5</c:v>
                </c:pt>
              </c:numCache>
            </c:numRef>
          </c:xVal>
          <c:yVal>
            <c:numRef>
              <c:f>'Standards All Runs'!$F$210:$F$217</c:f>
              <c:numCache>
                <c:formatCode>General</c:formatCode>
                <c:ptCount val="8"/>
                <c:pt idx="0">
                  <c:v>0</c:v>
                </c:pt>
                <c:pt idx="1">
                  <c:v>8.7091999999999992</c:v>
                </c:pt>
                <c:pt idx="2">
                  <c:v>18.381799999999998</c:v>
                </c:pt>
                <c:pt idx="3">
                  <c:v>28.443200000000001</c:v>
                </c:pt>
                <c:pt idx="4">
                  <c:v>37.972900000000003</c:v>
                </c:pt>
                <c:pt idx="5">
                  <c:v>46.704500000000003</c:v>
                </c:pt>
                <c:pt idx="6">
                  <c:v>58.614699999999999</c:v>
                </c:pt>
                <c:pt idx="7">
                  <c:v>89.521600000000007</c:v>
                </c:pt>
              </c:numCache>
            </c:numRef>
          </c:yVal>
          <c:smooth val="0"/>
          <c:extLst>
            <c:ext xmlns:c16="http://schemas.microsoft.com/office/drawing/2014/chart" uri="{C3380CC4-5D6E-409C-BE32-E72D297353CC}">
              <c16:uniqueId val="{00000000-018B-7440-84CC-BA3FA83624C5}"/>
            </c:ext>
          </c:extLst>
        </c:ser>
        <c:dLbls>
          <c:showLegendKey val="0"/>
          <c:showVal val="0"/>
          <c:showCatName val="0"/>
          <c:showSerName val="0"/>
          <c:showPercent val="0"/>
          <c:showBubbleSize val="0"/>
        </c:dLbls>
        <c:axId val="1851429695"/>
        <c:axId val="1814668271"/>
      </c:scatterChart>
      <c:valAx>
        <c:axId val="18514296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4668271"/>
        <c:crosses val="autoZero"/>
        <c:crossBetween val="midCat"/>
      </c:valAx>
      <c:valAx>
        <c:axId val="18146682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14296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Runs'!$C$232:$C$239</c:f>
              <c:numCache>
                <c:formatCode>General</c:formatCode>
                <c:ptCount val="8"/>
                <c:pt idx="0">
                  <c:v>0</c:v>
                </c:pt>
                <c:pt idx="1">
                  <c:v>0.5</c:v>
                </c:pt>
                <c:pt idx="2">
                  <c:v>1</c:v>
                </c:pt>
                <c:pt idx="3">
                  <c:v>1.5</c:v>
                </c:pt>
                <c:pt idx="4">
                  <c:v>2</c:v>
                </c:pt>
                <c:pt idx="5">
                  <c:v>2.5</c:v>
                </c:pt>
                <c:pt idx="6">
                  <c:v>3</c:v>
                </c:pt>
                <c:pt idx="7">
                  <c:v>5</c:v>
                </c:pt>
              </c:numCache>
            </c:numRef>
          </c:xVal>
          <c:yVal>
            <c:numRef>
              <c:f>'Standards All Runs'!$F$232:$F$239</c:f>
              <c:numCache>
                <c:formatCode>General</c:formatCode>
                <c:ptCount val="8"/>
                <c:pt idx="0">
                  <c:v>0</c:v>
                </c:pt>
                <c:pt idx="1">
                  <c:v>7.431</c:v>
                </c:pt>
                <c:pt idx="2">
                  <c:v>7.431</c:v>
                </c:pt>
                <c:pt idx="3">
                  <c:v>23.348700000000001</c:v>
                </c:pt>
                <c:pt idx="4">
                  <c:v>31.286899999999999</c:v>
                </c:pt>
                <c:pt idx="5">
                  <c:v>38.985300000000002</c:v>
                </c:pt>
                <c:pt idx="6">
                  <c:v>49.900300000000001</c:v>
                </c:pt>
                <c:pt idx="7">
                  <c:v>78.907899999999998</c:v>
                </c:pt>
              </c:numCache>
            </c:numRef>
          </c:yVal>
          <c:smooth val="0"/>
          <c:extLst>
            <c:ext xmlns:c16="http://schemas.microsoft.com/office/drawing/2014/chart" uri="{C3380CC4-5D6E-409C-BE32-E72D297353CC}">
              <c16:uniqueId val="{00000000-1AE5-5648-86BF-B75E4E5D2D74}"/>
            </c:ext>
          </c:extLst>
        </c:ser>
        <c:dLbls>
          <c:showLegendKey val="0"/>
          <c:showVal val="0"/>
          <c:showCatName val="0"/>
          <c:showSerName val="0"/>
          <c:showPercent val="0"/>
          <c:showBubbleSize val="0"/>
        </c:dLbls>
        <c:axId val="1858683423"/>
        <c:axId val="1858685071"/>
      </c:scatterChart>
      <c:valAx>
        <c:axId val="1858683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8685071"/>
        <c:crosses val="autoZero"/>
        <c:crossBetween val="midCat"/>
      </c:valAx>
      <c:valAx>
        <c:axId val="1858685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8683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9/8/21</a:t>
            </a:r>
            <a:r>
              <a:rPr lang="en-US" baseline="0"/>
              <a:t> Br Standards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Height</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Runs'!$C$37:$C$43</c:f>
              <c:numCache>
                <c:formatCode>General</c:formatCode>
                <c:ptCount val="7"/>
                <c:pt idx="0">
                  <c:v>0.1</c:v>
                </c:pt>
                <c:pt idx="1">
                  <c:v>1</c:v>
                </c:pt>
                <c:pt idx="2">
                  <c:v>5</c:v>
                </c:pt>
                <c:pt idx="3">
                  <c:v>10</c:v>
                </c:pt>
                <c:pt idx="4">
                  <c:v>0.5</c:v>
                </c:pt>
                <c:pt idx="5">
                  <c:v>1</c:v>
                </c:pt>
                <c:pt idx="6">
                  <c:v>2.5</c:v>
                </c:pt>
              </c:numCache>
            </c:numRef>
          </c:xVal>
          <c:yVal>
            <c:numRef>
              <c:f>'Standards All Runs'!$F$37:$F$43</c:f>
              <c:numCache>
                <c:formatCode>General</c:formatCode>
                <c:ptCount val="7"/>
                <c:pt idx="0">
                  <c:v>21.161000000000001</c:v>
                </c:pt>
                <c:pt idx="1">
                  <c:v>272.83150000000001</c:v>
                </c:pt>
                <c:pt idx="2">
                  <c:v>1302.9077</c:v>
                </c:pt>
                <c:pt idx="3">
                  <c:v>1965.5165999999999</c:v>
                </c:pt>
                <c:pt idx="4">
                  <c:v>126.6909</c:v>
                </c:pt>
                <c:pt idx="5">
                  <c:v>280.93040000000002</c:v>
                </c:pt>
                <c:pt idx="6">
                  <c:v>739.32849999999996</c:v>
                </c:pt>
              </c:numCache>
            </c:numRef>
          </c:yVal>
          <c:smooth val="0"/>
          <c:extLst>
            <c:ext xmlns:c16="http://schemas.microsoft.com/office/drawing/2014/chart" uri="{C3380CC4-5D6E-409C-BE32-E72D297353CC}">
              <c16:uniqueId val="{00000000-04EB-B947-B937-D771D94B88DF}"/>
            </c:ext>
          </c:extLst>
        </c:ser>
        <c:ser>
          <c:idx val="1"/>
          <c:order val="1"/>
          <c:tx>
            <c:v>Area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9.4282808398950133E-2"/>
                  <c:y val="0.1183562992125984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Runs'!$C$37:$C$43</c:f>
              <c:numCache>
                <c:formatCode>General</c:formatCode>
                <c:ptCount val="7"/>
                <c:pt idx="0">
                  <c:v>0.1</c:v>
                </c:pt>
                <c:pt idx="1">
                  <c:v>1</c:v>
                </c:pt>
                <c:pt idx="2">
                  <c:v>5</c:v>
                </c:pt>
                <c:pt idx="3">
                  <c:v>10</c:v>
                </c:pt>
                <c:pt idx="4">
                  <c:v>0.5</c:v>
                </c:pt>
                <c:pt idx="5">
                  <c:v>1</c:v>
                </c:pt>
                <c:pt idx="6">
                  <c:v>2.5</c:v>
                </c:pt>
              </c:numCache>
            </c:numRef>
          </c:xVal>
          <c:yVal>
            <c:numRef>
              <c:f>'Standards All Runs'!$E$37:$E$43</c:f>
              <c:numCache>
                <c:formatCode>General</c:formatCode>
                <c:ptCount val="7"/>
                <c:pt idx="0">
                  <c:v>7.8863000000000003</c:v>
                </c:pt>
                <c:pt idx="1">
                  <c:v>100.36799999999999</c:v>
                </c:pt>
                <c:pt idx="2">
                  <c:v>536.76649999999995</c:v>
                </c:pt>
                <c:pt idx="3">
                  <c:v>1092.7968000000001</c:v>
                </c:pt>
                <c:pt idx="4">
                  <c:v>48.387500000000003</c:v>
                </c:pt>
                <c:pt idx="5">
                  <c:v>103.56610000000001</c:v>
                </c:pt>
                <c:pt idx="6">
                  <c:v>264.16309999999999</c:v>
                </c:pt>
              </c:numCache>
            </c:numRef>
          </c:yVal>
          <c:smooth val="0"/>
          <c:extLst>
            <c:ext xmlns:c16="http://schemas.microsoft.com/office/drawing/2014/chart" uri="{C3380CC4-5D6E-409C-BE32-E72D297353CC}">
              <c16:uniqueId val="{00000002-04EB-B947-B937-D771D94B88DF}"/>
            </c:ext>
          </c:extLst>
        </c:ser>
        <c:dLbls>
          <c:showLegendKey val="0"/>
          <c:showVal val="0"/>
          <c:showCatName val="0"/>
          <c:showSerName val="0"/>
          <c:showPercent val="0"/>
          <c:showBubbleSize val="0"/>
        </c:dLbls>
        <c:axId val="636990560"/>
        <c:axId val="637332000"/>
      </c:scatterChart>
      <c:valAx>
        <c:axId val="636990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7332000"/>
        <c:crosses val="autoZero"/>
        <c:crossBetween val="midCat"/>
      </c:valAx>
      <c:valAx>
        <c:axId val="637332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69905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Runs'!$C$251:$C$258</c:f>
              <c:numCache>
                <c:formatCode>General</c:formatCode>
                <c:ptCount val="8"/>
                <c:pt idx="0">
                  <c:v>0</c:v>
                </c:pt>
                <c:pt idx="1">
                  <c:v>0.5</c:v>
                </c:pt>
                <c:pt idx="2">
                  <c:v>1</c:v>
                </c:pt>
                <c:pt idx="3">
                  <c:v>1.5</c:v>
                </c:pt>
                <c:pt idx="4">
                  <c:v>2</c:v>
                </c:pt>
                <c:pt idx="5">
                  <c:v>2.5</c:v>
                </c:pt>
                <c:pt idx="6">
                  <c:v>3</c:v>
                </c:pt>
                <c:pt idx="7">
                  <c:v>5</c:v>
                </c:pt>
              </c:numCache>
            </c:numRef>
          </c:xVal>
          <c:yVal>
            <c:numRef>
              <c:f>'Standards All Runs'!$F$251:$F$258</c:f>
              <c:numCache>
                <c:formatCode>General</c:formatCode>
                <c:ptCount val="8"/>
                <c:pt idx="0">
                  <c:v>0</c:v>
                </c:pt>
                <c:pt idx="1">
                  <c:v>5.6893000000000002</c:v>
                </c:pt>
                <c:pt idx="2">
                  <c:v>12.3476</c:v>
                </c:pt>
                <c:pt idx="3">
                  <c:v>19.4633</c:v>
                </c:pt>
                <c:pt idx="4">
                  <c:v>26.848700000000001</c:v>
                </c:pt>
                <c:pt idx="5">
                  <c:v>34.124200000000002</c:v>
                </c:pt>
                <c:pt idx="6">
                  <c:v>44.744300000000003</c:v>
                </c:pt>
                <c:pt idx="7">
                  <c:v>72.386899999999997</c:v>
                </c:pt>
              </c:numCache>
            </c:numRef>
          </c:yVal>
          <c:smooth val="0"/>
          <c:extLst>
            <c:ext xmlns:c16="http://schemas.microsoft.com/office/drawing/2014/chart" uri="{C3380CC4-5D6E-409C-BE32-E72D297353CC}">
              <c16:uniqueId val="{00000000-EC82-4B41-87B5-C5DFC4731AE3}"/>
            </c:ext>
          </c:extLst>
        </c:ser>
        <c:dLbls>
          <c:showLegendKey val="0"/>
          <c:showVal val="0"/>
          <c:showCatName val="0"/>
          <c:showSerName val="0"/>
          <c:showPercent val="0"/>
          <c:showBubbleSize val="0"/>
        </c:dLbls>
        <c:axId val="1854892175"/>
        <c:axId val="1854867119"/>
      </c:scatterChart>
      <c:valAx>
        <c:axId val="18548921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4867119"/>
        <c:crosses val="autoZero"/>
        <c:crossBetween val="midCat"/>
      </c:valAx>
      <c:valAx>
        <c:axId val="18548671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48921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Runs'!$C$314:$C$321</c:f>
              <c:numCache>
                <c:formatCode>General</c:formatCode>
                <c:ptCount val="8"/>
                <c:pt idx="0">
                  <c:v>0</c:v>
                </c:pt>
                <c:pt idx="1">
                  <c:v>0.5</c:v>
                </c:pt>
                <c:pt idx="2">
                  <c:v>1</c:v>
                </c:pt>
                <c:pt idx="3">
                  <c:v>1.5</c:v>
                </c:pt>
                <c:pt idx="4">
                  <c:v>2</c:v>
                </c:pt>
                <c:pt idx="5">
                  <c:v>2.5</c:v>
                </c:pt>
                <c:pt idx="6">
                  <c:v>3</c:v>
                </c:pt>
                <c:pt idx="7">
                  <c:v>5</c:v>
                </c:pt>
              </c:numCache>
            </c:numRef>
          </c:xVal>
          <c:yVal>
            <c:numRef>
              <c:f>'Standards All Runs'!$E$314:$E$321</c:f>
              <c:numCache>
                <c:formatCode>General</c:formatCode>
                <c:ptCount val="8"/>
                <c:pt idx="0">
                  <c:v>0</c:v>
                </c:pt>
                <c:pt idx="1">
                  <c:v>2.0388000000000002</c:v>
                </c:pt>
                <c:pt idx="2">
                  <c:v>3.2437999999999998</c:v>
                </c:pt>
                <c:pt idx="3">
                  <c:v>4.8872999999999998</c:v>
                </c:pt>
                <c:pt idx="4">
                  <c:v>6.6444999999999999</c:v>
                </c:pt>
                <c:pt idx="5">
                  <c:v>8.3582000000000001</c:v>
                </c:pt>
                <c:pt idx="6">
                  <c:v>10.2189</c:v>
                </c:pt>
                <c:pt idx="7">
                  <c:v>15.7111</c:v>
                </c:pt>
              </c:numCache>
            </c:numRef>
          </c:yVal>
          <c:smooth val="0"/>
          <c:extLst>
            <c:ext xmlns:c16="http://schemas.microsoft.com/office/drawing/2014/chart" uri="{C3380CC4-5D6E-409C-BE32-E72D297353CC}">
              <c16:uniqueId val="{00000000-62CF-0844-B013-6C61B8F8B2A2}"/>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Runs'!$C$314:$C$321</c:f>
              <c:numCache>
                <c:formatCode>General</c:formatCode>
                <c:ptCount val="8"/>
                <c:pt idx="0">
                  <c:v>0</c:v>
                </c:pt>
                <c:pt idx="1">
                  <c:v>0.5</c:v>
                </c:pt>
                <c:pt idx="2">
                  <c:v>1</c:v>
                </c:pt>
                <c:pt idx="3">
                  <c:v>1.5</c:v>
                </c:pt>
                <c:pt idx="4">
                  <c:v>2</c:v>
                </c:pt>
                <c:pt idx="5">
                  <c:v>2.5</c:v>
                </c:pt>
                <c:pt idx="6">
                  <c:v>3</c:v>
                </c:pt>
                <c:pt idx="7">
                  <c:v>5</c:v>
                </c:pt>
              </c:numCache>
            </c:numRef>
          </c:xVal>
          <c:yVal>
            <c:numRef>
              <c:f>'Standards All Runs'!$F$314:$F$321</c:f>
              <c:numCache>
                <c:formatCode>General</c:formatCode>
                <c:ptCount val="8"/>
                <c:pt idx="0">
                  <c:v>0</c:v>
                </c:pt>
                <c:pt idx="1">
                  <c:v>2.3380999999999998</c:v>
                </c:pt>
                <c:pt idx="2">
                  <c:v>5.5468999999999999</c:v>
                </c:pt>
                <c:pt idx="3">
                  <c:v>9.4190000000000005</c:v>
                </c:pt>
                <c:pt idx="4">
                  <c:v>13.7254</c:v>
                </c:pt>
                <c:pt idx="5">
                  <c:v>18.082699999999999</c:v>
                </c:pt>
                <c:pt idx="6">
                  <c:v>22.908300000000001</c:v>
                </c:pt>
                <c:pt idx="7">
                  <c:v>41.386899999999997</c:v>
                </c:pt>
              </c:numCache>
            </c:numRef>
          </c:yVal>
          <c:smooth val="0"/>
          <c:extLst>
            <c:ext xmlns:c16="http://schemas.microsoft.com/office/drawing/2014/chart" uri="{C3380CC4-5D6E-409C-BE32-E72D297353CC}">
              <c16:uniqueId val="{00000002-F648-3F48-9EB6-31FF4C941389}"/>
            </c:ext>
          </c:extLst>
        </c:ser>
        <c:dLbls>
          <c:showLegendKey val="0"/>
          <c:showVal val="0"/>
          <c:showCatName val="0"/>
          <c:showSerName val="0"/>
          <c:showPercent val="0"/>
          <c:showBubbleSize val="0"/>
        </c:dLbls>
        <c:axId val="504834400"/>
        <c:axId val="570268496"/>
      </c:scatterChart>
      <c:valAx>
        <c:axId val="504834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0268496"/>
        <c:crosses val="autoZero"/>
        <c:crossBetween val="midCat"/>
      </c:valAx>
      <c:valAx>
        <c:axId val="570268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83440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Runs'!$C$64:$C$72</c:f>
              <c:numCache>
                <c:formatCode>General</c:formatCode>
                <c:ptCount val="9"/>
                <c:pt idx="0">
                  <c:v>0.5</c:v>
                </c:pt>
                <c:pt idx="1">
                  <c:v>1</c:v>
                </c:pt>
                <c:pt idx="2">
                  <c:v>1.5</c:v>
                </c:pt>
                <c:pt idx="3">
                  <c:v>2</c:v>
                </c:pt>
                <c:pt idx="4">
                  <c:v>2.5</c:v>
                </c:pt>
                <c:pt idx="5">
                  <c:v>3</c:v>
                </c:pt>
                <c:pt idx="6">
                  <c:v>5</c:v>
                </c:pt>
                <c:pt idx="7">
                  <c:v>1</c:v>
                </c:pt>
                <c:pt idx="8">
                  <c:v>1</c:v>
                </c:pt>
              </c:numCache>
            </c:numRef>
          </c:xVal>
          <c:yVal>
            <c:numRef>
              <c:f>'Standards All Runs'!$R$64:$R$72</c:f>
              <c:numCache>
                <c:formatCode>General</c:formatCode>
                <c:ptCount val="9"/>
                <c:pt idx="0">
                  <c:v>1.0165</c:v>
                </c:pt>
                <c:pt idx="1">
                  <c:v>1.6225000000000001</c:v>
                </c:pt>
                <c:pt idx="2">
                  <c:v>2.3367</c:v>
                </c:pt>
                <c:pt idx="3">
                  <c:v>2.9910999999999999</c:v>
                </c:pt>
                <c:pt idx="4">
                  <c:v>3.5836000000000001</c:v>
                </c:pt>
                <c:pt idx="5">
                  <c:v>4.306</c:v>
                </c:pt>
                <c:pt idx="6">
                  <c:v>6.5815000000000001</c:v>
                </c:pt>
                <c:pt idx="7">
                  <c:v>1.6460999999999999</c:v>
                </c:pt>
                <c:pt idx="8">
                  <c:v>1.6380999999999999</c:v>
                </c:pt>
              </c:numCache>
            </c:numRef>
          </c:yVal>
          <c:smooth val="0"/>
          <c:extLst>
            <c:ext xmlns:c16="http://schemas.microsoft.com/office/drawing/2014/chart" uri="{C3380CC4-5D6E-409C-BE32-E72D297353CC}">
              <c16:uniqueId val="{00000000-C4AC-F848-A869-DA61830C3432}"/>
            </c:ext>
          </c:extLst>
        </c:ser>
        <c:dLbls>
          <c:showLegendKey val="0"/>
          <c:showVal val="0"/>
          <c:showCatName val="0"/>
          <c:showSerName val="0"/>
          <c:showPercent val="0"/>
          <c:showBubbleSize val="0"/>
        </c:dLbls>
        <c:axId val="2075399951"/>
        <c:axId val="2075341919"/>
      </c:scatterChart>
      <c:valAx>
        <c:axId val="20753999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341919"/>
        <c:crosses val="autoZero"/>
        <c:crossBetween val="midCat"/>
      </c:valAx>
      <c:valAx>
        <c:axId val="2075341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53999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Runs'!$C$20:$C$29</c:f>
              <c:numCache>
                <c:formatCode>General</c:formatCode>
                <c:ptCount val="10"/>
                <c:pt idx="0">
                  <c:v>0.5</c:v>
                </c:pt>
                <c:pt idx="1">
                  <c:v>1</c:v>
                </c:pt>
                <c:pt idx="2">
                  <c:v>1.5</c:v>
                </c:pt>
                <c:pt idx="3">
                  <c:v>2</c:v>
                </c:pt>
                <c:pt idx="4">
                  <c:v>2.5</c:v>
                </c:pt>
                <c:pt idx="5">
                  <c:v>3</c:v>
                </c:pt>
                <c:pt idx="6">
                  <c:v>5</c:v>
                </c:pt>
                <c:pt idx="7">
                  <c:v>2.5</c:v>
                </c:pt>
                <c:pt idx="8">
                  <c:v>2.5</c:v>
                </c:pt>
                <c:pt idx="9">
                  <c:v>2.5</c:v>
                </c:pt>
              </c:numCache>
            </c:numRef>
          </c:xVal>
          <c:yVal>
            <c:numRef>
              <c:f>'Standards All Runs'!$M$20:$M$29</c:f>
              <c:numCache>
                <c:formatCode>General</c:formatCode>
                <c:ptCount val="10"/>
                <c:pt idx="0">
                  <c:v>0.68979999999999997</c:v>
                </c:pt>
                <c:pt idx="1">
                  <c:v>1.2999000000000001</c:v>
                </c:pt>
                <c:pt idx="2">
                  <c:v>1.7746</c:v>
                </c:pt>
                <c:pt idx="3">
                  <c:v>2.4943</c:v>
                </c:pt>
                <c:pt idx="4">
                  <c:v>2.8715000000000002</c:v>
                </c:pt>
                <c:pt idx="5">
                  <c:v>3.5266999999999999</c:v>
                </c:pt>
                <c:pt idx="6">
                  <c:v>5.9856999999999996</c:v>
                </c:pt>
                <c:pt idx="7">
                  <c:v>2.8016999999999999</c:v>
                </c:pt>
                <c:pt idx="8">
                  <c:v>2.9567000000000001</c:v>
                </c:pt>
                <c:pt idx="9">
                  <c:v>2.9607999999999999</c:v>
                </c:pt>
              </c:numCache>
            </c:numRef>
          </c:yVal>
          <c:smooth val="0"/>
          <c:extLst>
            <c:ext xmlns:c16="http://schemas.microsoft.com/office/drawing/2014/chart" uri="{C3380CC4-5D6E-409C-BE32-E72D297353CC}">
              <c16:uniqueId val="{00000000-DACE-154A-9C0B-7733BE41C26D}"/>
            </c:ext>
          </c:extLst>
        </c:ser>
        <c:dLbls>
          <c:showLegendKey val="0"/>
          <c:showVal val="0"/>
          <c:showCatName val="0"/>
          <c:showSerName val="0"/>
          <c:showPercent val="0"/>
          <c:showBubbleSize val="0"/>
        </c:dLbls>
        <c:axId val="2102390847"/>
        <c:axId val="2130393599"/>
      </c:scatterChart>
      <c:valAx>
        <c:axId val="210239084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93599"/>
        <c:crosses val="autoZero"/>
        <c:crossBetween val="midCat"/>
      </c:valAx>
      <c:valAx>
        <c:axId val="21303935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23908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Runs'!$C$80:$C$88</c:f>
              <c:numCache>
                <c:formatCode>General</c:formatCode>
                <c:ptCount val="9"/>
                <c:pt idx="0">
                  <c:v>0.5</c:v>
                </c:pt>
                <c:pt idx="1">
                  <c:v>1</c:v>
                </c:pt>
                <c:pt idx="2">
                  <c:v>1.5</c:v>
                </c:pt>
                <c:pt idx="3">
                  <c:v>2</c:v>
                </c:pt>
                <c:pt idx="4">
                  <c:v>2.5</c:v>
                </c:pt>
                <c:pt idx="5">
                  <c:v>3</c:v>
                </c:pt>
                <c:pt idx="6">
                  <c:v>5</c:v>
                </c:pt>
                <c:pt idx="7">
                  <c:v>1.5</c:v>
                </c:pt>
                <c:pt idx="8">
                  <c:v>1.5</c:v>
                </c:pt>
              </c:numCache>
            </c:numRef>
          </c:xVal>
          <c:yVal>
            <c:numRef>
              <c:f>'Standards All Runs'!$R$80:$R$88</c:f>
              <c:numCache>
                <c:formatCode>General</c:formatCode>
                <c:ptCount val="9"/>
                <c:pt idx="0">
                  <c:v>1.0365</c:v>
                </c:pt>
                <c:pt idx="1">
                  <c:v>1.6514</c:v>
                </c:pt>
                <c:pt idx="2">
                  <c:v>2.2776999999999998</c:v>
                </c:pt>
                <c:pt idx="3">
                  <c:v>2.9174000000000002</c:v>
                </c:pt>
                <c:pt idx="4">
                  <c:v>3.5129000000000001</c:v>
                </c:pt>
                <c:pt idx="5">
                  <c:v>4.1833</c:v>
                </c:pt>
                <c:pt idx="6">
                  <c:v>6.6295999999999999</c:v>
                </c:pt>
                <c:pt idx="7">
                  <c:v>2.2799</c:v>
                </c:pt>
                <c:pt idx="8">
                  <c:v>2.2829000000000002</c:v>
                </c:pt>
              </c:numCache>
            </c:numRef>
          </c:yVal>
          <c:smooth val="0"/>
          <c:extLst>
            <c:ext xmlns:c16="http://schemas.microsoft.com/office/drawing/2014/chart" uri="{C3380CC4-5D6E-409C-BE32-E72D297353CC}">
              <c16:uniqueId val="{00000000-29EB-F74B-8278-9AFA4849E3B9}"/>
            </c:ext>
          </c:extLst>
        </c:ser>
        <c:dLbls>
          <c:showLegendKey val="0"/>
          <c:showVal val="0"/>
          <c:showCatName val="0"/>
          <c:showSerName val="0"/>
          <c:showPercent val="0"/>
          <c:showBubbleSize val="0"/>
        </c:dLbls>
        <c:axId val="2130039823"/>
        <c:axId val="2129675391"/>
      </c:scatterChart>
      <c:valAx>
        <c:axId val="21300398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675391"/>
        <c:crosses val="autoZero"/>
        <c:crossBetween val="midCat"/>
      </c:valAx>
      <c:valAx>
        <c:axId val="21296753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0398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Runs'!$C$96:$C$103</c:f>
              <c:numCache>
                <c:formatCode>General</c:formatCode>
                <c:ptCount val="8"/>
                <c:pt idx="0">
                  <c:v>0.5</c:v>
                </c:pt>
                <c:pt idx="1">
                  <c:v>1</c:v>
                </c:pt>
                <c:pt idx="2">
                  <c:v>1.5</c:v>
                </c:pt>
                <c:pt idx="3">
                  <c:v>2</c:v>
                </c:pt>
                <c:pt idx="4">
                  <c:v>2.5</c:v>
                </c:pt>
                <c:pt idx="5">
                  <c:v>3</c:v>
                </c:pt>
                <c:pt idx="6">
                  <c:v>5</c:v>
                </c:pt>
                <c:pt idx="7">
                  <c:v>1.5</c:v>
                </c:pt>
              </c:numCache>
            </c:numRef>
          </c:xVal>
          <c:yVal>
            <c:numRef>
              <c:f>'Standards All Runs'!$R$96:$R$103</c:f>
              <c:numCache>
                <c:formatCode>General</c:formatCode>
                <c:ptCount val="8"/>
                <c:pt idx="0">
                  <c:v>1.0425</c:v>
                </c:pt>
                <c:pt idx="1">
                  <c:v>1.6635</c:v>
                </c:pt>
                <c:pt idx="2">
                  <c:v>2.2867000000000002</c:v>
                </c:pt>
                <c:pt idx="3">
                  <c:v>2.9196</c:v>
                </c:pt>
                <c:pt idx="4">
                  <c:v>3.5306000000000002</c:v>
                </c:pt>
                <c:pt idx="5">
                  <c:v>4.1863000000000001</c:v>
                </c:pt>
                <c:pt idx="6">
                  <c:v>6.6067999999999998</c:v>
                </c:pt>
                <c:pt idx="7">
                  <c:v>2.8788</c:v>
                </c:pt>
              </c:numCache>
            </c:numRef>
          </c:yVal>
          <c:smooth val="0"/>
          <c:extLst>
            <c:ext xmlns:c16="http://schemas.microsoft.com/office/drawing/2014/chart" uri="{C3380CC4-5D6E-409C-BE32-E72D297353CC}">
              <c16:uniqueId val="{00000000-018B-8C4E-A556-6421D1794D4D}"/>
            </c:ext>
          </c:extLst>
        </c:ser>
        <c:dLbls>
          <c:showLegendKey val="0"/>
          <c:showVal val="0"/>
          <c:showCatName val="0"/>
          <c:showSerName val="0"/>
          <c:showPercent val="0"/>
          <c:showBubbleSize val="0"/>
        </c:dLbls>
        <c:axId val="2102232207"/>
        <c:axId val="326155792"/>
      </c:scatterChart>
      <c:valAx>
        <c:axId val="21022322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155792"/>
        <c:crosses val="autoZero"/>
        <c:crossBetween val="midCat"/>
      </c:valAx>
      <c:valAx>
        <c:axId val="326155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22322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Runs'!$C$110:$C$120</c:f>
              <c:numCache>
                <c:formatCode>General</c:formatCode>
                <c:ptCount val="11"/>
                <c:pt idx="0">
                  <c:v>0.5</c:v>
                </c:pt>
                <c:pt idx="1">
                  <c:v>1</c:v>
                </c:pt>
                <c:pt idx="2">
                  <c:v>1.5</c:v>
                </c:pt>
                <c:pt idx="3">
                  <c:v>2</c:v>
                </c:pt>
                <c:pt idx="4">
                  <c:v>2.5</c:v>
                </c:pt>
                <c:pt idx="5">
                  <c:v>3</c:v>
                </c:pt>
                <c:pt idx="6">
                  <c:v>5</c:v>
                </c:pt>
                <c:pt idx="7">
                  <c:v>5</c:v>
                </c:pt>
                <c:pt idx="8">
                  <c:v>0</c:v>
                </c:pt>
                <c:pt idx="9">
                  <c:v>0</c:v>
                </c:pt>
                <c:pt idx="10">
                  <c:v>0</c:v>
                </c:pt>
              </c:numCache>
            </c:numRef>
          </c:xVal>
          <c:yVal>
            <c:numRef>
              <c:f>'Standards All Runs'!$R$110:$R$120</c:f>
              <c:numCache>
                <c:formatCode>General</c:formatCode>
                <c:ptCount val="11"/>
                <c:pt idx="0">
                  <c:v>1.026</c:v>
                </c:pt>
                <c:pt idx="1">
                  <c:v>1.6600999999999999</c:v>
                </c:pt>
                <c:pt idx="2">
                  <c:v>2.2717000000000001</c:v>
                </c:pt>
                <c:pt idx="3">
                  <c:v>2.9091999999999998</c:v>
                </c:pt>
                <c:pt idx="4">
                  <c:v>3.5236000000000001</c:v>
                </c:pt>
                <c:pt idx="5">
                  <c:v>4.1757999999999997</c:v>
                </c:pt>
                <c:pt idx="6">
                  <c:v>6.5980999999999996</c:v>
                </c:pt>
                <c:pt idx="7">
                  <c:v>6.5913000000000004</c:v>
                </c:pt>
                <c:pt idx="8">
                  <c:v>0</c:v>
                </c:pt>
                <c:pt idx="9">
                  <c:v>0</c:v>
                </c:pt>
                <c:pt idx="10">
                  <c:v>0.45839999999999997</c:v>
                </c:pt>
              </c:numCache>
            </c:numRef>
          </c:yVal>
          <c:smooth val="0"/>
          <c:extLst>
            <c:ext xmlns:c16="http://schemas.microsoft.com/office/drawing/2014/chart" uri="{C3380CC4-5D6E-409C-BE32-E72D297353CC}">
              <c16:uniqueId val="{00000000-7FEE-5647-BBF6-6E92CAC256B4}"/>
            </c:ext>
          </c:extLst>
        </c:ser>
        <c:dLbls>
          <c:showLegendKey val="0"/>
          <c:showVal val="0"/>
          <c:showCatName val="0"/>
          <c:showSerName val="0"/>
          <c:showPercent val="0"/>
          <c:showBubbleSize val="0"/>
        </c:dLbls>
        <c:axId val="2102280783"/>
        <c:axId val="326415408"/>
      </c:scatterChart>
      <c:valAx>
        <c:axId val="21022807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6415408"/>
        <c:crosses val="autoZero"/>
        <c:crossBetween val="midCat"/>
      </c:valAx>
      <c:valAx>
        <c:axId val="326415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22807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Runs'!$C$124:$C$138</c:f>
              <c:numCache>
                <c:formatCode>General</c:formatCode>
                <c:ptCount val="15"/>
                <c:pt idx="0">
                  <c:v>0.5</c:v>
                </c:pt>
                <c:pt idx="1">
                  <c:v>1</c:v>
                </c:pt>
                <c:pt idx="2">
                  <c:v>1.5</c:v>
                </c:pt>
                <c:pt idx="3">
                  <c:v>2</c:v>
                </c:pt>
                <c:pt idx="4">
                  <c:v>2.5</c:v>
                </c:pt>
                <c:pt idx="5">
                  <c:v>3</c:v>
                </c:pt>
                <c:pt idx="6">
                  <c:v>5</c:v>
                </c:pt>
                <c:pt idx="7">
                  <c:v>0.5</c:v>
                </c:pt>
                <c:pt idx="8">
                  <c:v>0</c:v>
                </c:pt>
                <c:pt idx="9">
                  <c:v>0</c:v>
                </c:pt>
                <c:pt idx="10">
                  <c:v>0</c:v>
                </c:pt>
                <c:pt idx="12">
                  <c:v>1.5</c:v>
                </c:pt>
                <c:pt idx="13">
                  <c:v>2.5</c:v>
                </c:pt>
                <c:pt idx="14">
                  <c:v>3</c:v>
                </c:pt>
              </c:numCache>
            </c:numRef>
          </c:xVal>
          <c:yVal>
            <c:numRef>
              <c:f>'Standards All Runs'!$R$125:$R$138</c:f>
              <c:numCache>
                <c:formatCode>General</c:formatCode>
                <c:ptCount val="14"/>
                <c:pt idx="0">
                  <c:v>1.0579000000000001</c:v>
                </c:pt>
                <c:pt idx="1">
                  <c:v>1.6869000000000001</c:v>
                </c:pt>
                <c:pt idx="2">
                  <c:v>2.3294000000000001</c:v>
                </c:pt>
                <c:pt idx="3">
                  <c:v>2.9546000000000001</c:v>
                </c:pt>
                <c:pt idx="4">
                  <c:v>3.609</c:v>
                </c:pt>
                <c:pt idx="5">
                  <c:v>4.2629000000000001</c:v>
                </c:pt>
                <c:pt idx="6">
                  <c:v>6.6898</c:v>
                </c:pt>
                <c:pt idx="7">
                  <c:v>0</c:v>
                </c:pt>
                <c:pt idx="8">
                  <c:v>0</c:v>
                </c:pt>
                <c:pt idx="9">
                  <c:v>0</c:v>
                </c:pt>
                <c:pt idx="10">
                  <c:v>0</c:v>
                </c:pt>
                <c:pt idx="11">
                  <c:v>2.2172000000000001</c:v>
                </c:pt>
                <c:pt idx="12">
                  <c:v>3.4512999999999998</c:v>
                </c:pt>
                <c:pt idx="13">
                  <c:v>4.1569000000000003</c:v>
                </c:pt>
              </c:numCache>
            </c:numRef>
          </c:yVal>
          <c:smooth val="0"/>
          <c:extLst>
            <c:ext xmlns:c16="http://schemas.microsoft.com/office/drawing/2014/chart" uri="{C3380CC4-5D6E-409C-BE32-E72D297353CC}">
              <c16:uniqueId val="{00000000-1743-8641-978A-CB261817E5FB}"/>
            </c:ext>
          </c:extLst>
        </c:ser>
        <c:dLbls>
          <c:showLegendKey val="0"/>
          <c:showVal val="0"/>
          <c:showCatName val="0"/>
          <c:showSerName val="0"/>
          <c:showPercent val="0"/>
          <c:showBubbleSize val="0"/>
        </c:dLbls>
        <c:axId val="358944624"/>
        <c:axId val="2077218383"/>
      </c:scatterChart>
      <c:valAx>
        <c:axId val="358944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7218383"/>
        <c:crosses val="autoZero"/>
        <c:crossBetween val="midCat"/>
      </c:valAx>
      <c:valAx>
        <c:axId val="20772183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9446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Runs'!$C$142:$C$152</c:f>
              <c:numCache>
                <c:formatCode>General</c:formatCode>
                <c:ptCount val="11"/>
                <c:pt idx="0">
                  <c:v>0.5</c:v>
                </c:pt>
                <c:pt idx="1">
                  <c:v>1</c:v>
                </c:pt>
                <c:pt idx="2">
                  <c:v>1.5</c:v>
                </c:pt>
                <c:pt idx="3">
                  <c:v>2</c:v>
                </c:pt>
                <c:pt idx="4">
                  <c:v>2.5</c:v>
                </c:pt>
                <c:pt idx="5">
                  <c:v>3</c:v>
                </c:pt>
                <c:pt idx="6">
                  <c:v>5</c:v>
                </c:pt>
                <c:pt idx="7">
                  <c:v>1</c:v>
                </c:pt>
                <c:pt idx="8">
                  <c:v>0</c:v>
                </c:pt>
                <c:pt idx="9">
                  <c:v>0</c:v>
                </c:pt>
                <c:pt idx="10">
                  <c:v>0</c:v>
                </c:pt>
              </c:numCache>
            </c:numRef>
          </c:xVal>
          <c:yVal>
            <c:numRef>
              <c:f>'Standards All Runs'!$W$142:$W$152</c:f>
              <c:numCache>
                <c:formatCode>General</c:formatCode>
                <c:ptCount val="11"/>
                <c:pt idx="0">
                  <c:v>1.004</c:v>
                </c:pt>
                <c:pt idx="1">
                  <c:v>1.6234</c:v>
                </c:pt>
                <c:pt idx="2">
                  <c:v>2.2269999999999999</c:v>
                </c:pt>
                <c:pt idx="3">
                  <c:v>2.8475000000000001</c:v>
                </c:pt>
                <c:pt idx="4">
                  <c:v>3.4365000000000001</c:v>
                </c:pt>
                <c:pt idx="5">
                  <c:v>4.0942999999999996</c:v>
                </c:pt>
                <c:pt idx="6">
                  <c:v>6.4610000000000003</c:v>
                </c:pt>
                <c:pt idx="7">
                  <c:v>1.6176999999999999</c:v>
                </c:pt>
                <c:pt idx="8">
                  <c:v>0</c:v>
                </c:pt>
                <c:pt idx="9">
                  <c:v>0</c:v>
                </c:pt>
                <c:pt idx="10">
                  <c:v>0</c:v>
                </c:pt>
              </c:numCache>
            </c:numRef>
          </c:yVal>
          <c:smooth val="0"/>
          <c:extLst>
            <c:ext xmlns:c16="http://schemas.microsoft.com/office/drawing/2014/chart" uri="{C3380CC4-5D6E-409C-BE32-E72D297353CC}">
              <c16:uniqueId val="{00000000-0D95-9044-BC0D-FDB921AA50A2}"/>
            </c:ext>
          </c:extLst>
        </c:ser>
        <c:dLbls>
          <c:showLegendKey val="0"/>
          <c:showVal val="0"/>
          <c:showCatName val="0"/>
          <c:showSerName val="0"/>
          <c:showPercent val="0"/>
          <c:showBubbleSize val="0"/>
        </c:dLbls>
        <c:axId val="2104043487"/>
        <c:axId val="2104458127"/>
      </c:scatterChart>
      <c:valAx>
        <c:axId val="210404348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4458127"/>
        <c:crosses val="autoZero"/>
        <c:crossBetween val="midCat"/>
      </c:valAx>
      <c:valAx>
        <c:axId val="2104458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40434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Runs'!$C$156:$C$162</c:f>
              <c:numCache>
                <c:formatCode>General</c:formatCode>
                <c:ptCount val="7"/>
                <c:pt idx="0">
                  <c:v>0.5</c:v>
                </c:pt>
                <c:pt idx="1">
                  <c:v>1</c:v>
                </c:pt>
                <c:pt idx="2">
                  <c:v>1.5</c:v>
                </c:pt>
                <c:pt idx="3">
                  <c:v>2</c:v>
                </c:pt>
                <c:pt idx="4">
                  <c:v>2.5</c:v>
                </c:pt>
                <c:pt idx="5">
                  <c:v>3</c:v>
                </c:pt>
                <c:pt idx="6">
                  <c:v>5</c:v>
                </c:pt>
              </c:numCache>
            </c:numRef>
          </c:xVal>
          <c:yVal>
            <c:numRef>
              <c:f>'Standards All Runs'!$R$156:$R$162</c:f>
              <c:numCache>
                <c:formatCode>General</c:formatCode>
                <c:ptCount val="7"/>
                <c:pt idx="0">
                  <c:v>1.0241</c:v>
                </c:pt>
                <c:pt idx="1">
                  <c:v>1.6256999999999999</c:v>
                </c:pt>
                <c:pt idx="2">
                  <c:v>2.2202999999999999</c:v>
                </c:pt>
                <c:pt idx="3">
                  <c:v>2.8689</c:v>
                </c:pt>
                <c:pt idx="4">
                  <c:v>3.5775000000000001</c:v>
                </c:pt>
                <c:pt idx="5">
                  <c:v>4.1388999999999996</c:v>
                </c:pt>
                <c:pt idx="6">
                  <c:v>6.5518999999999998</c:v>
                </c:pt>
              </c:numCache>
            </c:numRef>
          </c:yVal>
          <c:smooth val="0"/>
          <c:extLst>
            <c:ext xmlns:c16="http://schemas.microsoft.com/office/drawing/2014/chart" uri="{C3380CC4-5D6E-409C-BE32-E72D297353CC}">
              <c16:uniqueId val="{00000000-E6CE-5B47-A305-E506933BBA7F}"/>
            </c:ext>
          </c:extLst>
        </c:ser>
        <c:dLbls>
          <c:showLegendKey val="0"/>
          <c:showVal val="0"/>
          <c:showCatName val="0"/>
          <c:showSerName val="0"/>
          <c:showPercent val="0"/>
          <c:showBubbleSize val="0"/>
        </c:dLbls>
        <c:axId val="2074298703"/>
        <c:axId val="288714048"/>
      </c:scatterChart>
      <c:valAx>
        <c:axId val="207429870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88714048"/>
        <c:crosses val="autoZero"/>
        <c:crossBetween val="midCat"/>
      </c:valAx>
      <c:valAx>
        <c:axId val="288714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42987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9/9/21</a:t>
            </a:r>
            <a:r>
              <a:rPr lang="en-US" baseline="0"/>
              <a:t> Standards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Height</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Runs'!$C$52:$C$57</c:f>
              <c:numCache>
                <c:formatCode>General</c:formatCode>
                <c:ptCount val="6"/>
                <c:pt idx="0">
                  <c:v>0.1</c:v>
                </c:pt>
                <c:pt idx="1">
                  <c:v>0.5</c:v>
                </c:pt>
                <c:pt idx="2">
                  <c:v>2.5</c:v>
                </c:pt>
                <c:pt idx="3">
                  <c:v>5</c:v>
                </c:pt>
                <c:pt idx="4">
                  <c:v>7.5</c:v>
                </c:pt>
                <c:pt idx="5">
                  <c:v>7.5</c:v>
                </c:pt>
              </c:numCache>
            </c:numRef>
          </c:xVal>
          <c:yVal>
            <c:numRef>
              <c:f>'Standards All Runs'!$F$52:$F$57</c:f>
              <c:numCache>
                <c:formatCode>General</c:formatCode>
                <c:ptCount val="6"/>
                <c:pt idx="0">
                  <c:v>21.224599999999999</c:v>
                </c:pt>
                <c:pt idx="1">
                  <c:v>122.3475</c:v>
                </c:pt>
                <c:pt idx="2">
                  <c:v>676.44370000000004</c:v>
                </c:pt>
                <c:pt idx="3">
                  <c:v>1172.3703</c:v>
                </c:pt>
                <c:pt idx="4">
                  <c:v>1542.1137000000001</c:v>
                </c:pt>
                <c:pt idx="5">
                  <c:v>1560.6802</c:v>
                </c:pt>
              </c:numCache>
            </c:numRef>
          </c:yVal>
          <c:smooth val="0"/>
          <c:extLst>
            <c:ext xmlns:c16="http://schemas.microsoft.com/office/drawing/2014/chart" uri="{C3380CC4-5D6E-409C-BE32-E72D297353CC}">
              <c16:uniqueId val="{00000000-8CE5-514E-82F2-54453481E9BD}"/>
            </c:ext>
          </c:extLst>
        </c:ser>
        <c:ser>
          <c:idx val="1"/>
          <c:order val="1"/>
          <c:tx>
            <c:v>Area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Runs'!$C$52:$C$57</c:f>
              <c:numCache>
                <c:formatCode>General</c:formatCode>
                <c:ptCount val="6"/>
                <c:pt idx="0">
                  <c:v>0.1</c:v>
                </c:pt>
                <c:pt idx="1">
                  <c:v>0.5</c:v>
                </c:pt>
                <c:pt idx="2">
                  <c:v>2.5</c:v>
                </c:pt>
                <c:pt idx="3">
                  <c:v>5</c:v>
                </c:pt>
                <c:pt idx="4">
                  <c:v>7.5</c:v>
                </c:pt>
                <c:pt idx="5">
                  <c:v>7.5</c:v>
                </c:pt>
              </c:numCache>
            </c:numRef>
          </c:xVal>
          <c:yVal>
            <c:numRef>
              <c:f>'Standards All Runs'!$E$52:$E$57</c:f>
              <c:numCache>
                <c:formatCode>General</c:formatCode>
                <c:ptCount val="6"/>
                <c:pt idx="0">
                  <c:v>8.0503</c:v>
                </c:pt>
                <c:pt idx="1">
                  <c:v>45.265799999999999</c:v>
                </c:pt>
                <c:pt idx="2">
                  <c:v>244.99100000000001</c:v>
                </c:pt>
                <c:pt idx="3">
                  <c:v>514.67150000000004</c:v>
                </c:pt>
                <c:pt idx="4">
                  <c:v>810.29809999999998</c:v>
                </c:pt>
                <c:pt idx="5">
                  <c:v>821.00440000000003</c:v>
                </c:pt>
              </c:numCache>
            </c:numRef>
          </c:yVal>
          <c:smooth val="0"/>
          <c:extLst>
            <c:ext xmlns:c16="http://schemas.microsoft.com/office/drawing/2014/chart" uri="{C3380CC4-5D6E-409C-BE32-E72D297353CC}">
              <c16:uniqueId val="{00000002-8CE5-514E-82F2-54453481E9BD}"/>
            </c:ext>
          </c:extLst>
        </c:ser>
        <c:dLbls>
          <c:showLegendKey val="0"/>
          <c:showVal val="0"/>
          <c:showCatName val="0"/>
          <c:showSerName val="0"/>
          <c:showPercent val="0"/>
          <c:showBubbleSize val="0"/>
        </c:dLbls>
        <c:axId val="1039387440"/>
        <c:axId val="958514080"/>
      </c:scatterChart>
      <c:valAx>
        <c:axId val="1039387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514080"/>
        <c:crosses val="autoZero"/>
        <c:crossBetween val="midCat"/>
      </c:valAx>
      <c:valAx>
        <c:axId val="9585140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93874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Runs'!$C$170:$C$180</c:f>
              <c:numCache>
                <c:formatCode>General</c:formatCode>
                <c:ptCount val="11"/>
                <c:pt idx="0">
                  <c:v>0.5</c:v>
                </c:pt>
                <c:pt idx="1">
                  <c:v>1</c:v>
                </c:pt>
                <c:pt idx="2">
                  <c:v>1.5</c:v>
                </c:pt>
                <c:pt idx="3">
                  <c:v>2</c:v>
                </c:pt>
                <c:pt idx="4">
                  <c:v>2.5</c:v>
                </c:pt>
                <c:pt idx="5">
                  <c:v>3</c:v>
                </c:pt>
                <c:pt idx="6">
                  <c:v>5</c:v>
                </c:pt>
                <c:pt idx="7">
                  <c:v>2.5</c:v>
                </c:pt>
                <c:pt idx="8">
                  <c:v>0</c:v>
                </c:pt>
                <c:pt idx="9">
                  <c:v>0</c:v>
                </c:pt>
                <c:pt idx="10">
                  <c:v>0</c:v>
                </c:pt>
              </c:numCache>
            </c:numRef>
          </c:xVal>
          <c:yVal>
            <c:numRef>
              <c:f>'Standards All Runs'!$R$170:$R$180</c:f>
              <c:numCache>
                <c:formatCode>General</c:formatCode>
                <c:ptCount val="11"/>
                <c:pt idx="0">
                  <c:v>1.0362</c:v>
                </c:pt>
                <c:pt idx="1">
                  <c:v>1.6311</c:v>
                </c:pt>
                <c:pt idx="2">
                  <c:v>2.2378</c:v>
                </c:pt>
                <c:pt idx="3">
                  <c:v>3.0131000000000001</c:v>
                </c:pt>
                <c:pt idx="4">
                  <c:v>3.5969000000000002</c:v>
                </c:pt>
                <c:pt idx="5">
                  <c:v>4.3158000000000003</c:v>
                </c:pt>
                <c:pt idx="6">
                  <c:v>6.4663000000000004</c:v>
                </c:pt>
                <c:pt idx="7">
                  <c:v>3.5589</c:v>
                </c:pt>
                <c:pt idx="8">
                  <c:v>0.47839999999999999</c:v>
                </c:pt>
                <c:pt idx="9">
                  <c:v>0.49930000000000002</c:v>
                </c:pt>
                <c:pt idx="10">
                  <c:v>0.49590000000000001</c:v>
                </c:pt>
              </c:numCache>
            </c:numRef>
          </c:yVal>
          <c:smooth val="0"/>
          <c:extLst>
            <c:ext xmlns:c16="http://schemas.microsoft.com/office/drawing/2014/chart" uri="{C3380CC4-5D6E-409C-BE32-E72D297353CC}">
              <c16:uniqueId val="{00000000-7CA1-0740-9CF7-998C8F04E1D0}"/>
            </c:ext>
          </c:extLst>
        </c:ser>
        <c:dLbls>
          <c:showLegendKey val="0"/>
          <c:showVal val="0"/>
          <c:showCatName val="0"/>
          <c:showSerName val="0"/>
          <c:showPercent val="0"/>
          <c:showBubbleSize val="0"/>
        </c:dLbls>
        <c:axId val="2130517711"/>
        <c:axId val="2142748159"/>
      </c:scatterChart>
      <c:valAx>
        <c:axId val="213051771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2748159"/>
        <c:crosses val="autoZero"/>
        <c:crossBetween val="midCat"/>
      </c:valAx>
      <c:valAx>
        <c:axId val="2142748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5177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Runs'!$C$184:$C$194</c:f>
              <c:numCache>
                <c:formatCode>General</c:formatCode>
                <c:ptCount val="11"/>
                <c:pt idx="0">
                  <c:v>0.5</c:v>
                </c:pt>
                <c:pt idx="1">
                  <c:v>1</c:v>
                </c:pt>
                <c:pt idx="2">
                  <c:v>1.5</c:v>
                </c:pt>
                <c:pt idx="3">
                  <c:v>2</c:v>
                </c:pt>
                <c:pt idx="4">
                  <c:v>2.5</c:v>
                </c:pt>
                <c:pt idx="5">
                  <c:v>3</c:v>
                </c:pt>
                <c:pt idx="6">
                  <c:v>5</c:v>
                </c:pt>
                <c:pt idx="7">
                  <c:v>5</c:v>
                </c:pt>
                <c:pt idx="8">
                  <c:v>0</c:v>
                </c:pt>
                <c:pt idx="9">
                  <c:v>0</c:v>
                </c:pt>
                <c:pt idx="10">
                  <c:v>0</c:v>
                </c:pt>
              </c:numCache>
            </c:numRef>
          </c:xVal>
          <c:yVal>
            <c:numRef>
              <c:f>'Standards All Runs'!$R$184:$R$194</c:f>
              <c:numCache>
                <c:formatCode>General</c:formatCode>
                <c:ptCount val="11"/>
                <c:pt idx="0">
                  <c:v>1.0297000000000001</c:v>
                </c:pt>
                <c:pt idx="1">
                  <c:v>1.6291</c:v>
                </c:pt>
                <c:pt idx="2">
                  <c:v>2.2296999999999998</c:v>
                </c:pt>
                <c:pt idx="3">
                  <c:v>2.863</c:v>
                </c:pt>
                <c:pt idx="4">
                  <c:v>3.5779000000000001</c:v>
                </c:pt>
                <c:pt idx="5">
                  <c:v>4.2797000000000001</c:v>
                </c:pt>
                <c:pt idx="6">
                  <c:v>6.4459999999999997</c:v>
                </c:pt>
                <c:pt idx="7">
                  <c:v>6.3734000000000002</c:v>
                </c:pt>
                <c:pt idx="8">
                  <c:v>0.47370000000000001</c:v>
                </c:pt>
                <c:pt idx="9">
                  <c:v>0.4965</c:v>
                </c:pt>
                <c:pt idx="10">
                  <c:v>0.48430000000000001</c:v>
                </c:pt>
              </c:numCache>
            </c:numRef>
          </c:yVal>
          <c:smooth val="0"/>
          <c:extLst>
            <c:ext xmlns:c16="http://schemas.microsoft.com/office/drawing/2014/chart" uri="{C3380CC4-5D6E-409C-BE32-E72D297353CC}">
              <c16:uniqueId val="{00000000-1B11-3C49-BA8D-57ECBDBD865A}"/>
            </c:ext>
          </c:extLst>
        </c:ser>
        <c:dLbls>
          <c:showLegendKey val="0"/>
          <c:showVal val="0"/>
          <c:showCatName val="0"/>
          <c:showSerName val="0"/>
          <c:showPercent val="0"/>
          <c:showBubbleSize val="0"/>
        </c:dLbls>
        <c:axId val="2137551599"/>
        <c:axId val="2123213343"/>
      </c:scatterChart>
      <c:valAx>
        <c:axId val="21375515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3213343"/>
        <c:crosses val="autoZero"/>
        <c:crossBetween val="midCat"/>
      </c:valAx>
      <c:valAx>
        <c:axId val="21232133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75515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Runs'!$C$198:$C$207</c:f>
              <c:numCache>
                <c:formatCode>General</c:formatCode>
                <c:ptCount val="10"/>
                <c:pt idx="0">
                  <c:v>0.5</c:v>
                </c:pt>
                <c:pt idx="1">
                  <c:v>1</c:v>
                </c:pt>
                <c:pt idx="2">
                  <c:v>2</c:v>
                </c:pt>
                <c:pt idx="3">
                  <c:v>2.5</c:v>
                </c:pt>
                <c:pt idx="4">
                  <c:v>3</c:v>
                </c:pt>
                <c:pt idx="5">
                  <c:v>5</c:v>
                </c:pt>
                <c:pt idx="6">
                  <c:v>0</c:v>
                </c:pt>
                <c:pt idx="7">
                  <c:v>0</c:v>
                </c:pt>
                <c:pt idx="8">
                  <c:v>0</c:v>
                </c:pt>
                <c:pt idx="9">
                  <c:v>0</c:v>
                </c:pt>
              </c:numCache>
            </c:numRef>
          </c:xVal>
          <c:yVal>
            <c:numRef>
              <c:f>'Standards All Runs'!$R$198:$R$207</c:f>
              <c:numCache>
                <c:formatCode>General</c:formatCode>
                <c:ptCount val="10"/>
                <c:pt idx="0">
                  <c:v>1.0527</c:v>
                </c:pt>
                <c:pt idx="1">
                  <c:v>1.6494</c:v>
                </c:pt>
                <c:pt idx="2">
                  <c:v>2.9215</c:v>
                </c:pt>
                <c:pt idx="3">
                  <c:v>3.5101</c:v>
                </c:pt>
                <c:pt idx="4">
                  <c:v>4.4562999999999997</c:v>
                </c:pt>
                <c:pt idx="5">
                  <c:v>6.7182000000000004</c:v>
                </c:pt>
                <c:pt idx="6">
                  <c:v>0</c:v>
                </c:pt>
                <c:pt idx="7">
                  <c:v>0.46310000000000001</c:v>
                </c:pt>
                <c:pt idx="8">
                  <c:v>0.46060000000000001</c:v>
                </c:pt>
                <c:pt idx="9">
                  <c:v>0.51100000000000001</c:v>
                </c:pt>
              </c:numCache>
            </c:numRef>
          </c:yVal>
          <c:smooth val="0"/>
          <c:extLst>
            <c:ext xmlns:c16="http://schemas.microsoft.com/office/drawing/2014/chart" uri="{C3380CC4-5D6E-409C-BE32-E72D297353CC}">
              <c16:uniqueId val="{00000000-FBB8-A84D-AE17-61D1E098CB2D}"/>
            </c:ext>
          </c:extLst>
        </c:ser>
        <c:dLbls>
          <c:showLegendKey val="0"/>
          <c:showVal val="0"/>
          <c:showCatName val="0"/>
          <c:showSerName val="0"/>
          <c:showPercent val="0"/>
          <c:showBubbleSize val="0"/>
        </c:dLbls>
        <c:axId val="2099334671"/>
        <c:axId val="2074224127"/>
      </c:scatterChart>
      <c:valAx>
        <c:axId val="20993346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74224127"/>
        <c:crosses val="autoZero"/>
        <c:crossBetween val="midCat"/>
      </c:valAx>
      <c:valAx>
        <c:axId val="2074224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933467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Runs'!$C$264:$C$270</c:f>
              <c:numCache>
                <c:formatCode>General</c:formatCode>
                <c:ptCount val="7"/>
                <c:pt idx="0">
                  <c:v>0.5</c:v>
                </c:pt>
                <c:pt idx="1">
                  <c:v>1</c:v>
                </c:pt>
                <c:pt idx="2">
                  <c:v>1.5</c:v>
                </c:pt>
                <c:pt idx="3">
                  <c:v>3</c:v>
                </c:pt>
                <c:pt idx="4">
                  <c:v>5</c:v>
                </c:pt>
                <c:pt idx="5">
                  <c:v>0</c:v>
                </c:pt>
                <c:pt idx="6">
                  <c:v>0</c:v>
                </c:pt>
              </c:numCache>
            </c:numRef>
          </c:xVal>
          <c:yVal>
            <c:numRef>
              <c:f>'Standards All Runs'!$R$264:$R$270</c:f>
              <c:numCache>
                <c:formatCode>General</c:formatCode>
                <c:ptCount val="7"/>
                <c:pt idx="0">
                  <c:v>1.0478000000000001</c:v>
                </c:pt>
                <c:pt idx="1">
                  <c:v>1.7682</c:v>
                </c:pt>
                <c:pt idx="2">
                  <c:v>2.1633</c:v>
                </c:pt>
                <c:pt idx="3">
                  <c:v>4.1851000000000003</c:v>
                </c:pt>
                <c:pt idx="4">
                  <c:v>6.6723999999999997</c:v>
                </c:pt>
                <c:pt idx="5">
                  <c:v>0</c:v>
                </c:pt>
                <c:pt idx="6">
                  <c:v>0</c:v>
                </c:pt>
              </c:numCache>
            </c:numRef>
          </c:yVal>
          <c:smooth val="0"/>
          <c:extLst>
            <c:ext xmlns:c16="http://schemas.microsoft.com/office/drawing/2014/chart" uri="{C3380CC4-5D6E-409C-BE32-E72D297353CC}">
              <c16:uniqueId val="{00000000-3E2D-1D48-A08E-6D8D729D2D30}"/>
            </c:ext>
          </c:extLst>
        </c:ser>
        <c:dLbls>
          <c:showLegendKey val="0"/>
          <c:showVal val="0"/>
          <c:showCatName val="0"/>
          <c:showSerName val="0"/>
          <c:showPercent val="0"/>
          <c:showBubbleSize val="0"/>
        </c:dLbls>
        <c:axId val="2129806607"/>
        <c:axId val="2101939743"/>
      </c:scatterChart>
      <c:valAx>
        <c:axId val="212980660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1939743"/>
        <c:crosses val="autoZero"/>
        <c:crossBetween val="midCat"/>
      </c:valAx>
      <c:valAx>
        <c:axId val="21019397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98066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Runs'!$C$275:$C$284</c:f>
              <c:numCache>
                <c:formatCode>General</c:formatCode>
                <c:ptCount val="10"/>
                <c:pt idx="0">
                  <c:v>0.5</c:v>
                </c:pt>
                <c:pt idx="1">
                  <c:v>1</c:v>
                </c:pt>
                <c:pt idx="2">
                  <c:v>1.5</c:v>
                </c:pt>
                <c:pt idx="3">
                  <c:v>2</c:v>
                </c:pt>
                <c:pt idx="4">
                  <c:v>2.5</c:v>
                </c:pt>
                <c:pt idx="5">
                  <c:v>3</c:v>
                </c:pt>
                <c:pt idx="6">
                  <c:v>5</c:v>
                </c:pt>
                <c:pt idx="7">
                  <c:v>0</c:v>
                </c:pt>
                <c:pt idx="8">
                  <c:v>0</c:v>
                </c:pt>
                <c:pt idx="9">
                  <c:v>0</c:v>
                </c:pt>
              </c:numCache>
            </c:numRef>
          </c:xVal>
          <c:yVal>
            <c:numRef>
              <c:f>'Standards All Runs'!$R$275:$R$284</c:f>
              <c:numCache>
                <c:formatCode>General</c:formatCode>
                <c:ptCount val="10"/>
                <c:pt idx="0">
                  <c:v>1.0133000000000001</c:v>
                </c:pt>
                <c:pt idx="1">
                  <c:v>1.6860999999999999</c:v>
                </c:pt>
                <c:pt idx="2">
                  <c:v>2.2826</c:v>
                </c:pt>
                <c:pt idx="3">
                  <c:v>2.9350000000000001</c:v>
                </c:pt>
                <c:pt idx="4">
                  <c:v>3.6168</c:v>
                </c:pt>
                <c:pt idx="5">
                  <c:v>4.2237</c:v>
                </c:pt>
                <c:pt idx="6">
                  <c:v>6.7211999999999996</c:v>
                </c:pt>
                <c:pt idx="7">
                  <c:v>0.48809999999999998</c:v>
                </c:pt>
                <c:pt idx="8">
                  <c:v>0.48680000000000001</c:v>
                </c:pt>
                <c:pt idx="9">
                  <c:v>0</c:v>
                </c:pt>
              </c:numCache>
            </c:numRef>
          </c:yVal>
          <c:smooth val="0"/>
          <c:extLst>
            <c:ext xmlns:c16="http://schemas.microsoft.com/office/drawing/2014/chart" uri="{C3380CC4-5D6E-409C-BE32-E72D297353CC}">
              <c16:uniqueId val="{00000000-148F-4643-AB45-CBD6FC0433D9}"/>
            </c:ext>
          </c:extLst>
        </c:ser>
        <c:dLbls>
          <c:showLegendKey val="0"/>
          <c:showVal val="0"/>
          <c:showCatName val="0"/>
          <c:showSerName val="0"/>
          <c:showPercent val="0"/>
          <c:showBubbleSize val="0"/>
        </c:dLbls>
        <c:axId val="2098347583"/>
        <c:axId val="2105235999"/>
      </c:scatterChart>
      <c:valAx>
        <c:axId val="20983475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5235999"/>
        <c:crosses val="autoZero"/>
        <c:crossBetween val="midCat"/>
      </c:valAx>
      <c:valAx>
        <c:axId val="21052359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3475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Runs'!$C$339:$C$345</c:f>
              <c:numCache>
                <c:formatCode>General</c:formatCode>
                <c:ptCount val="7"/>
                <c:pt idx="0">
                  <c:v>0.5</c:v>
                </c:pt>
                <c:pt idx="1">
                  <c:v>1</c:v>
                </c:pt>
                <c:pt idx="2">
                  <c:v>1.5</c:v>
                </c:pt>
                <c:pt idx="3">
                  <c:v>2</c:v>
                </c:pt>
                <c:pt idx="4">
                  <c:v>2.5</c:v>
                </c:pt>
                <c:pt idx="5">
                  <c:v>3</c:v>
                </c:pt>
                <c:pt idx="6">
                  <c:v>5</c:v>
                </c:pt>
              </c:numCache>
            </c:numRef>
          </c:xVal>
          <c:yVal>
            <c:numRef>
              <c:f>'Standards All Runs'!$E$339:$E$345</c:f>
              <c:numCache>
                <c:formatCode>General</c:formatCode>
                <c:ptCount val="7"/>
                <c:pt idx="0">
                  <c:v>1.3227</c:v>
                </c:pt>
                <c:pt idx="1">
                  <c:v>3.1049000000000002</c:v>
                </c:pt>
                <c:pt idx="2">
                  <c:v>4.7015000000000002</c:v>
                </c:pt>
                <c:pt idx="3">
                  <c:v>5.8041</c:v>
                </c:pt>
                <c:pt idx="4">
                  <c:v>8.0182000000000002</c:v>
                </c:pt>
                <c:pt idx="5">
                  <c:v>9.6487999999999996</c:v>
                </c:pt>
                <c:pt idx="6">
                  <c:v>15.8954</c:v>
                </c:pt>
              </c:numCache>
            </c:numRef>
          </c:yVal>
          <c:smooth val="0"/>
          <c:extLst>
            <c:ext xmlns:c16="http://schemas.microsoft.com/office/drawing/2014/chart" uri="{C3380CC4-5D6E-409C-BE32-E72D297353CC}">
              <c16:uniqueId val="{00000000-AD31-7E43-AA9F-D6CC373379A3}"/>
            </c:ext>
          </c:extLst>
        </c:ser>
        <c:dLbls>
          <c:showLegendKey val="0"/>
          <c:showVal val="0"/>
          <c:showCatName val="0"/>
          <c:showSerName val="0"/>
          <c:showPercent val="0"/>
          <c:showBubbleSize val="0"/>
        </c:dLbls>
        <c:axId val="617369888"/>
        <c:axId val="617371536"/>
      </c:scatterChart>
      <c:valAx>
        <c:axId val="617369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371536"/>
        <c:crosses val="autoZero"/>
        <c:crossBetween val="midCat"/>
      </c:valAx>
      <c:valAx>
        <c:axId val="61737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3698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Runs'!$C$353:$C$360</c:f>
              <c:numCache>
                <c:formatCode>General</c:formatCode>
                <c:ptCount val="8"/>
                <c:pt idx="0">
                  <c:v>0</c:v>
                </c:pt>
                <c:pt idx="1">
                  <c:v>0.5</c:v>
                </c:pt>
                <c:pt idx="2">
                  <c:v>1</c:v>
                </c:pt>
                <c:pt idx="3">
                  <c:v>1.5</c:v>
                </c:pt>
                <c:pt idx="4">
                  <c:v>2</c:v>
                </c:pt>
                <c:pt idx="5">
                  <c:v>2.5</c:v>
                </c:pt>
                <c:pt idx="6">
                  <c:v>3</c:v>
                </c:pt>
                <c:pt idx="7">
                  <c:v>5</c:v>
                </c:pt>
              </c:numCache>
            </c:numRef>
          </c:xVal>
          <c:yVal>
            <c:numRef>
              <c:f>'Standards All Runs'!$E$353:$E$360</c:f>
              <c:numCache>
                <c:formatCode>General</c:formatCode>
                <c:ptCount val="8"/>
                <c:pt idx="0">
                  <c:v>0</c:v>
                </c:pt>
                <c:pt idx="1">
                  <c:v>1.6765000000000001</c:v>
                </c:pt>
                <c:pt idx="2">
                  <c:v>3.4839000000000002</c:v>
                </c:pt>
                <c:pt idx="3">
                  <c:v>4.3906000000000001</c:v>
                </c:pt>
                <c:pt idx="4">
                  <c:v>6.0355999999999996</c:v>
                </c:pt>
                <c:pt idx="5">
                  <c:v>8.2049000000000003</c:v>
                </c:pt>
                <c:pt idx="6">
                  <c:v>9.8119999999999994</c:v>
                </c:pt>
                <c:pt idx="7">
                  <c:v>15.3543</c:v>
                </c:pt>
              </c:numCache>
            </c:numRef>
          </c:yVal>
          <c:smooth val="0"/>
          <c:extLst>
            <c:ext xmlns:c16="http://schemas.microsoft.com/office/drawing/2014/chart" uri="{C3380CC4-5D6E-409C-BE32-E72D297353CC}">
              <c16:uniqueId val="{00000000-66D5-A94A-BAFA-8CF4A277C112}"/>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Runs'!$C$353:$C$360</c:f>
              <c:numCache>
                <c:formatCode>General</c:formatCode>
                <c:ptCount val="8"/>
                <c:pt idx="0">
                  <c:v>0</c:v>
                </c:pt>
                <c:pt idx="1">
                  <c:v>0.5</c:v>
                </c:pt>
                <c:pt idx="2">
                  <c:v>1</c:v>
                </c:pt>
                <c:pt idx="3">
                  <c:v>1.5</c:v>
                </c:pt>
                <c:pt idx="4">
                  <c:v>2</c:v>
                </c:pt>
                <c:pt idx="5">
                  <c:v>2.5</c:v>
                </c:pt>
                <c:pt idx="6">
                  <c:v>3</c:v>
                </c:pt>
                <c:pt idx="7">
                  <c:v>5</c:v>
                </c:pt>
              </c:numCache>
            </c:numRef>
          </c:xVal>
          <c:yVal>
            <c:numRef>
              <c:f>'Standards All Runs'!$F$353:$F$360</c:f>
              <c:numCache>
                <c:formatCode>General</c:formatCode>
                <c:ptCount val="8"/>
                <c:pt idx="1">
                  <c:v>2.7118000000000002</c:v>
                </c:pt>
                <c:pt idx="2">
                  <c:v>6.1871</c:v>
                </c:pt>
                <c:pt idx="3">
                  <c:v>9.5505999999999993</c:v>
                </c:pt>
                <c:pt idx="4">
                  <c:v>13.662000000000001</c:v>
                </c:pt>
                <c:pt idx="5">
                  <c:v>17.764299999999999</c:v>
                </c:pt>
                <c:pt idx="6">
                  <c:v>22.9422</c:v>
                </c:pt>
                <c:pt idx="7">
                  <c:v>40.7453</c:v>
                </c:pt>
              </c:numCache>
            </c:numRef>
          </c:yVal>
          <c:smooth val="0"/>
          <c:extLst>
            <c:ext xmlns:c16="http://schemas.microsoft.com/office/drawing/2014/chart" uri="{C3380CC4-5D6E-409C-BE32-E72D297353CC}">
              <c16:uniqueId val="{00000002-1AFF-1E43-8030-8FCBB5F66745}"/>
            </c:ext>
          </c:extLst>
        </c:ser>
        <c:dLbls>
          <c:showLegendKey val="0"/>
          <c:showVal val="0"/>
          <c:showCatName val="0"/>
          <c:showSerName val="0"/>
          <c:showPercent val="0"/>
          <c:showBubbleSize val="0"/>
        </c:dLbls>
        <c:axId val="840321375"/>
        <c:axId val="840323023"/>
      </c:scatterChart>
      <c:valAx>
        <c:axId val="8403213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0323023"/>
        <c:crosses val="autoZero"/>
        <c:crossBetween val="midCat"/>
      </c:valAx>
      <c:valAx>
        <c:axId val="840323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03213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Runs'!$AR$38:$AR$43</c:f>
              <c:numCache>
                <c:formatCode>General</c:formatCode>
                <c:ptCount val="6"/>
                <c:pt idx="0">
                  <c:v>0.1</c:v>
                </c:pt>
                <c:pt idx="1">
                  <c:v>0.5</c:v>
                </c:pt>
                <c:pt idx="2">
                  <c:v>1</c:v>
                </c:pt>
                <c:pt idx="3">
                  <c:v>2.5</c:v>
                </c:pt>
                <c:pt idx="4">
                  <c:v>5</c:v>
                </c:pt>
                <c:pt idx="5">
                  <c:v>10</c:v>
                </c:pt>
              </c:numCache>
            </c:numRef>
          </c:xVal>
          <c:yVal>
            <c:numRef>
              <c:f>'Standards All Runs'!$AZ$38:$AZ$43</c:f>
              <c:numCache>
                <c:formatCode>General</c:formatCode>
                <c:ptCount val="6"/>
                <c:pt idx="0">
                  <c:v>7.4085999999999999</c:v>
                </c:pt>
                <c:pt idx="1">
                  <c:v>46.250799999999998</c:v>
                </c:pt>
                <c:pt idx="2">
                  <c:v>86.658900000000003</c:v>
                </c:pt>
                <c:pt idx="3">
                  <c:v>238.2706</c:v>
                </c:pt>
                <c:pt idx="4">
                  <c:v>533.04169999999999</c:v>
                </c:pt>
                <c:pt idx="5">
                  <c:v>1001.8172</c:v>
                </c:pt>
              </c:numCache>
            </c:numRef>
          </c:yVal>
          <c:smooth val="0"/>
          <c:extLst>
            <c:ext xmlns:c16="http://schemas.microsoft.com/office/drawing/2014/chart" uri="{C3380CC4-5D6E-409C-BE32-E72D297353CC}">
              <c16:uniqueId val="{00000000-6559-7B4E-BEE6-2BAA7E9A90C1}"/>
            </c:ext>
          </c:extLst>
        </c:ser>
        <c:dLbls>
          <c:showLegendKey val="0"/>
          <c:showVal val="0"/>
          <c:showCatName val="0"/>
          <c:showSerName val="0"/>
          <c:showPercent val="0"/>
          <c:showBubbleSize val="0"/>
        </c:dLbls>
        <c:axId val="323878095"/>
        <c:axId val="323838175"/>
      </c:scatterChart>
      <c:valAx>
        <c:axId val="3238780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3838175"/>
        <c:crosses val="autoZero"/>
        <c:crossBetween val="midCat"/>
      </c:valAx>
      <c:valAx>
        <c:axId val="323838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38780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2/16</a:t>
            </a:r>
            <a:r>
              <a:rPr lang="en-US" baseline="0"/>
              <a:t> height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Runs'!$C$338:$C$345</c:f>
              <c:numCache>
                <c:formatCode>General</c:formatCode>
                <c:ptCount val="8"/>
                <c:pt idx="0">
                  <c:v>0</c:v>
                </c:pt>
                <c:pt idx="1">
                  <c:v>0.5</c:v>
                </c:pt>
                <c:pt idx="2">
                  <c:v>1</c:v>
                </c:pt>
                <c:pt idx="3">
                  <c:v>1.5</c:v>
                </c:pt>
                <c:pt idx="4">
                  <c:v>2</c:v>
                </c:pt>
                <c:pt idx="5">
                  <c:v>2.5</c:v>
                </c:pt>
                <c:pt idx="6">
                  <c:v>3</c:v>
                </c:pt>
                <c:pt idx="7">
                  <c:v>5</c:v>
                </c:pt>
              </c:numCache>
            </c:numRef>
          </c:xVal>
          <c:yVal>
            <c:numRef>
              <c:f>'Standards All Runs'!$F$338:$F$345</c:f>
              <c:numCache>
                <c:formatCode>General</c:formatCode>
                <c:ptCount val="8"/>
                <c:pt idx="0">
                  <c:v>0</c:v>
                </c:pt>
                <c:pt idx="1">
                  <c:v>2.3496000000000001</c:v>
                </c:pt>
                <c:pt idx="2">
                  <c:v>5.6449999999999996</c:v>
                </c:pt>
                <c:pt idx="3">
                  <c:v>8.9248999999999992</c:v>
                </c:pt>
                <c:pt idx="4">
                  <c:v>12.810499999999999</c:v>
                </c:pt>
                <c:pt idx="5">
                  <c:v>16.828199999999999</c:v>
                </c:pt>
                <c:pt idx="6">
                  <c:v>21.723299999999998</c:v>
                </c:pt>
                <c:pt idx="7">
                  <c:v>39.232700000000001</c:v>
                </c:pt>
              </c:numCache>
            </c:numRef>
          </c:yVal>
          <c:smooth val="0"/>
          <c:extLst>
            <c:ext xmlns:c16="http://schemas.microsoft.com/office/drawing/2014/chart" uri="{C3380CC4-5D6E-409C-BE32-E72D297353CC}">
              <c16:uniqueId val="{00000000-6795-AD47-8740-8A7652E058E1}"/>
            </c:ext>
          </c:extLst>
        </c:ser>
        <c:dLbls>
          <c:showLegendKey val="0"/>
          <c:showVal val="0"/>
          <c:showCatName val="0"/>
          <c:showSerName val="0"/>
          <c:showPercent val="0"/>
          <c:showBubbleSize val="0"/>
        </c:dLbls>
        <c:axId val="1823364768"/>
        <c:axId val="1873437280"/>
      </c:scatterChart>
      <c:valAx>
        <c:axId val="1823364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73437280"/>
        <c:crosses val="autoZero"/>
        <c:crossBetween val="midCat"/>
      </c:valAx>
      <c:valAx>
        <c:axId val="18734372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33647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2/2 height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Runs'!$C$326:$C$333</c:f>
              <c:numCache>
                <c:formatCode>General</c:formatCode>
                <c:ptCount val="8"/>
                <c:pt idx="0">
                  <c:v>0</c:v>
                </c:pt>
                <c:pt idx="1">
                  <c:v>0.5</c:v>
                </c:pt>
                <c:pt idx="2">
                  <c:v>1</c:v>
                </c:pt>
                <c:pt idx="3">
                  <c:v>1.5</c:v>
                </c:pt>
                <c:pt idx="4">
                  <c:v>2</c:v>
                </c:pt>
                <c:pt idx="5">
                  <c:v>2.5</c:v>
                </c:pt>
                <c:pt idx="6">
                  <c:v>3</c:v>
                </c:pt>
                <c:pt idx="7">
                  <c:v>5</c:v>
                </c:pt>
              </c:numCache>
            </c:numRef>
          </c:xVal>
          <c:yVal>
            <c:numRef>
              <c:f>'Standards All Runs'!$F$326:$F$333</c:f>
              <c:numCache>
                <c:formatCode>General</c:formatCode>
                <c:ptCount val="8"/>
                <c:pt idx="0">
                  <c:v>0</c:v>
                </c:pt>
                <c:pt idx="1">
                  <c:v>2.4739</c:v>
                </c:pt>
                <c:pt idx="2">
                  <c:v>5.4291999999999998</c:v>
                </c:pt>
                <c:pt idx="3">
                  <c:v>8.4764999999999997</c:v>
                </c:pt>
                <c:pt idx="4">
                  <c:v>12.2151</c:v>
                </c:pt>
                <c:pt idx="5">
                  <c:v>15.9427</c:v>
                </c:pt>
                <c:pt idx="6">
                  <c:v>20.2986</c:v>
                </c:pt>
                <c:pt idx="7">
                  <c:v>36.992100000000001</c:v>
                </c:pt>
              </c:numCache>
            </c:numRef>
          </c:yVal>
          <c:smooth val="0"/>
          <c:extLst>
            <c:ext xmlns:c16="http://schemas.microsoft.com/office/drawing/2014/chart" uri="{C3380CC4-5D6E-409C-BE32-E72D297353CC}">
              <c16:uniqueId val="{00000000-8FF7-F24F-9633-73924F6A2DAB}"/>
            </c:ext>
          </c:extLst>
        </c:ser>
        <c:dLbls>
          <c:showLegendKey val="0"/>
          <c:showVal val="0"/>
          <c:showCatName val="0"/>
          <c:showSerName val="0"/>
          <c:showPercent val="0"/>
          <c:showBubbleSize val="0"/>
        </c:dLbls>
        <c:axId val="1855862560"/>
        <c:axId val="1861772256"/>
      </c:scatterChart>
      <c:valAx>
        <c:axId val="1855862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1772256"/>
        <c:crosses val="autoZero"/>
        <c:crossBetween val="midCat"/>
      </c:valAx>
      <c:valAx>
        <c:axId val="1861772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8625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9/14/21</a:t>
            </a:r>
            <a:r>
              <a:rPr lang="en-US" baseline="0"/>
              <a:t> Standards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Runs'!$C$63:$C$72</c:f>
              <c:numCache>
                <c:formatCode>General</c:formatCode>
                <c:ptCount val="10"/>
                <c:pt idx="0">
                  <c:v>0</c:v>
                </c:pt>
                <c:pt idx="1">
                  <c:v>0.5</c:v>
                </c:pt>
                <c:pt idx="2">
                  <c:v>1</c:v>
                </c:pt>
                <c:pt idx="3">
                  <c:v>1.5</c:v>
                </c:pt>
                <c:pt idx="4">
                  <c:v>2</c:v>
                </c:pt>
                <c:pt idx="5">
                  <c:v>2.5</c:v>
                </c:pt>
                <c:pt idx="6">
                  <c:v>3</c:v>
                </c:pt>
                <c:pt idx="7">
                  <c:v>5</c:v>
                </c:pt>
                <c:pt idx="8">
                  <c:v>1</c:v>
                </c:pt>
                <c:pt idx="9">
                  <c:v>1</c:v>
                </c:pt>
              </c:numCache>
            </c:numRef>
          </c:xVal>
          <c:yVal>
            <c:numRef>
              <c:f>'Standards All Runs'!$F$63:$F$72</c:f>
              <c:numCache>
                <c:formatCode>General</c:formatCode>
                <c:ptCount val="10"/>
                <c:pt idx="0">
                  <c:v>0</c:v>
                </c:pt>
                <c:pt idx="1">
                  <c:v>8.5365000000000002</c:v>
                </c:pt>
                <c:pt idx="2">
                  <c:v>18.848199999999999</c:v>
                </c:pt>
                <c:pt idx="3">
                  <c:v>29.464099999999998</c:v>
                </c:pt>
                <c:pt idx="4">
                  <c:v>40.275700000000001</c:v>
                </c:pt>
                <c:pt idx="5">
                  <c:v>49.668700000000001</c:v>
                </c:pt>
                <c:pt idx="6">
                  <c:v>59.885100000000001</c:v>
                </c:pt>
                <c:pt idx="7">
                  <c:v>91.912400000000005</c:v>
                </c:pt>
                <c:pt idx="8">
                  <c:v>19.790500000000002</c:v>
                </c:pt>
                <c:pt idx="9">
                  <c:v>20.1753</c:v>
                </c:pt>
              </c:numCache>
            </c:numRef>
          </c:yVal>
          <c:smooth val="0"/>
          <c:extLst>
            <c:ext xmlns:c16="http://schemas.microsoft.com/office/drawing/2014/chart" uri="{C3380CC4-5D6E-409C-BE32-E72D297353CC}">
              <c16:uniqueId val="{00000000-A1EB-2943-B98F-18555687E8B6}"/>
            </c:ext>
          </c:extLst>
        </c:ser>
        <c:ser>
          <c:idx val="1"/>
          <c:order val="1"/>
          <c:tx>
            <c:v>Area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Runs'!$C$64:$C$72</c:f>
              <c:numCache>
                <c:formatCode>General</c:formatCode>
                <c:ptCount val="9"/>
                <c:pt idx="0">
                  <c:v>0.5</c:v>
                </c:pt>
                <c:pt idx="1">
                  <c:v>1</c:v>
                </c:pt>
                <c:pt idx="2">
                  <c:v>1.5</c:v>
                </c:pt>
                <c:pt idx="3">
                  <c:v>2</c:v>
                </c:pt>
                <c:pt idx="4">
                  <c:v>2.5</c:v>
                </c:pt>
                <c:pt idx="5">
                  <c:v>3</c:v>
                </c:pt>
                <c:pt idx="6">
                  <c:v>5</c:v>
                </c:pt>
                <c:pt idx="7">
                  <c:v>1</c:v>
                </c:pt>
                <c:pt idx="8">
                  <c:v>1</c:v>
                </c:pt>
              </c:numCache>
            </c:numRef>
          </c:xVal>
          <c:yVal>
            <c:numRef>
              <c:f>'Standards All Runs'!$E$64:$E$72</c:f>
              <c:numCache>
                <c:formatCode>General</c:formatCode>
                <c:ptCount val="9"/>
                <c:pt idx="0">
                  <c:v>1.5324</c:v>
                </c:pt>
                <c:pt idx="1">
                  <c:v>3.1448</c:v>
                </c:pt>
                <c:pt idx="2">
                  <c:v>5.0452000000000004</c:v>
                </c:pt>
                <c:pt idx="3">
                  <c:v>6.7862999999999998</c:v>
                </c:pt>
                <c:pt idx="4">
                  <c:v>8.3629999999999995</c:v>
                </c:pt>
                <c:pt idx="5">
                  <c:v>10.0189</c:v>
                </c:pt>
                <c:pt idx="6">
                  <c:v>16.339700000000001</c:v>
                </c:pt>
                <c:pt idx="7">
                  <c:v>3.2075999999999998</c:v>
                </c:pt>
                <c:pt idx="8">
                  <c:v>3.1861999999999999</c:v>
                </c:pt>
              </c:numCache>
            </c:numRef>
          </c:yVal>
          <c:smooth val="0"/>
          <c:extLst>
            <c:ext xmlns:c16="http://schemas.microsoft.com/office/drawing/2014/chart" uri="{C3380CC4-5D6E-409C-BE32-E72D297353CC}">
              <c16:uniqueId val="{00000002-A1EB-2943-B98F-18555687E8B6}"/>
            </c:ext>
          </c:extLst>
        </c:ser>
        <c:dLbls>
          <c:showLegendKey val="0"/>
          <c:showVal val="0"/>
          <c:showCatName val="0"/>
          <c:showSerName val="0"/>
          <c:showPercent val="0"/>
          <c:showBubbleSize val="0"/>
        </c:dLbls>
        <c:axId val="956341567"/>
        <c:axId val="957073039"/>
      </c:scatterChart>
      <c:valAx>
        <c:axId val="9563415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073039"/>
        <c:crosses val="autoZero"/>
        <c:crossBetween val="midCat"/>
      </c:valAx>
      <c:valAx>
        <c:axId val="957073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34156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Runs'!$C$302:$C$309</c:f>
              <c:numCache>
                <c:formatCode>General</c:formatCode>
                <c:ptCount val="8"/>
                <c:pt idx="0">
                  <c:v>0</c:v>
                </c:pt>
                <c:pt idx="1">
                  <c:v>0.5</c:v>
                </c:pt>
                <c:pt idx="2">
                  <c:v>1</c:v>
                </c:pt>
                <c:pt idx="3">
                  <c:v>1.5</c:v>
                </c:pt>
                <c:pt idx="4">
                  <c:v>2</c:v>
                </c:pt>
                <c:pt idx="5">
                  <c:v>2.5</c:v>
                </c:pt>
                <c:pt idx="6">
                  <c:v>3</c:v>
                </c:pt>
                <c:pt idx="7">
                  <c:v>5</c:v>
                </c:pt>
              </c:numCache>
            </c:numRef>
          </c:xVal>
          <c:yVal>
            <c:numRef>
              <c:f>'Standards All Runs'!$F$302:$F$309</c:f>
              <c:numCache>
                <c:formatCode>General</c:formatCode>
                <c:ptCount val="8"/>
                <c:pt idx="0">
                  <c:v>0</c:v>
                </c:pt>
                <c:pt idx="1">
                  <c:v>2.7303000000000002</c:v>
                </c:pt>
                <c:pt idx="2">
                  <c:v>6.3930999999999996</c:v>
                </c:pt>
                <c:pt idx="3">
                  <c:v>10.6911</c:v>
                </c:pt>
                <c:pt idx="4">
                  <c:v>15.5349</c:v>
                </c:pt>
                <c:pt idx="5">
                  <c:v>20.525400000000001</c:v>
                </c:pt>
                <c:pt idx="6">
                  <c:v>26.186800000000002</c:v>
                </c:pt>
                <c:pt idx="7">
                  <c:v>47.023699999999998</c:v>
                </c:pt>
              </c:numCache>
            </c:numRef>
          </c:yVal>
          <c:smooth val="0"/>
          <c:extLst>
            <c:ext xmlns:c16="http://schemas.microsoft.com/office/drawing/2014/chart" uri="{C3380CC4-5D6E-409C-BE32-E72D297353CC}">
              <c16:uniqueId val="{00000000-2EF3-704A-9E5B-D6B829CF9391}"/>
            </c:ext>
          </c:extLst>
        </c:ser>
        <c:dLbls>
          <c:showLegendKey val="0"/>
          <c:showVal val="0"/>
          <c:showCatName val="0"/>
          <c:showSerName val="0"/>
          <c:showPercent val="0"/>
          <c:showBubbleSize val="0"/>
        </c:dLbls>
        <c:axId val="1823314112"/>
        <c:axId val="1822809536"/>
      </c:scatterChart>
      <c:valAx>
        <c:axId val="18233141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809536"/>
        <c:crosses val="autoZero"/>
        <c:crossBetween val="midCat"/>
      </c:valAx>
      <c:valAx>
        <c:axId val="1822809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33141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Runs'!$AR$49:$AR$54</c:f>
              <c:numCache>
                <c:formatCode>General</c:formatCode>
                <c:ptCount val="6"/>
                <c:pt idx="0">
                  <c:v>0.1</c:v>
                </c:pt>
                <c:pt idx="1">
                  <c:v>0.5</c:v>
                </c:pt>
                <c:pt idx="2">
                  <c:v>1</c:v>
                </c:pt>
                <c:pt idx="3">
                  <c:v>2.5</c:v>
                </c:pt>
                <c:pt idx="4">
                  <c:v>5</c:v>
                </c:pt>
                <c:pt idx="5">
                  <c:v>10</c:v>
                </c:pt>
              </c:numCache>
            </c:numRef>
          </c:xVal>
          <c:yVal>
            <c:numRef>
              <c:f>'Standards All Runs'!$AZ$49:$AZ$54</c:f>
              <c:numCache>
                <c:formatCode>General</c:formatCode>
                <c:ptCount val="6"/>
                <c:pt idx="0">
                  <c:v>7.4368999999999996</c:v>
                </c:pt>
                <c:pt idx="1">
                  <c:v>46.548099999999998</c:v>
                </c:pt>
                <c:pt idx="2">
                  <c:v>101.99679999999999</c:v>
                </c:pt>
                <c:pt idx="3">
                  <c:v>262.8802</c:v>
                </c:pt>
                <c:pt idx="4">
                  <c:v>533.60329999999999</c:v>
                </c:pt>
                <c:pt idx="5">
                  <c:v>1063.5856000000001</c:v>
                </c:pt>
              </c:numCache>
            </c:numRef>
          </c:yVal>
          <c:smooth val="0"/>
          <c:extLst>
            <c:ext xmlns:c16="http://schemas.microsoft.com/office/drawing/2014/chart" uri="{C3380CC4-5D6E-409C-BE32-E72D297353CC}">
              <c16:uniqueId val="{00000000-6DBA-E440-8048-32B051114F53}"/>
            </c:ext>
          </c:extLst>
        </c:ser>
        <c:dLbls>
          <c:showLegendKey val="0"/>
          <c:showVal val="0"/>
          <c:showCatName val="0"/>
          <c:showSerName val="0"/>
          <c:showPercent val="0"/>
          <c:showBubbleSize val="0"/>
        </c:dLbls>
        <c:axId val="1747924288"/>
        <c:axId val="1747925936"/>
      </c:scatterChart>
      <c:valAx>
        <c:axId val="1747924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925936"/>
        <c:crosses val="autoZero"/>
        <c:crossBetween val="midCat"/>
      </c:valAx>
      <c:valAx>
        <c:axId val="17479259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9242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Runs'!$C$366:$C$372</c:f>
              <c:numCache>
                <c:formatCode>General</c:formatCode>
                <c:ptCount val="7"/>
                <c:pt idx="0">
                  <c:v>0.5</c:v>
                </c:pt>
                <c:pt idx="1">
                  <c:v>1</c:v>
                </c:pt>
                <c:pt idx="2">
                  <c:v>1.5</c:v>
                </c:pt>
                <c:pt idx="3">
                  <c:v>2</c:v>
                </c:pt>
                <c:pt idx="4">
                  <c:v>2.5</c:v>
                </c:pt>
                <c:pt idx="5">
                  <c:v>3</c:v>
                </c:pt>
                <c:pt idx="6">
                  <c:v>5</c:v>
                </c:pt>
              </c:numCache>
            </c:numRef>
          </c:xVal>
          <c:yVal>
            <c:numRef>
              <c:f>'Standards All Runs'!$E$366:$E$372</c:f>
              <c:numCache>
                <c:formatCode>General</c:formatCode>
                <c:ptCount val="7"/>
                <c:pt idx="0">
                  <c:v>2.2473000000000001</c:v>
                </c:pt>
                <c:pt idx="1">
                  <c:v>3.3022</c:v>
                </c:pt>
                <c:pt idx="2">
                  <c:v>4.6561000000000003</c:v>
                </c:pt>
                <c:pt idx="3">
                  <c:v>6.3399000000000001</c:v>
                </c:pt>
                <c:pt idx="4">
                  <c:v>7.2072000000000003</c:v>
                </c:pt>
                <c:pt idx="5">
                  <c:v>9.0458999999999996</c:v>
                </c:pt>
                <c:pt idx="6">
                  <c:v>16.400600000000001</c:v>
                </c:pt>
              </c:numCache>
            </c:numRef>
          </c:yVal>
          <c:smooth val="0"/>
          <c:extLst>
            <c:ext xmlns:c16="http://schemas.microsoft.com/office/drawing/2014/chart" uri="{C3380CC4-5D6E-409C-BE32-E72D297353CC}">
              <c16:uniqueId val="{00000000-D470-2449-B431-060F58E50427}"/>
            </c:ext>
          </c:extLst>
        </c:ser>
        <c:dLbls>
          <c:showLegendKey val="0"/>
          <c:showVal val="0"/>
          <c:showCatName val="0"/>
          <c:showSerName val="0"/>
          <c:showPercent val="0"/>
          <c:showBubbleSize val="0"/>
        </c:dLbls>
        <c:axId val="1291772863"/>
        <c:axId val="1291774511"/>
      </c:scatterChart>
      <c:valAx>
        <c:axId val="12917728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774511"/>
        <c:crosses val="autoZero"/>
        <c:crossBetween val="midCat"/>
      </c:valAx>
      <c:valAx>
        <c:axId val="1291774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77286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Runs'!$C$378:$C$384</c:f>
              <c:numCache>
                <c:formatCode>General</c:formatCode>
                <c:ptCount val="7"/>
                <c:pt idx="0">
                  <c:v>0.5</c:v>
                </c:pt>
                <c:pt idx="1">
                  <c:v>1</c:v>
                </c:pt>
                <c:pt idx="2">
                  <c:v>1.5</c:v>
                </c:pt>
                <c:pt idx="3">
                  <c:v>2</c:v>
                </c:pt>
                <c:pt idx="4">
                  <c:v>2.5</c:v>
                </c:pt>
                <c:pt idx="5">
                  <c:v>3</c:v>
                </c:pt>
                <c:pt idx="6">
                  <c:v>5</c:v>
                </c:pt>
              </c:numCache>
            </c:numRef>
          </c:xVal>
          <c:yVal>
            <c:numRef>
              <c:f>'Standards All Runs'!$E$378:$E$384</c:f>
              <c:numCache>
                <c:formatCode>General</c:formatCode>
                <c:ptCount val="7"/>
                <c:pt idx="0">
                  <c:v>1.3531</c:v>
                </c:pt>
                <c:pt idx="1">
                  <c:v>2.6040999999999999</c:v>
                </c:pt>
                <c:pt idx="2">
                  <c:v>3.7921999999999998</c:v>
                </c:pt>
                <c:pt idx="3">
                  <c:v>5.9473000000000003</c:v>
                </c:pt>
                <c:pt idx="4">
                  <c:v>7.4055</c:v>
                </c:pt>
                <c:pt idx="5">
                  <c:v>8.3612000000000002</c:v>
                </c:pt>
                <c:pt idx="6">
                  <c:v>15.1951</c:v>
                </c:pt>
              </c:numCache>
            </c:numRef>
          </c:yVal>
          <c:smooth val="0"/>
          <c:extLst>
            <c:ext xmlns:c16="http://schemas.microsoft.com/office/drawing/2014/chart" uri="{C3380CC4-5D6E-409C-BE32-E72D297353CC}">
              <c16:uniqueId val="{00000000-8057-1B4C-9BA6-354967F86757}"/>
            </c:ext>
          </c:extLst>
        </c:ser>
        <c:dLbls>
          <c:showLegendKey val="0"/>
          <c:showVal val="0"/>
          <c:showCatName val="0"/>
          <c:showSerName val="0"/>
          <c:showPercent val="0"/>
          <c:showBubbleSize val="0"/>
        </c:dLbls>
        <c:axId val="1033781360"/>
        <c:axId val="1033783008"/>
      </c:scatterChart>
      <c:valAx>
        <c:axId val="10337813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3783008"/>
        <c:crosses val="autoZero"/>
        <c:crossBetween val="midCat"/>
      </c:valAx>
      <c:valAx>
        <c:axId val="1033783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3781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Runs'!$C$390:$C$396</c:f>
              <c:numCache>
                <c:formatCode>General</c:formatCode>
                <c:ptCount val="7"/>
                <c:pt idx="0">
                  <c:v>0.5</c:v>
                </c:pt>
                <c:pt idx="1">
                  <c:v>1</c:v>
                </c:pt>
                <c:pt idx="2">
                  <c:v>1.5</c:v>
                </c:pt>
                <c:pt idx="3">
                  <c:v>2</c:v>
                </c:pt>
                <c:pt idx="4">
                  <c:v>2.5</c:v>
                </c:pt>
                <c:pt idx="5">
                  <c:v>3</c:v>
                </c:pt>
                <c:pt idx="6">
                  <c:v>5</c:v>
                </c:pt>
              </c:numCache>
            </c:numRef>
          </c:xVal>
          <c:yVal>
            <c:numRef>
              <c:f>'Standards All Runs'!$E$390:$E$396</c:f>
              <c:numCache>
                <c:formatCode>General</c:formatCode>
                <c:ptCount val="7"/>
                <c:pt idx="0">
                  <c:v>1.5176000000000001</c:v>
                </c:pt>
                <c:pt idx="1">
                  <c:v>3.2324999999999999</c:v>
                </c:pt>
                <c:pt idx="2">
                  <c:v>3.8254999999999999</c:v>
                </c:pt>
                <c:pt idx="3">
                  <c:v>5.5167000000000002</c:v>
                </c:pt>
                <c:pt idx="4">
                  <c:v>7.7274000000000003</c:v>
                </c:pt>
                <c:pt idx="5">
                  <c:v>9.6874000000000002</c:v>
                </c:pt>
                <c:pt idx="6">
                  <c:v>15.139900000000001</c:v>
                </c:pt>
              </c:numCache>
            </c:numRef>
          </c:yVal>
          <c:smooth val="0"/>
          <c:extLst>
            <c:ext xmlns:c16="http://schemas.microsoft.com/office/drawing/2014/chart" uri="{C3380CC4-5D6E-409C-BE32-E72D297353CC}">
              <c16:uniqueId val="{00000000-5081-4449-960C-0DAA81AC7A8A}"/>
            </c:ext>
          </c:extLst>
        </c:ser>
        <c:dLbls>
          <c:showLegendKey val="0"/>
          <c:showVal val="0"/>
          <c:showCatName val="0"/>
          <c:showSerName val="0"/>
          <c:showPercent val="0"/>
          <c:showBubbleSize val="0"/>
        </c:dLbls>
        <c:axId val="1065229024"/>
        <c:axId val="914310288"/>
      </c:scatterChart>
      <c:valAx>
        <c:axId val="1065229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310288"/>
        <c:crosses val="autoZero"/>
        <c:crossBetween val="midCat"/>
      </c:valAx>
      <c:valAx>
        <c:axId val="914310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522902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Peak</a:t>
            </a:r>
            <a:r>
              <a:rPr lang="en-US" baseline="0"/>
              <a:t> Height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Runs'!$C$404:$C$410</c:f>
              <c:numCache>
                <c:formatCode>General</c:formatCode>
                <c:ptCount val="7"/>
                <c:pt idx="0">
                  <c:v>0.5</c:v>
                </c:pt>
                <c:pt idx="1">
                  <c:v>1</c:v>
                </c:pt>
                <c:pt idx="2">
                  <c:v>1.5</c:v>
                </c:pt>
                <c:pt idx="3">
                  <c:v>2</c:v>
                </c:pt>
                <c:pt idx="4">
                  <c:v>2.5</c:v>
                </c:pt>
                <c:pt idx="5">
                  <c:v>3</c:v>
                </c:pt>
                <c:pt idx="6">
                  <c:v>5</c:v>
                </c:pt>
              </c:numCache>
            </c:numRef>
          </c:xVal>
          <c:yVal>
            <c:numRef>
              <c:f>'Standards All Runs'!$F$404:$F$410</c:f>
              <c:numCache>
                <c:formatCode>General</c:formatCode>
                <c:ptCount val="7"/>
                <c:pt idx="0">
                  <c:v>2.1038999999999999</c:v>
                </c:pt>
                <c:pt idx="1">
                  <c:v>4.7453000000000003</c:v>
                </c:pt>
                <c:pt idx="2">
                  <c:v>7.4535999999999998</c:v>
                </c:pt>
                <c:pt idx="3">
                  <c:v>10.9971</c:v>
                </c:pt>
                <c:pt idx="4">
                  <c:v>14.331899999999999</c:v>
                </c:pt>
                <c:pt idx="5">
                  <c:v>18.640599999999999</c:v>
                </c:pt>
                <c:pt idx="6">
                  <c:v>32.536200000000001</c:v>
                </c:pt>
              </c:numCache>
            </c:numRef>
          </c:yVal>
          <c:smooth val="0"/>
          <c:extLst>
            <c:ext xmlns:c16="http://schemas.microsoft.com/office/drawing/2014/chart" uri="{C3380CC4-5D6E-409C-BE32-E72D297353CC}">
              <c16:uniqueId val="{00000000-D523-0C4E-BDC2-56D5596050EE}"/>
            </c:ext>
          </c:extLst>
        </c:ser>
        <c:dLbls>
          <c:showLegendKey val="0"/>
          <c:showVal val="0"/>
          <c:showCatName val="0"/>
          <c:showSerName val="0"/>
          <c:showPercent val="0"/>
          <c:showBubbleSize val="0"/>
        </c:dLbls>
        <c:axId val="1681363151"/>
        <c:axId val="1681364799"/>
      </c:scatterChart>
      <c:valAx>
        <c:axId val="168136315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1364799"/>
        <c:crosses val="autoZero"/>
        <c:crossBetween val="midCat"/>
      </c:valAx>
      <c:valAx>
        <c:axId val="16813647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8136315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Runs'!$C$404:$C$410</c:f>
              <c:numCache>
                <c:formatCode>General</c:formatCode>
                <c:ptCount val="7"/>
                <c:pt idx="0">
                  <c:v>0.5</c:v>
                </c:pt>
                <c:pt idx="1">
                  <c:v>1</c:v>
                </c:pt>
                <c:pt idx="2">
                  <c:v>1.5</c:v>
                </c:pt>
                <c:pt idx="3">
                  <c:v>2</c:v>
                </c:pt>
                <c:pt idx="4">
                  <c:v>2.5</c:v>
                </c:pt>
                <c:pt idx="5">
                  <c:v>3</c:v>
                </c:pt>
                <c:pt idx="6">
                  <c:v>5</c:v>
                </c:pt>
              </c:numCache>
            </c:numRef>
          </c:xVal>
          <c:yVal>
            <c:numRef>
              <c:f>'Standards All Runs'!$E$404:$E$410</c:f>
              <c:numCache>
                <c:formatCode>General</c:formatCode>
                <c:ptCount val="7"/>
                <c:pt idx="0">
                  <c:v>1.6096999999999999</c:v>
                </c:pt>
                <c:pt idx="1">
                  <c:v>5.0278</c:v>
                </c:pt>
                <c:pt idx="2">
                  <c:v>4.4188000000000001</c:v>
                </c:pt>
                <c:pt idx="3">
                  <c:v>6.3604000000000003</c:v>
                </c:pt>
                <c:pt idx="4">
                  <c:v>7.8672000000000004</c:v>
                </c:pt>
                <c:pt idx="5">
                  <c:v>8.8223000000000003</c:v>
                </c:pt>
                <c:pt idx="6">
                  <c:v>15.5556</c:v>
                </c:pt>
              </c:numCache>
            </c:numRef>
          </c:yVal>
          <c:smooth val="0"/>
          <c:extLst>
            <c:ext xmlns:c16="http://schemas.microsoft.com/office/drawing/2014/chart" uri="{C3380CC4-5D6E-409C-BE32-E72D297353CC}">
              <c16:uniqueId val="{00000000-DA48-FB4B-8F56-DFA1DB7034FD}"/>
            </c:ext>
          </c:extLst>
        </c:ser>
        <c:dLbls>
          <c:showLegendKey val="0"/>
          <c:showVal val="0"/>
          <c:showCatName val="0"/>
          <c:showSerName val="0"/>
          <c:showPercent val="0"/>
          <c:showBubbleSize val="0"/>
        </c:dLbls>
        <c:axId val="1642367423"/>
        <c:axId val="1693030255"/>
      </c:scatterChart>
      <c:valAx>
        <c:axId val="164236742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3030255"/>
        <c:crosses val="autoZero"/>
        <c:crossBetween val="midCat"/>
      </c:valAx>
      <c:valAx>
        <c:axId val="16930302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236742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Runs'!$C$416:$C$422</c:f>
              <c:numCache>
                <c:formatCode>General</c:formatCode>
                <c:ptCount val="7"/>
                <c:pt idx="0">
                  <c:v>0.5</c:v>
                </c:pt>
                <c:pt idx="1">
                  <c:v>1</c:v>
                </c:pt>
                <c:pt idx="2">
                  <c:v>1.5</c:v>
                </c:pt>
                <c:pt idx="3">
                  <c:v>2</c:v>
                </c:pt>
                <c:pt idx="4">
                  <c:v>2.5</c:v>
                </c:pt>
                <c:pt idx="5">
                  <c:v>3</c:v>
                </c:pt>
                <c:pt idx="6">
                  <c:v>5</c:v>
                </c:pt>
              </c:numCache>
            </c:numRef>
          </c:xVal>
          <c:yVal>
            <c:numRef>
              <c:f>'Standards All Runs'!$E$416:$E$422</c:f>
              <c:numCache>
                <c:formatCode>General</c:formatCode>
                <c:ptCount val="7"/>
                <c:pt idx="0">
                  <c:v>1.4382999999999999</c:v>
                </c:pt>
                <c:pt idx="1">
                  <c:v>4.5975999999999999</c:v>
                </c:pt>
                <c:pt idx="2">
                  <c:v>3.4906000000000001</c:v>
                </c:pt>
                <c:pt idx="3">
                  <c:v>6.1864999999999997</c:v>
                </c:pt>
                <c:pt idx="4">
                  <c:v>7.5904999999999996</c:v>
                </c:pt>
                <c:pt idx="5">
                  <c:v>9.5827000000000009</c:v>
                </c:pt>
                <c:pt idx="6">
                  <c:v>14.8782</c:v>
                </c:pt>
              </c:numCache>
            </c:numRef>
          </c:yVal>
          <c:smooth val="0"/>
          <c:extLst>
            <c:ext xmlns:c16="http://schemas.microsoft.com/office/drawing/2014/chart" uri="{C3380CC4-5D6E-409C-BE32-E72D297353CC}">
              <c16:uniqueId val="{00000000-645F-474C-9C65-552C991254D5}"/>
            </c:ext>
          </c:extLst>
        </c:ser>
        <c:ser>
          <c:idx val="1"/>
          <c:order val="1"/>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7.656058617672791E-2"/>
                  <c:y val="0.2403240740740740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Runs'!$S$416:$S$421</c:f>
              <c:numCache>
                <c:formatCode>General</c:formatCode>
                <c:ptCount val="6"/>
                <c:pt idx="0">
                  <c:v>0.5</c:v>
                </c:pt>
                <c:pt idx="1">
                  <c:v>1.5</c:v>
                </c:pt>
                <c:pt idx="2">
                  <c:v>2</c:v>
                </c:pt>
                <c:pt idx="3">
                  <c:v>2.5</c:v>
                </c:pt>
                <c:pt idx="4">
                  <c:v>3</c:v>
                </c:pt>
                <c:pt idx="5">
                  <c:v>5</c:v>
                </c:pt>
              </c:numCache>
            </c:numRef>
          </c:xVal>
          <c:yVal>
            <c:numRef>
              <c:f>'Standards All Runs'!$R$416:$R$421</c:f>
              <c:numCache>
                <c:formatCode>General</c:formatCode>
                <c:ptCount val="6"/>
                <c:pt idx="0">
                  <c:v>1.4382999999999999</c:v>
                </c:pt>
                <c:pt idx="1">
                  <c:v>3.4906000000000001</c:v>
                </c:pt>
                <c:pt idx="2">
                  <c:v>6.1864999999999997</c:v>
                </c:pt>
                <c:pt idx="3">
                  <c:v>7.5904999999999996</c:v>
                </c:pt>
                <c:pt idx="4">
                  <c:v>9.5827000000000009</c:v>
                </c:pt>
                <c:pt idx="5">
                  <c:v>14.8782</c:v>
                </c:pt>
              </c:numCache>
            </c:numRef>
          </c:yVal>
          <c:smooth val="0"/>
          <c:extLst>
            <c:ext xmlns:c16="http://schemas.microsoft.com/office/drawing/2014/chart" uri="{C3380CC4-5D6E-409C-BE32-E72D297353CC}">
              <c16:uniqueId val="{00000004-645F-474C-9C65-552C991254D5}"/>
            </c:ext>
          </c:extLst>
        </c:ser>
        <c:dLbls>
          <c:showLegendKey val="0"/>
          <c:showVal val="0"/>
          <c:showCatName val="0"/>
          <c:showSerName val="0"/>
          <c:showPercent val="0"/>
          <c:showBubbleSize val="0"/>
        </c:dLbls>
        <c:axId val="1131486064"/>
        <c:axId val="1151881344"/>
      </c:scatterChart>
      <c:valAx>
        <c:axId val="11314860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1881344"/>
        <c:crosses val="autoZero"/>
        <c:crossBetween val="midCat"/>
      </c:valAx>
      <c:valAx>
        <c:axId val="1151881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14860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Two</a:t>
            </a:r>
            <a:r>
              <a:rPr lang="en-US" baseline="0"/>
              <a:t> different fluorides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Fluoride Alone</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Runs'!$C$428:$C$434</c:f>
              <c:numCache>
                <c:formatCode>General</c:formatCode>
                <c:ptCount val="7"/>
                <c:pt idx="0">
                  <c:v>0.5</c:v>
                </c:pt>
                <c:pt idx="1">
                  <c:v>1</c:v>
                </c:pt>
                <c:pt idx="2">
                  <c:v>1.5</c:v>
                </c:pt>
                <c:pt idx="3">
                  <c:v>2</c:v>
                </c:pt>
                <c:pt idx="4">
                  <c:v>2.5</c:v>
                </c:pt>
                <c:pt idx="5">
                  <c:v>3</c:v>
                </c:pt>
                <c:pt idx="6">
                  <c:v>5</c:v>
                </c:pt>
              </c:numCache>
            </c:numRef>
          </c:xVal>
          <c:yVal>
            <c:numRef>
              <c:f>'Standards All Runs'!$E$428:$E$434</c:f>
              <c:numCache>
                <c:formatCode>General</c:formatCode>
                <c:ptCount val="7"/>
                <c:pt idx="0">
                  <c:v>2.2953999999999999</c:v>
                </c:pt>
                <c:pt idx="1">
                  <c:v>3.9041999999999999</c:v>
                </c:pt>
                <c:pt idx="2">
                  <c:v>5.2328000000000001</c:v>
                </c:pt>
                <c:pt idx="3">
                  <c:v>6.9383999999999997</c:v>
                </c:pt>
                <c:pt idx="4">
                  <c:v>8.4405000000000001</c:v>
                </c:pt>
                <c:pt idx="5">
                  <c:v>10.419700000000001</c:v>
                </c:pt>
                <c:pt idx="6">
                  <c:v>17.5702</c:v>
                </c:pt>
              </c:numCache>
            </c:numRef>
          </c:yVal>
          <c:smooth val="0"/>
          <c:extLst>
            <c:ext xmlns:c16="http://schemas.microsoft.com/office/drawing/2014/chart" uri="{C3380CC4-5D6E-409C-BE32-E72D297353CC}">
              <c16:uniqueId val="{00000000-2870-814E-8FF5-E3B37432F362}"/>
            </c:ext>
          </c:extLst>
        </c:ser>
        <c:ser>
          <c:idx val="1"/>
          <c:order val="1"/>
          <c:tx>
            <c:v>Fluoride in Acetate</c:v>
          </c:tx>
          <c:spPr>
            <a:ln w="25400" cap="rnd">
              <a:noFill/>
              <a:round/>
            </a:ln>
            <a:effectLst/>
          </c:spPr>
          <c:marker>
            <c:symbol val="circle"/>
            <c:size val="5"/>
            <c:spPr>
              <a:solidFill>
                <a:schemeClr val="accent2"/>
              </a:solidFill>
              <a:ln w="9525">
                <a:solidFill>
                  <a:schemeClr val="accent2"/>
                </a:solidFill>
              </a:ln>
              <a:effectLst/>
            </c:spPr>
          </c:marker>
          <c:xVal>
            <c:numRef>
              <c:f>'Standards All Runs'!$C$439:$C$445</c:f>
              <c:numCache>
                <c:formatCode>General</c:formatCode>
                <c:ptCount val="7"/>
                <c:pt idx="0">
                  <c:v>0.5</c:v>
                </c:pt>
                <c:pt idx="1">
                  <c:v>1</c:v>
                </c:pt>
                <c:pt idx="2">
                  <c:v>1.5</c:v>
                </c:pt>
                <c:pt idx="3">
                  <c:v>2</c:v>
                </c:pt>
                <c:pt idx="4">
                  <c:v>2.5</c:v>
                </c:pt>
                <c:pt idx="5">
                  <c:v>3</c:v>
                </c:pt>
                <c:pt idx="6">
                  <c:v>5</c:v>
                </c:pt>
              </c:numCache>
            </c:numRef>
          </c:xVal>
          <c:yVal>
            <c:numRef>
              <c:f>'Standards All Runs'!$E$439:$E$445</c:f>
              <c:numCache>
                <c:formatCode>General</c:formatCode>
                <c:ptCount val="7"/>
                <c:pt idx="0">
                  <c:v>1.8067</c:v>
                </c:pt>
                <c:pt idx="1">
                  <c:v>3.5110999999999999</c:v>
                </c:pt>
                <c:pt idx="2">
                  <c:v>5.0660999999999996</c:v>
                </c:pt>
                <c:pt idx="3">
                  <c:v>6.6234999999999999</c:v>
                </c:pt>
                <c:pt idx="4">
                  <c:v>8.3516999999999992</c:v>
                </c:pt>
                <c:pt idx="5">
                  <c:v>9.6982999999999997</c:v>
                </c:pt>
                <c:pt idx="6">
                  <c:v>16.492899999999999</c:v>
                </c:pt>
              </c:numCache>
            </c:numRef>
          </c:yVal>
          <c:smooth val="0"/>
          <c:extLst>
            <c:ext xmlns:c16="http://schemas.microsoft.com/office/drawing/2014/chart" uri="{C3380CC4-5D6E-409C-BE32-E72D297353CC}">
              <c16:uniqueId val="{00000002-2870-814E-8FF5-E3B37432F362}"/>
            </c:ext>
          </c:extLst>
        </c:ser>
        <c:dLbls>
          <c:showLegendKey val="0"/>
          <c:showVal val="0"/>
          <c:showCatName val="0"/>
          <c:showSerName val="0"/>
          <c:showPercent val="0"/>
          <c:showBubbleSize val="0"/>
        </c:dLbls>
        <c:axId val="487061072"/>
        <c:axId val="447614688"/>
      </c:scatterChart>
      <c:valAx>
        <c:axId val="4870610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614688"/>
        <c:crosses val="autoZero"/>
        <c:crossBetween val="midCat"/>
      </c:valAx>
      <c:valAx>
        <c:axId val="447614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70610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Cl&amp;</a:t>
            </a:r>
            <a:r>
              <a:rPr lang="en-US" baseline="0"/>
              <a:t> SO4</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Cl-</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Runs'!$C$446:$C$451</c:f>
              <c:numCache>
                <c:formatCode>General</c:formatCode>
                <c:ptCount val="6"/>
                <c:pt idx="0">
                  <c:v>1</c:v>
                </c:pt>
                <c:pt idx="1">
                  <c:v>1.5</c:v>
                </c:pt>
                <c:pt idx="2">
                  <c:v>2</c:v>
                </c:pt>
                <c:pt idx="3">
                  <c:v>2.5</c:v>
                </c:pt>
                <c:pt idx="4">
                  <c:v>3</c:v>
                </c:pt>
                <c:pt idx="5">
                  <c:v>5</c:v>
                </c:pt>
              </c:numCache>
            </c:numRef>
          </c:xVal>
          <c:yVal>
            <c:numRef>
              <c:f>'Standards All Runs'!$I$446:$I$451</c:f>
              <c:numCache>
                <c:formatCode>General</c:formatCode>
                <c:ptCount val="6"/>
                <c:pt idx="0">
                  <c:v>2.2698999999999998</c:v>
                </c:pt>
                <c:pt idx="1">
                  <c:v>3.3075000000000001</c:v>
                </c:pt>
                <c:pt idx="2">
                  <c:v>3.8687</c:v>
                </c:pt>
                <c:pt idx="3">
                  <c:v>5.6950000000000003</c:v>
                </c:pt>
                <c:pt idx="4">
                  <c:v>7.1086999999999998</c:v>
                </c:pt>
                <c:pt idx="5">
                  <c:v>9.3500999999999994</c:v>
                </c:pt>
              </c:numCache>
            </c:numRef>
          </c:yVal>
          <c:smooth val="0"/>
          <c:extLst>
            <c:ext xmlns:c16="http://schemas.microsoft.com/office/drawing/2014/chart" uri="{C3380CC4-5D6E-409C-BE32-E72D297353CC}">
              <c16:uniqueId val="{00000000-6080-BF41-B3FB-421CBA90DCB0}"/>
            </c:ext>
          </c:extLst>
        </c:ser>
        <c:ser>
          <c:idx val="1"/>
          <c:order val="1"/>
          <c:tx>
            <c:v>SO42-</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Runs'!$C$446:$C$451</c:f>
              <c:numCache>
                <c:formatCode>General</c:formatCode>
                <c:ptCount val="6"/>
                <c:pt idx="0">
                  <c:v>1</c:v>
                </c:pt>
                <c:pt idx="1">
                  <c:v>1.5</c:v>
                </c:pt>
                <c:pt idx="2">
                  <c:v>2</c:v>
                </c:pt>
                <c:pt idx="3">
                  <c:v>2.5</c:v>
                </c:pt>
                <c:pt idx="4">
                  <c:v>3</c:v>
                </c:pt>
                <c:pt idx="5">
                  <c:v>5</c:v>
                </c:pt>
              </c:numCache>
            </c:numRef>
          </c:xVal>
          <c:yVal>
            <c:numRef>
              <c:f>'Standards All Runs'!$R$446:$R$451</c:f>
              <c:numCache>
                <c:formatCode>General</c:formatCode>
                <c:ptCount val="6"/>
                <c:pt idx="0">
                  <c:v>1.4846999999999999</c:v>
                </c:pt>
                <c:pt idx="1">
                  <c:v>2.5653000000000001</c:v>
                </c:pt>
                <c:pt idx="2">
                  <c:v>2.4632000000000001</c:v>
                </c:pt>
                <c:pt idx="3">
                  <c:v>3.1419000000000001</c:v>
                </c:pt>
                <c:pt idx="4">
                  <c:v>3.7913999999999999</c:v>
                </c:pt>
                <c:pt idx="5">
                  <c:v>5.2526000000000002</c:v>
                </c:pt>
              </c:numCache>
            </c:numRef>
          </c:yVal>
          <c:smooth val="0"/>
          <c:extLst>
            <c:ext xmlns:c16="http://schemas.microsoft.com/office/drawing/2014/chart" uri="{C3380CC4-5D6E-409C-BE32-E72D297353CC}">
              <c16:uniqueId val="{00000002-6080-BF41-B3FB-421CBA90DCB0}"/>
            </c:ext>
          </c:extLst>
        </c:ser>
        <c:dLbls>
          <c:showLegendKey val="0"/>
          <c:showVal val="0"/>
          <c:showCatName val="0"/>
          <c:showSerName val="0"/>
          <c:showPercent val="0"/>
          <c:showBubbleSize val="0"/>
        </c:dLbls>
        <c:axId val="504118304"/>
        <c:axId val="504140592"/>
      </c:scatterChart>
      <c:valAx>
        <c:axId val="504118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140592"/>
        <c:crosses val="autoZero"/>
        <c:crossBetween val="midCat"/>
      </c:valAx>
      <c:valAx>
        <c:axId val="504140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118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9/16/21</a:t>
            </a:r>
            <a:r>
              <a:rPr lang="en-US" baseline="0"/>
              <a:t> Standards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Runs'!$C$79:$C$88</c:f>
              <c:numCache>
                <c:formatCode>General</c:formatCode>
                <c:ptCount val="10"/>
                <c:pt idx="0">
                  <c:v>0</c:v>
                </c:pt>
                <c:pt idx="1">
                  <c:v>0.5</c:v>
                </c:pt>
                <c:pt idx="2">
                  <c:v>1</c:v>
                </c:pt>
                <c:pt idx="3">
                  <c:v>1.5</c:v>
                </c:pt>
                <c:pt idx="4">
                  <c:v>2</c:v>
                </c:pt>
                <c:pt idx="5">
                  <c:v>2.5</c:v>
                </c:pt>
                <c:pt idx="6">
                  <c:v>3</c:v>
                </c:pt>
                <c:pt idx="7">
                  <c:v>5</c:v>
                </c:pt>
                <c:pt idx="8">
                  <c:v>1.5</c:v>
                </c:pt>
                <c:pt idx="9">
                  <c:v>1.5</c:v>
                </c:pt>
              </c:numCache>
            </c:numRef>
          </c:xVal>
          <c:yVal>
            <c:numRef>
              <c:f>'Standards All Runs'!$F$79:$F$88</c:f>
              <c:numCache>
                <c:formatCode>General</c:formatCode>
                <c:ptCount val="10"/>
                <c:pt idx="0">
                  <c:v>0</c:v>
                </c:pt>
                <c:pt idx="1">
                  <c:v>9.1759000000000004</c:v>
                </c:pt>
                <c:pt idx="2">
                  <c:v>19.7806</c:v>
                </c:pt>
                <c:pt idx="3">
                  <c:v>30.506799999999998</c:v>
                </c:pt>
                <c:pt idx="4">
                  <c:v>41.334200000000003</c:v>
                </c:pt>
                <c:pt idx="5">
                  <c:v>50.879100000000001</c:v>
                </c:pt>
                <c:pt idx="6">
                  <c:v>61.409199999999998</c:v>
                </c:pt>
                <c:pt idx="7">
                  <c:v>93.518199999999993</c:v>
                </c:pt>
                <c:pt idx="8">
                  <c:v>31.383600000000001</c:v>
                </c:pt>
                <c:pt idx="9">
                  <c:v>31.907900000000001</c:v>
                </c:pt>
              </c:numCache>
            </c:numRef>
          </c:yVal>
          <c:smooth val="0"/>
          <c:extLst>
            <c:ext xmlns:c16="http://schemas.microsoft.com/office/drawing/2014/chart" uri="{C3380CC4-5D6E-409C-BE32-E72D297353CC}">
              <c16:uniqueId val="{00000000-9B40-7F4F-A227-5F18C6C26447}"/>
            </c:ext>
          </c:extLst>
        </c:ser>
        <c:ser>
          <c:idx val="1"/>
          <c:order val="1"/>
          <c:tx>
            <c:v>Area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Runs'!$C$80:$C$88</c:f>
              <c:numCache>
                <c:formatCode>General</c:formatCode>
                <c:ptCount val="9"/>
                <c:pt idx="0">
                  <c:v>0.5</c:v>
                </c:pt>
                <c:pt idx="1">
                  <c:v>1</c:v>
                </c:pt>
                <c:pt idx="2">
                  <c:v>1.5</c:v>
                </c:pt>
                <c:pt idx="3">
                  <c:v>2</c:v>
                </c:pt>
                <c:pt idx="4">
                  <c:v>2.5</c:v>
                </c:pt>
                <c:pt idx="5">
                  <c:v>3</c:v>
                </c:pt>
                <c:pt idx="6">
                  <c:v>5</c:v>
                </c:pt>
                <c:pt idx="7">
                  <c:v>1.5</c:v>
                </c:pt>
                <c:pt idx="8">
                  <c:v>1.5</c:v>
                </c:pt>
              </c:numCache>
            </c:numRef>
          </c:xVal>
          <c:yVal>
            <c:numRef>
              <c:f>'Standards All Runs'!$E$80:$E$88</c:f>
              <c:numCache>
                <c:formatCode>General</c:formatCode>
                <c:ptCount val="9"/>
                <c:pt idx="0">
                  <c:v>1.5857000000000001</c:v>
                </c:pt>
                <c:pt idx="1">
                  <c:v>3.2218</c:v>
                </c:pt>
                <c:pt idx="2">
                  <c:v>4.8882000000000003</c:v>
                </c:pt>
                <c:pt idx="3">
                  <c:v>6.5903999999999998</c:v>
                </c:pt>
                <c:pt idx="4">
                  <c:v>8.1747999999999994</c:v>
                </c:pt>
                <c:pt idx="5">
                  <c:v>9.9586000000000006</c:v>
                </c:pt>
                <c:pt idx="6">
                  <c:v>16.467600000000001</c:v>
                </c:pt>
                <c:pt idx="7">
                  <c:v>4.8940000000000001</c:v>
                </c:pt>
                <c:pt idx="8">
                  <c:v>4.9020000000000001</c:v>
                </c:pt>
              </c:numCache>
            </c:numRef>
          </c:yVal>
          <c:smooth val="0"/>
          <c:extLst>
            <c:ext xmlns:c16="http://schemas.microsoft.com/office/drawing/2014/chart" uri="{C3380CC4-5D6E-409C-BE32-E72D297353CC}">
              <c16:uniqueId val="{00000002-9B40-7F4F-A227-5F18C6C26447}"/>
            </c:ext>
          </c:extLst>
        </c:ser>
        <c:dLbls>
          <c:showLegendKey val="0"/>
          <c:showVal val="0"/>
          <c:showCatName val="0"/>
          <c:showSerName val="0"/>
          <c:showPercent val="0"/>
          <c:showBubbleSize val="0"/>
        </c:dLbls>
        <c:axId val="877988479"/>
        <c:axId val="491615679"/>
      </c:scatterChart>
      <c:valAx>
        <c:axId val="87798847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1615679"/>
        <c:crosses val="autoZero"/>
        <c:crossBetween val="midCat"/>
      </c:valAx>
      <c:valAx>
        <c:axId val="49161567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79884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t>
            </a:r>
            <a:r>
              <a:rPr lang="en-US" baseline="0"/>
              <a:t> &amp; SO4 All Standards Ever</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Cl-</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Runs'!$W$427:$W$447</c:f>
              <c:numCache>
                <c:formatCode>General</c:formatCode>
                <c:ptCount val="21"/>
                <c:pt idx="0">
                  <c:v>1</c:v>
                </c:pt>
                <c:pt idx="1">
                  <c:v>1.5</c:v>
                </c:pt>
                <c:pt idx="2">
                  <c:v>2</c:v>
                </c:pt>
                <c:pt idx="3">
                  <c:v>2.5</c:v>
                </c:pt>
                <c:pt idx="4">
                  <c:v>3</c:v>
                </c:pt>
                <c:pt idx="5">
                  <c:v>5</c:v>
                </c:pt>
                <c:pt idx="6">
                  <c:v>1</c:v>
                </c:pt>
                <c:pt idx="7">
                  <c:v>5</c:v>
                </c:pt>
                <c:pt idx="8">
                  <c:v>10</c:v>
                </c:pt>
                <c:pt idx="9">
                  <c:v>5</c:v>
                </c:pt>
                <c:pt idx="10">
                  <c:v>10</c:v>
                </c:pt>
                <c:pt idx="11">
                  <c:v>5</c:v>
                </c:pt>
                <c:pt idx="12">
                  <c:v>20</c:v>
                </c:pt>
                <c:pt idx="13">
                  <c:v>40</c:v>
                </c:pt>
                <c:pt idx="14">
                  <c:v>1</c:v>
                </c:pt>
                <c:pt idx="15">
                  <c:v>5</c:v>
                </c:pt>
                <c:pt idx="16">
                  <c:v>10</c:v>
                </c:pt>
                <c:pt idx="17">
                  <c:v>20</c:v>
                </c:pt>
                <c:pt idx="18">
                  <c:v>40</c:v>
                </c:pt>
                <c:pt idx="19">
                  <c:v>60</c:v>
                </c:pt>
                <c:pt idx="20">
                  <c:v>80</c:v>
                </c:pt>
              </c:numCache>
            </c:numRef>
          </c:xVal>
          <c:yVal>
            <c:numRef>
              <c:f>'Standards All Runs'!$X$427:$X$447</c:f>
              <c:numCache>
                <c:formatCode>General</c:formatCode>
                <c:ptCount val="21"/>
                <c:pt idx="0">
                  <c:v>2.2698999999999998</c:v>
                </c:pt>
                <c:pt idx="1">
                  <c:v>3.3075000000000001</c:v>
                </c:pt>
                <c:pt idx="2">
                  <c:v>3.8687</c:v>
                </c:pt>
                <c:pt idx="3">
                  <c:v>5.6950000000000003</c:v>
                </c:pt>
                <c:pt idx="4">
                  <c:v>7.1086999999999998</c:v>
                </c:pt>
                <c:pt idx="5">
                  <c:v>9.3500999999999994</c:v>
                </c:pt>
                <c:pt idx="6">
                  <c:v>2.3170999999999999</c:v>
                </c:pt>
                <c:pt idx="7">
                  <c:v>13.9841</c:v>
                </c:pt>
                <c:pt idx="8">
                  <c:v>28.361000000000001</c:v>
                </c:pt>
                <c:pt idx="9">
                  <c:v>2.3052999999999999</c:v>
                </c:pt>
                <c:pt idx="10">
                  <c:v>14.1317</c:v>
                </c:pt>
                <c:pt idx="11">
                  <c:v>13.7662</c:v>
                </c:pt>
                <c:pt idx="12">
                  <c:v>53.833599999999997</c:v>
                </c:pt>
                <c:pt idx="13">
                  <c:v>116.2546</c:v>
                </c:pt>
                <c:pt idx="14">
                  <c:v>1.9668000000000001</c:v>
                </c:pt>
                <c:pt idx="15">
                  <c:v>11.462</c:v>
                </c:pt>
                <c:pt idx="16">
                  <c:v>27.633400000000002</c:v>
                </c:pt>
                <c:pt idx="17">
                  <c:v>47.516399999999997</c:v>
                </c:pt>
                <c:pt idx="18">
                  <c:v>115.07340000000001</c:v>
                </c:pt>
                <c:pt idx="19">
                  <c:v>174.03460000000001</c:v>
                </c:pt>
                <c:pt idx="20">
                  <c:v>229.47839999999999</c:v>
                </c:pt>
              </c:numCache>
            </c:numRef>
          </c:yVal>
          <c:smooth val="0"/>
          <c:extLst>
            <c:ext xmlns:c16="http://schemas.microsoft.com/office/drawing/2014/chart" uri="{C3380CC4-5D6E-409C-BE32-E72D297353CC}">
              <c16:uniqueId val="{00000000-3F11-7E40-942A-DE9EBA95AAE9}"/>
            </c:ext>
          </c:extLst>
        </c:ser>
        <c:ser>
          <c:idx val="1"/>
          <c:order val="1"/>
          <c:tx>
            <c:v>SO4-</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Runs'!$W$427:$W$447</c:f>
              <c:numCache>
                <c:formatCode>General</c:formatCode>
                <c:ptCount val="21"/>
                <c:pt idx="0">
                  <c:v>1</c:v>
                </c:pt>
                <c:pt idx="1">
                  <c:v>1.5</c:v>
                </c:pt>
                <c:pt idx="2">
                  <c:v>2</c:v>
                </c:pt>
                <c:pt idx="3">
                  <c:v>2.5</c:v>
                </c:pt>
                <c:pt idx="4">
                  <c:v>3</c:v>
                </c:pt>
                <c:pt idx="5">
                  <c:v>5</c:v>
                </c:pt>
                <c:pt idx="6">
                  <c:v>1</c:v>
                </c:pt>
                <c:pt idx="7">
                  <c:v>5</c:v>
                </c:pt>
                <c:pt idx="8">
                  <c:v>10</c:v>
                </c:pt>
                <c:pt idx="9">
                  <c:v>5</c:v>
                </c:pt>
                <c:pt idx="10">
                  <c:v>10</c:v>
                </c:pt>
                <c:pt idx="11">
                  <c:v>5</c:v>
                </c:pt>
                <c:pt idx="12">
                  <c:v>20</c:v>
                </c:pt>
                <c:pt idx="13">
                  <c:v>40</c:v>
                </c:pt>
                <c:pt idx="14">
                  <c:v>1</c:v>
                </c:pt>
                <c:pt idx="15">
                  <c:v>5</c:v>
                </c:pt>
                <c:pt idx="16">
                  <c:v>10</c:v>
                </c:pt>
                <c:pt idx="17">
                  <c:v>20</c:v>
                </c:pt>
                <c:pt idx="18">
                  <c:v>40</c:v>
                </c:pt>
                <c:pt idx="19">
                  <c:v>60</c:v>
                </c:pt>
                <c:pt idx="20">
                  <c:v>80</c:v>
                </c:pt>
              </c:numCache>
            </c:numRef>
          </c:xVal>
          <c:yVal>
            <c:numRef>
              <c:f>'Standards All Runs'!$Y$427:$Y$447</c:f>
              <c:numCache>
                <c:formatCode>General</c:formatCode>
                <c:ptCount val="21"/>
                <c:pt idx="0">
                  <c:v>1.4846999999999999</c:v>
                </c:pt>
                <c:pt idx="1">
                  <c:v>2.5653000000000001</c:v>
                </c:pt>
                <c:pt idx="2">
                  <c:v>2.4632000000000001</c:v>
                </c:pt>
                <c:pt idx="3">
                  <c:v>3.1419000000000001</c:v>
                </c:pt>
                <c:pt idx="4">
                  <c:v>3.7913999999999999</c:v>
                </c:pt>
                <c:pt idx="5">
                  <c:v>5.2526000000000002</c:v>
                </c:pt>
                <c:pt idx="6">
                  <c:v>1.5482</c:v>
                </c:pt>
                <c:pt idx="7">
                  <c:v>7.9116999999999997</c:v>
                </c:pt>
                <c:pt idx="8">
                  <c:v>17.047699999999999</c:v>
                </c:pt>
                <c:pt idx="9">
                  <c:v>1.4459</c:v>
                </c:pt>
                <c:pt idx="10">
                  <c:v>7.9931999999999999</c:v>
                </c:pt>
                <c:pt idx="11">
                  <c:v>7.7262000000000004</c:v>
                </c:pt>
                <c:pt idx="12">
                  <c:v>33.367600000000003</c:v>
                </c:pt>
                <c:pt idx="13">
                  <c:v>76.029799999999994</c:v>
                </c:pt>
                <c:pt idx="14">
                  <c:v>1.4109</c:v>
                </c:pt>
                <c:pt idx="15">
                  <c:v>7.1562999999999999</c:v>
                </c:pt>
                <c:pt idx="16">
                  <c:v>16.5915</c:v>
                </c:pt>
                <c:pt idx="17">
                  <c:v>29.835699999999999</c:v>
                </c:pt>
                <c:pt idx="18">
                  <c:v>76.112300000000005</c:v>
                </c:pt>
                <c:pt idx="19">
                  <c:v>115.1576</c:v>
                </c:pt>
                <c:pt idx="20">
                  <c:v>154.78370000000001</c:v>
                </c:pt>
              </c:numCache>
            </c:numRef>
          </c:yVal>
          <c:smooth val="0"/>
          <c:extLst>
            <c:ext xmlns:c16="http://schemas.microsoft.com/office/drawing/2014/chart" uri="{C3380CC4-5D6E-409C-BE32-E72D297353CC}">
              <c16:uniqueId val="{00000002-3F11-7E40-942A-DE9EBA95AAE9}"/>
            </c:ext>
          </c:extLst>
        </c:ser>
        <c:dLbls>
          <c:showLegendKey val="0"/>
          <c:showVal val="0"/>
          <c:showCatName val="0"/>
          <c:showSerName val="0"/>
          <c:showPercent val="0"/>
          <c:showBubbleSize val="0"/>
        </c:dLbls>
        <c:axId val="538252304"/>
        <c:axId val="538580640"/>
      </c:scatterChart>
      <c:valAx>
        <c:axId val="5382523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580640"/>
        <c:crosses val="autoZero"/>
        <c:crossBetween val="midCat"/>
      </c:valAx>
      <c:valAx>
        <c:axId val="538580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825230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All</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Runs'!$C$455:$C$461</c:f>
              <c:numCache>
                <c:formatCode>General</c:formatCode>
                <c:ptCount val="7"/>
                <c:pt idx="0">
                  <c:v>0.5</c:v>
                </c:pt>
                <c:pt idx="1">
                  <c:v>1</c:v>
                </c:pt>
                <c:pt idx="2">
                  <c:v>1.5</c:v>
                </c:pt>
                <c:pt idx="3">
                  <c:v>2</c:v>
                </c:pt>
                <c:pt idx="4">
                  <c:v>2.5</c:v>
                </c:pt>
                <c:pt idx="5">
                  <c:v>3</c:v>
                </c:pt>
                <c:pt idx="6">
                  <c:v>5</c:v>
                </c:pt>
              </c:numCache>
            </c:numRef>
          </c:xVal>
          <c:yVal>
            <c:numRef>
              <c:f>'Standards All Runs'!$E$455:$E$461</c:f>
              <c:numCache>
                <c:formatCode>General</c:formatCode>
                <c:ptCount val="7"/>
                <c:pt idx="0">
                  <c:v>3.1027999999999998</c:v>
                </c:pt>
                <c:pt idx="1">
                  <c:v>2.2065000000000001</c:v>
                </c:pt>
                <c:pt idx="2">
                  <c:v>5.1421000000000001</c:v>
                </c:pt>
                <c:pt idx="3">
                  <c:v>7.6631</c:v>
                </c:pt>
                <c:pt idx="4">
                  <c:v>9.2539999999999996</c:v>
                </c:pt>
                <c:pt idx="5">
                  <c:v>11.5947</c:v>
                </c:pt>
                <c:pt idx="6">
                  <c:v>17.204999999999998</c:v>
                </c:pt>
              </c:numCache>
            </c:numRef>
          </c:yVal>
          <c:smooth val="0"/>
          <c:extLst>
            <c:ext xmlns:c16="http://schemas.microsoft.com/office/drawing/2014/chart" uri="{C3380CC4-5D6E-409C-BE32-E72D297353CC}">
              <c16:uniqueId val="{00000000-82A7-5344-8959-94BD079A81B4}"/>
            </c:ext>
          </c:extLst>
        </c:ser>
        <c:ser>
          <c:idx val="1"/>
          <c:order val="1"/>
          <c:tx>
            <c:v>All but 1</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8.1352143482064737E-2"/>
                  <c:y val="0.3111096529600466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Runs'!$Q$455:$Q$460</c:f>
              <c:numCache>
                <c:formatCode>General</c:formatCode>
                <c:ptCount val="6"/>
                <c:pt idx="0">
                  <c:v>0.5</c:v>
                </c:pt>
                <c:pt idx="1">
                  <c:v>1.5</c:v>
                </c:pt>
                <c:pt idx="2">
                  <c:v>2</c:v>
                </c:pt>
                <c:pt idx="3">
                  <c:v>2.5</c:v>
                </c:pt>
                <c:pt idx="4">
                  <c:v>3</c:v>
                </c:pt>
                <c:pt idx="5">
                  <c:v>5</c:v>
                </c:pt>
              </c:numCache>
            </c:numRef>
          </c:xVal>
          <c:yVal>
            <c:numRef>
              <c:f>'Standards All Runs'!$R$455:$R$460</c:f>
              <c:numCache>
                <c:formatCode>General</c:formatCode>
                <c:ptCount val="6"/>
                <c:pt idx="0">
                  <c:v>3.1027999999999998</c:v>
                </c:pt>
                <c:pt idx="1">
                  <c:v>5.1421000000000001</c:v>
                </c:pt>
                <c:pt idx="2">
                  <c:v>7.6631</c:v>
                </c:pt>
                <c:pt idx="3">
                  <c:v>9.2539999999999996</c:v>
                </c:pt>
                <c:pt idx="4">
                  <c:v>11.5947</c:v>
                </c:pt>
                <c:pt idx="5">
                  <c:v>17.204999999999998</c:v>
                </c:pt>
              </c:numCache>
            </c:numRef>
          </c:yVal>
          <c:smooth val="0"/>
          <c:extLst>
            <c:ext xmlns:c16="http://schemas.microsoft.com/office/drawing/2014/chart" uri="{C3380CC4-5D6E-409C-BE32-E72D297353CC}">
              <c16:uniqueId val="{00000003-82A7-5344-8959-94BD079A81B4}"/>
            </c:ext>
          </c:extLst>
        </c:ser>
        <c:dLbls>
          <c:showLegendKey val="0"/>
          <c:showVal val="0"/>
          <c:showCatName val="0"/>
          <c:showSerName val="0"/>
          <c:showPercent val="0"/>
          <c:showBubbleSize val="0"/>
        </c:dLbls>
        <c:axId val="900155088"/>
        <c:axId val="878693104"/>
      </c:scatterChart>
      <c:valAx>
        <c:axId val="9001550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8693104"/>
        <c:crosses val="autoZero"/>
        <c:crossBetween val="midCat"/>
      </c:valAx>
      <c:valAx>
        <c:axId val="878693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5508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Time 9.8min</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Runs'!$AR$61:$AR$66</c:f>
              <c:numCache>
                <c:formatCode>General</c:formatCode>
                <c:ptCount val="6"/>
                <c:pt idx="0">
                  <c:v>0.1</c:v>
                </c:pt>
                <c:pt idx="1">
                  <c:v>0.5</c:v>
                </c:pt>
                <c:pt idx="2">
                  <c:v>1</c:v>
                </c:pt>
                <c:pt idx="3">
                  <c:v>2.5</c:v>
                </c:pt>
                <c:pt idx="4">
                  <c:v>5</c:v>
                </c:pt>
                <c:pt idx="5">
                  <c:v>10</c:v>
                </c:pt>
              </c:numCache>
            </c:numRef>
          </c:xVal>
          <c:yVal>
            <c:numRef>
              <c:f>'Standards All Runs'!$AZ$61:$AZ$66</c:f>
              <c:numCache>
                <c:formatCode>General</c:formatCode>
                <c:ptCount val="6"/>
                <c:pt idx="0">
                  <c:v>3.7499999999999999E-2</c:v>
                </c:pt>
                <c:pt idx="1">
                  <c:v>0.2495</c:v>
                </c:pt>
                <c:pt idx="2">
                  <c:v>0.29210000000000003</c:v>
                </c:pt>
                <c:pt idx="3">
                  <c:v>0.6663</c:v>
                </c:pt>
                <c:pt idx="4">
                  <c:v>1.5703</c:v>
                </c:pt>
                <c:pt idx="5">
                  <c:v>2.7429999999999999</c:v>
                </c:pt>
              </c:numCache>
            </c:numRef>
          </c:yVal>
          <c:smooth val="0"/>
          <c:extLst>
            <c:ext xmlns:c16="http://schemas.microsoft.com/office/drawing/2014/chart" uri="{C3380CC4-5D6E-409C-BE32-E72D297353CC}">
              <c16:uniqueId val="{00000000-D0AB-5B46-915A-7BF9EE22EA38}"/>
            </c:ext>
          </c:extLst>
        </c:ser>
        <c:dLbls>
          <c:showLegendKey val="0"/>
          <c:showVal val="0"/>
          <c:showCatName val="0"/>
          <c:showSerName val="0"/>
          <c:showPercent val="0"/>
          <c:showBubbleSize val="0"/>
        </c:dLbls>
        <c:axId val="1103339215"/>
        <c:axId val="1133911935"/>
      </c:scatterChart>
      <c:valAx>
        <c:axId val="11033392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911935"/>
        <c:crosses val="autoZero"/>
        <c:crossBetween val="midCat"/>
      </c:valAx>
      <c:valAx>
        <c:axId val="11339119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33392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Time 8.8min</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Runs'!$AR$61:$AR$66</c:f>
              <c:numCache>
                <c:formatCode>General</c:formatCode>
                <c:ptCount val="6"/>
                <c:pt idx="0">
                  <c:v>0.1</c:v>
                </c:pt>
                <c:pt idx="1">
                  <c:v>0.5</c:v>
                </c:pt>
                <c:pt idx="2">
                  <c:v>1</c:v>
                </c:pt>
                <c:pt idx="3">
                  <c:v>2.5</c:v>
                </c:pt>
                <c:pt idx="4">
                  <c:v>5</c:v>
                </c:pt>
                <c:pt idx="5">
                  <c:v>10</c:v>
                </c:pt>
              </c:numCache>
            </c:numRef>
          </c:xVal>
          <c:yVal>
            <c:numRef>
              <c:f>'Standards All Runs'!$AW$61:$AW$66</c:f>
              <c:numCache>
                <c:formatCode>General</c:formatCode>
                <c:ptCount val="6"/>
                <c:pt idx="0">
                  <c:v>7.8265000000000002</c:v>
                </c:pt>
                <c:pt idx="1">
                  <c:v>50.673900000000003</c:v>
                </c:pt>
                <c:pt idx="2">
                  <c:v>108.38800000000001</c:v>
                </c:pt>
                <c:pt idx="3">
                  <c:v>290.11079999999998</c:v>
                </c:pt>
                <c:pt idx="4">
                  <c:v>568.46950000000004</c:v>
                </c:pt>
                <c:pt idx="5">
                  <c:v>1065.6767</c:v>
                </c:pt>
              </c:numCache>
            </c:numRef>
          </c:yVal>
          <c:smooth val="0"/>
          <c:extLst>
            <c:ext xmlns:c16="http://schemas.microsoft.com/office/drawing/2014/chart" uri="{C3380CC4-5D6E-409C-BE32-E72D297353CC}">
              <c16:uniqueId val="{00000000-7D90-B241-B2E9-D6A84A8D7977}"/>
            </c:ext>
          </c:extLst>
        </c:ser>
        <c:dLbls>
          <c:showLegendKey val="0"/>
          <c:showVal val="0"/>
          <c:showCatName val="0"/>
          <c:showSerName val="0"/>
          <c:showPercent val="0"/>
          <c:showBubbleSize val="0"/>
        </c:dLbls>
        <c:axId val="1135694383"/>
        <c:axId val="1101459407"/>
      </c:scatterChart>
      <c:valAx>
        <c:axId val="11356943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1459407"/>
        <c:crosses val="autoZero"/>
        <c:crossBetween val="midCat"/>
      </c:valAx>
      <c:valAx>
        <c:axId val="11014594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56943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Runs'!$C$467:$C$473</c:f>
              <c:numCache>
                <c:formatCode>General</c:formatCode>
                <c:ptCount val="7"/>
                <c:pt idx="0">
                  <c:v>0.5</c:v>
                </c:pt>
                <c:pt idx="1">
                  <c:v>1</c:v>
                </c:pt>
                <c:pt idx="2">
                  <c:v>1.5</c:v>
                </c:pt>
                <c:pt idx="3">
                  <c:v>2</c:v>
                </c:pt>
                <c:pt idx="4">
                  <c:v>2.5</c:v>
                </c:pt>
                <c:pt idx="5">
                  <c:v>3</c:v>
                </c:pt>
                <c:pt idx="6">
                  <c:v>5</c:v>
                </c:pt>
              </c:numCache>
            </c:numRef>
          </c:xVal>
          <c:yVal>
            <c:numRef>
              <c:f>'Standards All Runs'!$E$467:$E$473</c:f>
              <c:numCache>
                <c:formatCode>General</c:formatCode>
                <c:ptCount val="7"/>
                <c:pt idx="0">
                  <c:v>3.0449999999999999</c:v>
                </c:pt>
                <c:pt idx="1">
                  <c:v>4.4946999999999999</c:v>
                </c:pt>
                <c:pt idx="2">
                  <c:v>6.2382</c:v>
                </c:pt>
                <c:pt idx="3">
                  <c:v>7.9471999999999996</c:v>
                </c:pt>
                <c:pt idx="4">
                  <c:v>9.6823999999999995</c:v>
                </c:pt>
                <c:pt idx="5">
                  <c:v>11.931100000000001</c:v>
                </c:pt>
                <c:pt idx="6">
                  <c:v>17.3491</c:v>
                </c:pt>
              </c:numCache>
            </c:numRef>
          </c:yVal>
          <c:smooth val="0"/>
          <c:extLst>
            <c:ext xmlns:c16="http://schemas.microsoft.com/office/drawing/2014/chart" uri="{C3380CC4-5D6E-409C-BE32-E72D297353CC}">
              <c16:uniqueId val="{00000000-EE5A-0949-B7DA-C4D64AD85923}"/>
            </c:ext>
          </c:extLst>
        </c:ser>
        <c:dLbls>
          <c:showLegendKey val="0"/>
          <c:showVal val="0"/>
          <c:showCatName val="0"/>
          <c:showSerName val="0"/>
          <c:showPercent val="0"/>
          <c:showBubbleSize val="0"/>
        </c:dLbls>
        <c:axId val="468258255"/>
        <c:axId val="468240399"/>
      </c:scatterChart>
      <c:valAx>
        <c:axId val="46825825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240399"/>
        <c:crosses val="autoZero"/>
        <c:crossBetween val="midCat"/>
      </c:valAx>
      <c:valAx>
        <c:axId val="4682403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2582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19 5 22</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Runs'!$C$479:$C$485</c:f>
              <c:numCache>
                <c:formatCode>General</c:formatCode>
                <c:ptCount val="7"/>
                <c:pt idx="0">
                  <c:v>0.5</c:v>
                </c:pt>
                <c:pt idx="1">
                  <c:v>1</c:v>
                </c:pt>
                <c:pt idx="2">
                  <c:v>1.5</c:v>
                </c:pt>
                <c:pt idx="3">
                  <c:v>2</c:v>
                </c:pt>
                <c:pt idx="4">
                  <c:v>2.5</c:v>
                </c:pt>
                <c:pt idx="5">
                  <c:v>3</c:v>
                </c:pt>
                <c:pt idx="6">
                  <c:v>5</c:v>
                </c:pt>
              </c:numCache>
            </c:numRef>
          </c:xVal>
          <c:yVal>
            <c:numRef>
              <c:f>'Standards All Runs'!$E$479:$E$485</c:f>
              <c:numCache>
                <c:formatCode>General</c:formatCode>
                <c:ptCount val="7"/>
                <c:pt idx="0">
                  <c:v>2.8879999999999999</c:v>
                </c:pt>
                <c:pt idx="1">
                  <c:v>3.6356000000000002</c:v>
                </c:pt>
                <c:pt idx="2">
                  <c:v>6.2685000000000004</c:v>
                </c:pt>
                <c:pt idx="3">
                  <c:v>7.9696999999999996</c:v>
                </c:pt>
                <c:pt idx="4">
                  <c:v>9.6382999999999992</c:v>
                </c:pt>
                <c:pt idx="5">
                  <c:v>11.7751</c:v>
                </c:pt>
                <c:pt idx="6">
                  <c:v>17.730699999999999</c:v>
                </c:pt>
              </c:numCache>
            </c:numRef>
          </c:yVal>
          <c:smooth val="0"/>
          <c:extLst>
            <c:ext xmlns:c16="http://schemas.microsoft.com/office/drawing/2014/chart" uri="{C3380CC4-5D6E-409C-BE32-E72D297353CC}">
              <c16:uniqueId val="{00000000-0045-744F-9428-EA8050392E1A}"/>
            </c:ext>
          </c:extLst>
        </c:ser>
        <c:dLbls>
          <c:showLegendKey val="0"/>
          <c:showVal val="0"/>
          <c:showCatName val="0"/>
          <c:showSerName val="0"/>
          <c:showPercent val="0"/>
          <c:showBubbleSize val="0"/>
        </c:dLbls>
        <c:axId val="275566975"/>
        <c:axId val="488653199"/>
      </c:scatterChart>
      <c:valAx>
        <c:axId val="27556697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653199"/>
        <c:crosses val="autoZero"/>
        <c:crossBetween val="midCat"/>
      </c:valAx>
      <c:valAx>
        <c:axId val="48865319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55669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30 5 22</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Runs'!$C$491:$C$497</c:f>
              <c:numCache>
                <c:formatCode>General</c:formatCode>
                <c:ptCount val="7"/>
                <c:pt idx="0">
                  <c:v>0.5</c:v>
                </c:pt>
                <c:pt idx="1">
                  <c:v>1</c:v>
                </c:pt>
                <c:pt idx="2">
                  <c:v>1.5</c:v>
                </c:pt>
                <c:pt idx="3">
                  <c:v>2</c:v>
                </c:pt>
                <c:pt idx="4">
                  <c:v>2.5</c:v>
                </c:pt>
                <c:pt idx="5">
                  <c:v>3</c:v>
                </c:pt>
                <c:pt idx="6">
                  <c:v>5</c:v>
                </c:pt>
              </c:numCache>
            </c:numRef>
          </c:xVal>
          <c:yVal>
            <c:numRef>
              <c:f>'Standards All Runs'!$E$491:$E$497</c:f>
              <c:numCache>
                <c:formatCode>General</c:formatCode>
                <c:ptCount val="7"/>
                <c:pt idx="0">
                  <c:v>1.8038000000000001</c:v>
                </c:pt>
                <c:pt idx="1">
                  <c:v>4.7427000000000001</c:v>
                </c:pt>
                <c:pt idx="2">
                  <c:v>4.6657999999999999</c:v>
                </c:pt>
                <c:pt idx="3">
                  <c:v>7.8647</c:v>
                </c:pt>
                <c:pt idx="4">
                  <c:v>8.1381999999999994</c:v>
                </c:pt>
                <c:pt idx="5">
                  <c:v>10.118600000000001</c:v>
                </c:pt>
                <c:pt idx="6">
                  <c:v>16.084299999999999</c:v>
                </c:pt>
              </c:numCache>
            </c:numRef>
          </c:yVal>
          <c:smooth val="0"/>
          <c:extLst>
            <c:ext xmlns:c16="http://schemas.microsoft.com/office/drawing/2014/chart" uri="{C3380CC4-5D6E-409C-BE32-E72D297353CC}">
              <c16:uniqueId val="{00000000-B304-3F48-A758-F711B016F009}"/>
            </c:ext>
          </c:extLst>
        </c:ser>
        <c:dLbls>
          <c:showLegendKey val="0"/>
          <c:showVal val="0"/>
          <c:showCatName val="0"/>
          <c:showSerName val="0"/>
          <c:showPercent val="0"/>
          <c:showBubbleSize val="0"/>
        </c:dLbls>
        <c:axId val="488401983"/>
        <c:axId val="469761311"/>
      </c:scatterChart>
      <c:valAx>
        <c:axId val="4884019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9761311"/>
        <c:crosses val="autoZero"/>
        <c:crossBetween val="midCat"/>
      </c:valAx>
      <c:valAx>
        <c:axId val="4697613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40198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1 6 22</c:v>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Runs'!$C$503:$C$509</c:f>
              <c:numCache>
                <c:formatCode>General</c:formatCode>
                <c:ptCount val="7"/>
                <c:pt idx="0">
                  <c:v>0.5</c:v>
                </c:pt>
                <c:pt idx="1">
                  <c:v>1</c:v>
                </c:pt>
                <c:pt idx="2">
                  <c:v>1.5</c:v>
                </c:pt>
                <c:pt idx="3">
                  <c:v>2</c:v>
                </c:pt>
                <c:pt idx="4">
                  <c:v>2.5</c:v>
                </c:pt>
                <c:pt idx="5">
                  <c:v>3</c:v>
                </c:pt>
                <c:pt idx="6">
                  <c:v>5</c:v>
                </c:pt>
              </c:numCache>
            </c:numRef>
          </c:xVal>
          <c:yVal>
            <c:numRef>
              <c:f>'Standards All Runs'!$E$503:$E$509</c:f>
              <c:numCache>
                <c:formatCode>General</c:formatCode>
                <c:ptCount val="7"/>
                <c:pt idx="0">
                  <c:v>2.4956999999999998</c:v>
                </c:pt>
                <c:pt idx="1">
                  <c:v>4.4264000000000001</c:v>
                </c:pt>
                <c:pt idx="2">
                  <c:v>5.3464999999999998</c:v>
                </c:pt>
                <c:pt idx="3">
                  <c:v>7.5494000000000003</c:v>
                </c:pt>
                <c:pt idx="4">
                  <c:v>10.112399999999999</c:v>
                </c:pt>
                <c:pt idx="5">
                  <c:v>12.0242</c:v>
                </c:pt>
                <c:pt idx="6">
                  <c:v>17.615500000000001</c:v>
                </c:pt>
              </c:numCache>
            </c:numRef>
          </c:yVal>
          <c:smooth val="0"/>
          <c:extLst>
            <c:ext xmlns:c16="http://schemas.microsoft.com/office/drawing/2014/chart" uri="{C3380CC4-5D6E-409C-BE32-E72D297353CC}">
              <c16:uniqueId val="{00000000-EBCC-4C4D-A1BF-105AF95370C9}"/>
            </c:ext>
          </c:extLst>
        </c:ser>
        <c:dLbls>
          <c:showLegendKey val="0"/>
          <c:showVal val="0"/>
          <c:showCatName val="0"/>
          <c:showSerName val="0"/>
          <c:showPercent val="0"/>
          <c:showBubbleSize val="0"/>
        </c:dLbls>
        <c:axId val="401172527"/>
        <c:axId val="401250383"/>
      </c:scatterChart>
      <c:valAx>
        <c:axId val="40117252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1250383"/>
        <c:crosses val="autoZero"/>
        <c:crossBetween val="midCat"/>
      </c:valAx>
      <c:valAx>
        <c:axId val="4012503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117252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2Control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Tracer'!$CR$15:$CR$30</c:f>
              <c:numCache>
                <c:formatCode>0.00</c:formatCode>
                <c:ptCount val="16"/>
                <c:pt idx="0">
                  <c:v>0</c:v>
                </c:pt>
                <c:pt idx="1">
                  <c:v>0</c:v>
                </c:pt>
                <c:pt idx="2">
                  <c:v>0</c:v>
                </c:pt>
                <c:pt idx="3">
                  <c:v>0</c:v>
                </c:pt>
                <c:pt idx="4">
                  <c:v>4.275015620815853E-2</c:v>
                </c:pt>
                <c:pt idx="5">
                  <c:v>7.4509506382219051E-2</c:v>
                </c:pt>
                <c:pt idx="6">
                  <c:v>0.96321699544764794</c:v>
                </c:pt>
                <c:pt idx="7">
                  <c:v>4.5540926537534592</c:v>
                </c:pt>
                <c:pt idx="8">
                  <c:v>4.6859162724270291</c:v>
                </c:pt>
                <c:pt idx="9">
                  <c:v>2.8092180665893065</c:v>
                </c:pt>
                <c:pt idx="10">
                  <c:v>1.6136668749442113</c:v>
                </c:pt>
                <c:pt idx="11">
                  <c:v>0.87205569936624128</c:v>
                </c:pt>
                <c:pt idx="12">
                  <c:v>0.48852450236543782</c:v>
                </c:pt>
                <c:pt idx="13">
                  <c:v>0.27690083013478534</c:v>
                </c:pt>
                <c:pt idx="14">
                  <c:v>0.16603588324555921</c:v>
                </c:pt>
                <c:pt idx="15">
                  <c:v>0.11309202892082476</c:v>
                </c:pt>
              </c:numCache>
            </c:numRef>
          </c:yVal>
          <c:smooth val="1"/>
          <c:extLst>
            <c:ext xmlns:c16="http://schemas.microsoft.com/office/drawing/2014/chart" uri="{C3380CC4-5D6E-409C-BE32-E72D297353CC}">
              <c16:uniqueId val="{00000000-BA16-104F-9A5A-1E06F21652C8}"/>
            </c:ext>
          </c:extLst>
        </c:ser>
        <c:ser>
          <c:idx val="1"/>
          <c:order val="1"/>
          <c:tx>
            <c:v>2A</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Tracer'!$DH$15:$DH$30</c:f>
              <c:numCache>
                <c:formatCode>General</c:formatCode>
                <c:ptCount val="16"/>
                <c:pt idx="0">
                  <c:v>0</c:v>
                </c:pt>
                <c:pt idx="1">
                  <c:v>3.741059660838239E-2</c:v>
                </c:pt>
                <c:pt idx="2">
                  <c:v>9.6224409102890776E-2</c:v>
                </c:pt>
                <c:pt idx="3">
                  <c:v>0.6956163781741499</c:v>
                </c:pt>
                <c:pt idx="4">
                  <c:v>2.0205561901414639</c:v>
                </c:pt>
                <c:pt idx="5">
                  <c:v>2.8877480010543888</c:v>
                </c:pt>
                <c:pt idx="6">
                  <c:v>2.9681231877690886</c:v>
                </c:pt>
                <c:pt idx="7">
                  <c:v>2.6184816799929709</c:v>
                </c:pt>
                <c:pt idx="8">
                  <c:v>2.0811422546349179</c:v>
                </c:pt>
                <c:pt idx="9">
                  <c:v>1.4686741059660837</c:v>
                </c:pt>
                <c:pt idx="10">
                  <c:v>0.93227220806607503</c:v>
                </c:pt>
                <c:pt idx="11">
                  <c:v>0.51537211141375971</c:v>
                </c:pt>
                <c:pt idx="12">
                  <c:v>0.28931816184869519</c:v>
                </c:pt>
                <c:pt idx="13">
                  <c:v>0.16524909937615326</c:v>
                </c:pt>
                <c:pt idx="14">
                  <c:v>0.11334856339513223</c:v>
                </c:pt>
                <c:pt idx="15">
                  <c:v>8.4962657060012298E-2</c:v>
                </c:pt>
              </c:numCache>
            </c:numRef>
          </c:yVal>
          <c:smooth val="1"/>
          <c:extLst>
            <c:ext xmlns:c16="http://schemas.microsoft.com/office/drawing/2014/chart" uri="{C3380CC4-5D6E-409C-BE32-E72D297353CC}">
              <c16:uniqueId val="{00000002-BA16-104F-9A5A-1E06F21652C8}"/>
            </c:ext>
          </c:extLst>
        </c:ser>
        <c:ser>
          <c:idx val="2"/>
          <c:order val="2"/>
          <c:tx>
            <c:v>2B</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Tracer'!$DX$15:$DX$30</c:f>
              <c:numCache>
                <c:formatCode>General</c:formatCode>
                <c:ptCount val="16"/>
                <c:pt idx="0">
                  <c:v>0</c:v>
                </c:pt>
                <c:pt idx="1">
                  <c:v>3.741059660838239E-2</c:v>
                </c:pt>
                <c:pt idx="2">
                  <c:v>7.3721114137597757E-2</c:v>
                </c:pt>
                <c:pt idx="3">
                  <c:v>1.2074123539232053</c:v>
                </c:pt>
                <c:pt idx="4">
                  <c:v>2.6441551708988666</c:v>
                </c:pt>
                <c:pt idx="5">
                  <c:v>2.8655908971092172</c:v>
                </c:pt>
                <c:pt idx="6">
                  <c:v>2.4318003690361127</c:v>
                </c:pt>
                <c:pt idx="7">
                  <c:v>1.9957613566470431</c:v>
                </c:pt>
                <c:pt idx="8">
                  <c:v>1.5484966171689658</c:v>
                </c:pt>
                <c:pt idx="9">
                  <c:v>1.1085027677708461</c:v>
                </c:pt>
                <c:pt idx="10">
                  <c:v>0.80199015903699145</c:v>
                </c:pt>
                <c:pt idx="11">
                  <c:v>0.62449345400228451</c:v>
                </c:pt>
                <c:pt idx="12">
                  <c:v>0.46942447939548365</c:v>
                </c:pt>
                <c:pt idx="13">
                  <c:v>0.37617608294525967</c:v>
                </c:pt>
                <c:pt idx="14">
                  <c:v>0.28041472629821634</c:v>
                </c:pt>
                <c:pt idx="15">
                  <c:v>0.20337931640453386</c:v>
                </c:pt>
              </c:numCache>
            </c:numRef>
          </c:yVal>
          <c:smooth val="1"/>
          <c:extLst>
            <c:ext xmlns:c16="http://schemas.microsoft.com/office/drawing/2014/chart" uri="{C3380CC4-5D6E-409C-BE32-E72D297353CC}">
              <c16:uniqueId val="{00000003-BA16-104F-9A5A-1E06F21652C8}"/>
            </c:ext>
          </c:extLst>
        </c:ser>
        <c:ser>
          <c:idx val="3"/>
          <c:order val="3"/>
          <c:tx>
            <c:v>2C</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Tracer'!$EN$15:$EN$30</c:f>
              <c:numCache>
                <c:formatCode>General</c:formatCode>
                <c:ptCount val="16"/>
                <c:pt idx="0">
                  <c:v>0</c:v>
                </c:pt>
                <c:pt idx="1">
                  <c:v>3.741059660838239E-2</c:v>
                </c:pt>
                <c:pt idx="2">
                  <c:v>0.13162551621122923</c:v>
                </c:pt>
                <c:pt idx="3">
                  <c:v>1.9143941657147876</c:v>
                </c:pt>
                <c:pt idx="4">
                  <c:v>3.5210965644495209</c:v>
                </c:pt>
                <c:pt idx="5">
                  <c:v>3.2976487127668923</c:v>
                </c:pt>
                <c:pt idx="6">
                  <c:v>2.6686284157806872</c:v>
                </c:pt>
                <c:pt idx="7">
                  <c:v>1.997639047535366</c:v>
                </c:pt>
                <c:pt idx="8">
                  <c:v>1.267543273877515</c:v>
                </c:pt>
                <c:pt idx="9">
                  <c:v>0.85953782620156394</c:v>
                </c:pt>
                <c:pt idx="10">
                  <c:v>0.57330111589491251</c:v>
                </c:pt>
                <c:pt idx="11">
                  <c:v>0.37340743344170108</c:v>
                </c:pt>
                <c:pt idx="12">
                  <c:v>0.25788331429575606</c:v>
                </c:pt>
                <c:pt idx="13">
                  <c:v>0.18740268869167909</c:v>
                </c:pt>
                <c:pt idx="14">
                  <c:v>0.14014673578771636</c:v>
                </c:pt>
                <c:pt idx="15">
                  <c:v>0.10989543976803444</c:v>
                </c:pt>
              </c:numCache>
            </c:numRef>
          </c:yVal>
          <c:smooth val="1"/>
          <c:extLst>
            <c:ext xmlns:c16="http://schemas.microsoft.com/office/drawing/2014/chart" uri="{C3380CC4-5D6E-409C-BE32-E72D297353CC}">
              <c16:uniqueId val="{00000004-BA16-104F-9A5A-1E06F21652C8}"/>
            </c:ext>
          </c:extLst>
        </c:ser>
        <c:dLbls>
          <c:showLegendKey val="0"/>
          <c:showVal val="0"/>
          <c:showCatName val="0"/>
          <c:showSerName val="0"/>
          <c:showPercent val="0"/>
          <c:showBubbleSize val="0"/>
        </c:dLbls>
        <c:axId val="1630331872"/>
        <c:axId val="1573570784"/>
      </c:scatterChart>
      <c:valAx>
        <c:axId val="1630331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3570784"/>
        <c:crosses val="autoZero"/>
        <c:crossBetween val="midCat"/>
      </c:valAx>
      <c:valAx>
        <c:axId val="15735707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03318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1 Breakthrough Curves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1Control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Tracer'!$CB$15:$CB$30</c:f>
              <c:numCache>
                <c:formatCode>0.00</c:formatCode>
                <c:ptCount val="16"/>
                <c:pt idx="0">
                  <c:v>0</c:v>
                </c:pt>
                <c:pt idx="1">
                  <c:v>0</c:v>
                </c:pt>
                <c:pt idx="2">
                  <c:v>0</c:v>
                </c:pt>
                <c:pt idx="3">
                  <c:v>0</c:v>
                </c:pt>
                <c:pt idx="4">
                  <c:v>4.6788360260644465E-2</c:v>
                </c:pt>
                <c:pt idx="5">
                  <c:v>0.14950459698295102</c:v>
                </c:pt>
                <c:pt idx="6">
                  <c:v>1.2350941712041419</c:v>
                </c:pt>
                <c:pt idx="7">
                  <c:v>0</c:v>
                </c:pt>
                <c:pt idx="8">
                  <c:v>1.5601142551102385</c:v>
                </c:pt>
                <c:pt idx="9">
                  <c:v>2.5362688565562794</c:v>
                </c:pt>
                <c:pt idx="10">
                  <c:v>3.8241497813085776</c:v>
                </c:pt>
                <c:pt idx="11">
                  <c:v>3.6953521378202265</c:v>
                </c:pt>
                <c:pt idx="12">
                  <c:v>2.7607265910916716</c:v>
                </c:pt>
                <c:pt idx="13">
                  <c:v>1.8055253057216816</c:v>
                </c:pt>
                <c:pt idx="14">
                  <c:v>1.2112371686155496</c:v>
                </c:pt>
                <c:pt idx="15">
                  <c:v>0.75882709988395969</c:v>
                </c:pt>
              </c:numCache>
            </c:numRef>
          </c:yVal>
          <c:smooth val="1"/>
          <c:extLst>
            <c:ext xmlns:c16="http://schemas.microsoft.com/office/drawing/2014/chart" uri="{C3380CC4-5D6E-409C-BE32-E72D297353CC}">
              <c16:uniqueId val="{00000000-FAE3-0F43-AB5B-07B0471F78E1}"/>
            </c:ext>
          </c:extLst>
        </c:ser>
        <c:ser>
          <c:idx val="1"/>
          <c:order val="1"/>
          <c:tx>
            <c:v>1A</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Tracer'!$AF$15:$AF$30</c:f>
              <c:numCache>
                <c:formatCode>0.00</c:formatCode>
                <c:ptCount val="16"/>
                <c:pt idx="0">
                  <c:v>0</c:v>
                </c:pt>
                <c:pt idx="1">
                  <c:v>0</c:v>
                </c:pt>
                <c:pt idx="2">
                  <c:v>0.66738903289328255</c:v>
                </c:pt>
                <c:pt idx="3">
                  <c:v>3.5495077059095381</c:v>
                </c:pt>
                <c:pt idx="4">
                  <c:v>3.0004179476359836</c:v>
                </c:pt>
                <c:pt idx="5">
                  <c:v>2.2012216930897983</c:v>
                </c:pt>
                <c:pt idx="6">
                  <c:v>1.6595183555368012</c:v>
                </c:pt>
                <c:pt idx="7">
                  <c:v>1.2557497940402274</c:v>
                </c:pt>
                <c:pt idx="8">
                  <c:v>0.94538549641328584</c:v>
                </c:pt>
                <c:pt idx="9">
                  <c:v>0.71409669057809377</c:v>
                </c:pt>
                <c:pt idx="10">
                  <c:v>0.54509514336809528</c:v>
                </c:pt>
                <c:pt idx="11">
                  <c:v>0.42194225088914339</c:v>
                </c:pt>
                <c:pt idx="12">
                  <c:v>0.32593184238551648</c:v>
                </c:pt>
                <c:pt idx="13">
                  <c:v>0.21164627162577609</c:v>
                </c:pt>
                <c:pt idx="14">
                  <c:v>0.1635652138967589</c:v>
                </c:pt>
                <c:pt idx="15">
                  <c:v>0.11903369702815118</c:v>
                </c:pt>
              </c:numCache>
            </c:numRef>
          </c:yVal>
          <c:smooth val="1"/>
          <c:extLst>
            <c:ext xmlns:c16="http://schemas.microsoft.com/office/drawing/2014/chart" uri="{C3380CC4-5D6E-409C-BE32-E72D297353CC}">
              <c16:uniqueId val="{00000002-FAE3-0F43-AB5B-07B0471F78E1}"/>
            </c:ext>
          </c:extLst>
        </c:ser>
        <c:ser>
          <c:idx val="2"/>
          <c:order val="2"/>
          <c:tx>
            <c:v>1B</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Tracer'!$AV$15:$AV$30</c:f>
              <c:numCache>
                <c:formatCode>0.00</c:formatCode>
                <c:ptCount val="16"/>
                <c:pt idx="0">
                  <c:v>0</c:v>
                </c:pt>
                <c:pt idx="1">
                  <c:v>0</c:v>
                </c:pt>
                <c:pt idx="2">
                  <c:v>4.977997468201821E-2</c:v>
                </c:pt>
                <c:pt idx="3">
                  <c:v>2.3202885446179193</c:v>
                </c:pt>
                <c:pt idx="4">
                  <c:v>2.1490475616372295</c:v>
                </c:pt>
                <c:pt idx="5">
                  <c:v>2.5296350995639676</c:v>
                </c:pt>
                <c:pt idx="6">
                  <c:v>1.7439397592782364</c:v>
                </c:pt>
                <c:pt idx="7">
                  <c:v>1.3011322764080615</c:v>
                </c:pt>
                <c:pt idx="8">
                  <c:v>1.0217855205256494</c:v>
                </c:pt>
                <c:pt idx="9">
                  <c:v>0.81171157594389853</c:v>
                </c:pt>
                <c:pt idx="10">
                  <c:v>0.72369441597845963</c:v>
                </c:pt>
                <c:pt idx="11">
                  <c:v>0.66725842425703774</c:v>
                </c:pt>
                <c:pt idx="12">
                  <c:v>0.57261639238853046</c:v>
                </c:pt>
                <c:pt idx="13">
                  <c:v>0.50021902063616452</c:v>
                </c:pt>
                <c:pt idx="14">
                  <c:v>0.39470934555026421</c:v>
                </c:pt>
                <c:pt idx="15">
                  <c:v>0.2961460405489581</c:v>
                </c:pt>
              </c:numCache>
            </c:numRef>
          </c:yVal>
          <c:smooth val="1"/>
          <c:extLst>
            <c:ext xmlns:c16="http://schemas.microsoft.com/office/drawing/2014/chart" uri="{C3380CC4-5D6E-409C-BE32-E72D297353CC}">
              <c16:uniqueId val="{00000003-FAE3-0F43-AB5B-07B0471F78E1}"/>
            </c:ext>
          </c:extLst>
        </c:ser>
        <c:ser>
          <c:idx val="3"/>
          <c:order val="3"/>
          <c:tx>
            <c:v>1C</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Tracer'!$BL$15:$BL$30</c:f>
              <c:numCache>
                <c:formatCode>0.00</c:formatCode>
                <c:ptCount val="16"/>
                <c:pt idx="0">
                  <c:v>0</c:v>
                </c:pt>
                <c:pt idx="1">
                  <c:v>0</c:v>
                </c:pt>
                <c:pt idx="2">
                  <c:v>0.17877265018298671</c:v>
                </c:pt>
                <c:pt idx="3">
                  <c:v>2.1277666696420603</c:v>
                </c:pt>
                <c:pt idx="4">
                  <c:v>2.9305257520307055</c:v>
                </c:pt>
                <c:pt idx="5">
                  <c:v>2.5339891100598053</c:v>
                </c:pt>
                <c:pt idx="6">
                  <c:v>2.0339373382129784</c:v>
                </c:pt>
                <c:pt idx="7">
                  <c:v>1.6236213514237259</c:v>
                </c:pt>
                <c:pt idx="8">
                  <c:v>1.3181995893956975</c:v>
                </c:pt>
                <c:pt idx="9">
                  <c:v>1.0014603231277337</c:v>
                </c:pt>
                <c:pt idx="10">
                  <c:v>0.76723823975720795</c:v>
                </c:pt>
                <c:pt idx="11">
                  <c:v>0.54598411139873249</c:v>
                </c:pt>
                <c:pt idx="12">
                  <c:v>0.37314380076765152</c:v>
                </c:pt>
                <c:pt idx="13">
                  <c:v>0.26109970543604388</c:v>
                </c:pt>
                <c:pt idx="14">
                  <c:v>0.18066589306435779</c:v>
                </c:pt>
                <c:pt idx="15">
                  <c:v>0.14067035615460144</c:v>
                </c:pt>
              </c:numCache>
            </c:numRef>
          </c:yVal>
          <c:smooth val="1"/>
          <c:extLst>
            <c:ext xmlns:c16="http://schemas.microsoft.com/office/drawing/2014/chart" uri="{C3380CC4-5D6E-409C-BE32-E72D297353CC}">
              <c16:uniqueId val="{00000004-FAE3-0F43-AB5B-07B0471F78E1}"/>
            </c:ext>
          </c:extLst>
        </c:ser>
        <c:ser>
          <c:idx val="4"/>
          <c:order val="4"/>
          <c:tx>
            <c:v>10</c:v>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'Br Tracer'!$C$15:$C$30</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Tracer'!$P$15:$P$30</c:f>
              <c:numCache>
                <c:formatCode>0.00</c:formatCode>
                <c:ptCount val="16"/>
                <c:pt idx="0">
                  <c:v>0</c:v>
                </c:pt>
                <c:pt idx="1">
                  <c:v>0</c:v>
                </c:pt>
                <c:pt idx="2">
                  <c:v>8.6027889967247362E-2</c:v>
                </c:pt>
                <c:pt idx="3">
                  <c:v>1.6980579500472199</c:v>
                </c:pt>
                <c:pt idx="4">
                  <c:v>3.7460495910945002</c:v>
                </c:pt>
                <c:pt idx="5">
                  <c:v>3.9218216890710709</c:v>
                </c:pt>
                <c:pt idx="6">
                  <c:v>3.3631181304880742</c:v>
                </c:pt>
                <c:pt idx="7">
                  <c:v>2.2201880764361923</c:v>
                </c:pt>
                <c:pt idx="8">
                  <c:v>1.2274147527478048</c:v>
                </c:pt>
                <c:pt idx="9">
                  <c:v>0.60224747322522953</c:v>
                </c:pt>
                <c:pt idx="10">
                  <c:v>0.26295135330640784</c:v>
                </c:pt>
                <c:pt idx="11">
                  <c:v>0.18953523419133159</c:v>
                </c:pt>
                <c:pt idx="12">
                  <c:v>0.10063395422669641</c:v>
                </c:pt>
                <c:pt idx="13">
                  <c:v>5.8647296401229732E-2</c:v>
                </c:pt>
                <c:pt idx="14">
                  <c:v>3.8164848192577407E-2</c:v>
                </c:pt>
                <c:pt idx="15">
                  <c:v>2.0825044708340866E-2</c:v>
                </c:pt>
              </c:numCache>
            </c:numRef>
          </c:yVal>
          <c:smooth val="1"/>
          <c:extLst>
            <c:ext xmlns:c16="http://schemas.microsoft.com/office/drawing/2014/chart" uri="{C3380CC4-5D6E-409C-BE32-E72D297353CC}">
              <c16:uniqueId val="{00000005-FAE3-0F43-AB5B-07B0471F78E1}"/>
            </c:ext>
          </c:extLst>
        </c:ser>
        <c:dLbls>
          <c:showLegendKey val="0"/>
          <c:showVal val="0"/>
          <c:showCatName val="0"/>
          <c:showSerName val="0"/>
          <c:showPercent val="0"/>
          <c:showBubbleSize val="0"/>
        </c:dLbls>
        <c:axId val="691286192"/>
        <c:axId val="691287840"/>
      </c:scatterChart>
      <c:valAx>
        <c:axId val="691286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287840"/>
        <c:crosses val="autoZero"/>
        <c:crossBetween val="midCat"/>
      </c:valAx>
      <c:valAx>
        <c:axId val="691287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2861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Runs'!$C$95:$C$103</c:f>
              <c:numCache>
                <c:formatCode>General</c:formatCode>
                <c:ptCount val="9"/>
                <c:pt idx="0">
                  <c:v>0</c:v>
                </c:pt>
                <c:pt idx="1">
                  <c:v>0.5</c:v>
                </c:pt>
                <c:pt idx="2">
                  <c:v>1</c:v>
                </c:pt>
                <c:pt idx="3">
                  <c:v>1.5</c:v>
                </c:pt>
                <c:pt idx="4">
                  <c:v>2</c:v>
                </c:pt>
                <c:pt idx="5">
                  <c:v>2.5</c:v>
                </c:pt>
                <c:pt idx="6">
                  <c:v>3</c:v>
                </c:pt>
                <c:pt idx="7">
                  <c:v>5</c:v>
                </c:pt>
                <c:pt idx="8">
                  <c:v>1.5</c:v>
                </c:pt>
              </c:numCache>
            </c:numRef>
          </c:xVal>
          <c:yVal>
            <c:numRef>
              <c:f>'Standards All Runs'!$F$95:$F$103</c:f>
              <c:numCache>
                <c:formatCode>General</c:formatCode>
                <c:ptCount val="9"/>
                <c:pt idx="0">
                  <c:v>0</c:v>
                </c:pt>
                <c:pt idx="1">
                  <c:v>9.9251000000000005</c:v>
                </c:pt>
                <c:pt idx="2">
                  <c:v>21.1065</c:v>
                </c:pt>
                <c:pt idx="3">
                  <c:v>31.895399999999999</c:v>
                </c:pt>
                <c:pt idx="4">
                  <c:v>42.478999999999999</c:v>
                </c:pt>
                <c:pt idx="5">
                  <c:v>51.896900000000002</c:v>
                </c:pt>
                <c:pt idx="6">
                  <c:v>62.087000000000003</c:v>
                </c:pt>
                <c:pt idx="7">
                  <c:v>93.212599999999995</c:v>
                </c:pt>
                <c:pt idx="8">
                  <c:v>41.909300000000002</c:v>
                </c:pt>
              </c:numCache>
            </c:numRef>
          </c:yVal>
          <c:smooth val="0"/>
          <c:extLst>
            <c:ext xmlns:c16="http://schemas.microsoft.com/office/drawing/2014/chart" uri="{C3380CC4-5D6E-409C-BE32-E72D297353CC}">
              <c16:uniqueId val="{00000000-4B4B-C445-953B-0A396A4D7A28}"/>
            </c:ext>
          </c:extLst>
        </c:ser>
        <c:ser>
          <c:idx val="1"/>
          <c:order val="1"/>
          <c:tx>
            <c:v>Area</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Runs'!$C$96:$C$103</c:f>
              <c:numCache>
                <c:formatCode>General</c:formatCode>
                <c:ptCount val="8"/>
                <c:pt idx="0">
                  <c:v>0.5</c:v>
                </c:pt>
                <c:pt idx="1">
                  <c:v>1</c:v>
                </c:pt>
                <c:pt idx="2">
                  <c:v>1.5</c:v>
                </c:pt>
                <c:pt idx="3">
                  <c:v>2</c:v>
                </c:pt>
                <c:pt idx="4">
                  <c:v>2.5</c:v>
                </c:pt>
                <c:pt idx="5">
                  <c:v>3</c:v>
                </c:pt>
                <c:pt idx="6">
                  <c:v>5</c:v>
                </c:pt>
                <c:pt idx="7">
                  <c:v>1.5</c:v>
                </c:pt>
              </c:numCache>
            </c:numRef>
          </c:xVal>
          <c:yVal>
            <c:numRef>
              <c:f>'Standards All Runs'!$E$96:$E$103</c:f>
              <c:numCache>
                <c:formatCode>General</c:formatCode>
                <c:ptCount val="8"/>
                <c:pt idx="0">
                  <c:v>1.6014999999999999</c:v>
                </c:pt>
                <c:pt idx="1">
                  <c:v>3.2538999999999998</c:v>
                </c:pt>
                <c:pt idx="2">
                  <c:v>4.9120999999999997</c:v>
                </c:pt>
                <c:pt idx="3">
                  <c:v>6.5960999999999999</c:v>
                </c:pt>
                <c:pt idx="4">
                  <c:v>8.2218</c:v>
                </c:pt>
                <c:pt idx="5">
                  <c:v>9.9665999999999997</c:v>
                </c:pt>
                <c:pt idx="6">
                  <c:v>16.4071</c:v>
                </c:pt>
                <c:pt idx="7">
                  <c:v>6.4875999999999996</c:v>
                </c:pt>
              </c:numCache>
            </c:numRef>
          </c:yVal>
          <c:smooth val="0"/>
          <c:extLst>
            <c:ext xmlns:c16="http://schemas.microsoft.com/office/drawing/2014/chart" uri="{C3380CC4-5D6E-409C-BE32-E72D297353CC}">
              <c16:uniqueId val="{00000002-4B4B-C445-953B-0A396A4D7A28}"/>
            </c:ext>
          </c:extLst>
        </c:ser>
        <c:dLbls>
          <c:showLegendKey val="0"/>
          <c:showVal val="0"/>
          <c:showCatName val="0"/>
          <c:showSerName val="0"/>
          <c:showPercent val="0"/>
          <c:showBubbleSize val="0"/>
        </c:dLbls>
        <c:axId val="493355791"/>
        <c:axId val="880234255"/>
      </c:scatterChart>
      <c:valAx>
        <c:axId val="49335579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234255"/>
        <c:crosses val="autoZero"/>
        <c:crossBetween val="midCat"/>
      </c:valAx>
      <c:valAx>
        <c:axId val="8802342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3557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3 Breakthrough Curves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v>3Control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'Br Tracer'!$C$34:$C$49</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Tracer'!$P$34:$P$49</c:f>
              <c:numCache>
                <c:formatCode>0.00</c:formatCode>
                <c:ptCount val="16"/>
                <c:pt idx="0">
                  <c:v>0</c:v>
                </c:pt>
                <c:pt idx="1">
                  <c:v>0</c:v>
                </c:pt>
                <c:pt idx="2">
                  <c:v>0</c:v>
                </c:pt>
                <c:pt idx="3">
                  <c:v>0</c:v>
                </c:pt>
                <c:pt idx="4">
                  <c:v>0</c:v>
                </c:pt>
                <c:pt idx="5">
                  <c:v>5.6245824326979763E-2</c:v>
                </c:pt>
                <c:pt idx="6">
                  <c:v>8.9193358223619568E-2</c:v>
                </c:pt>
                <c:pt idx="7">
                  <c:v>1.3827274513656909</c:v>
                </c:pt>
                <c:pt idx="8">
                  <c:v>4.2141059147180195</c:v>
                </c:pt>
                <c:pt idx="9">
                  <c:v>5.0731184908626448</c:v>
                </c:pt>
                <c:pt idx="10">
                  <c:v>3.7830831204558848</c:v>
                </c:pt>
                <c:pt idx="11">
                  <c:v>2.5243377873845549</c:v>
                </c:pt>
                <c:pt idx="12">
                  <c:v>1.5727058361171156</c:v>
                </c:pt>
                <c:pt idx="13">
                  <c:v>0.97583316958145006</c:v>
                </c:pt>
                <c:pt idx="14">
                  <c:v>0.60303988995873459</c:v>
                </c:pt>
                <c:pt idx="15">
                  <c:v>0.37530752603654949</c:v>
                </c:pt>
              </c:numCache>
            </c:numRef>
          </c:yVal>
          <c:smooth val="1"/>
          <c:extLst>
            <c:ext xmlns:c16="http://schemas.microsoft.com/office/drawing/2014/chart" uri="{C3380CC4-5D6E-409C-BE32-E72D297353CC}">
              <c16:uniqueId val="{00000000-3378-324D-A309-900D7FCA6CB6}"/>
            </c:ext>
          </c:extLst>
        </c:ser>
        <c:ser>
          <c:idx val="1"/>
          <c:order val="1"/>
          <c:tx>
            <c:v>3A</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'Br Tracer'!$C$34:$C$49</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Tracer'!$AF$34:$AF$49</c:f>
              <c:numCache>
                <c:formatCode>0.00</c:formatCode>
                <c:ptCount val="16"/>
                <c:pt idx="0">
                  <c:v>0</c:v>
                </c:pt>
                <c:pt idx="1">
                  <c:v>0</c:v>
                </c:pt>
                <c:pt idx="2">
                  <c:v>0</c:v>
                </c:pt>
                <c:pt idx="3">
                  <c:v>5.8249164865395955E-2</c:v>
                </c:pt>
                <c:pt idx="4">
                  <c:v>9.4293574376105332E-2</c:v>
                </c:pt>
                <c:pt idx="5">
                  <c:v>0.64076046374533302</c:v>
                </c:pt>
                <c:pt idx="6">
                  <c:v>2.436879544114757</c:v>
                </c:pt>
                <c:pt idx="7">
                  <c:v>4.7852554529377089</c:v>
                </c:pt>
                <c:pt idx="8">
                  <c:v>4.6983926115150316</c:v>
                </c:pt>
                <c:pt idx="9">
                  <c:v>3.5040007860090392</c:v>
                </c:pt>
                <c:pt idx="10">
                  <c:v>2.2290685792886618</c:v>
                </c:pt>
                <c:pt idx="11">
                  <c:v>1.4076203576341129</c:v>
                </c:pt>
                <c:pt idx="12">
                  <c:v>0.84852721556297894</c:v>
                </c:pt>
                <c:pt idx="13">
                  <c:v>0.4929838868146984</c:v>
                </c:pt>
                <c:pt idx="14">
                  <c:v>0.31050697583022208</c:v>
                </c:pt>
                <c:pt idx="15">
                  <c:v>0.20921792100609157</c:v>
                </c:pt>
              </c:numCache>
            </c:numRef>
          </c:yVal>
          <c:smooth val="1"/>
          <c:extLst>
            <c:ext xmlns:c16="http://schemas.microsoft.com/office/drawing/2014/chart" uri="{C3380CC4-5D6E-409C-BE32-E72D297353CC}">
              <c16:uniqueId val="{00000002-3378-324D-A309-900D7FCA6CB6}"/>
            </c:ext>
          </c:extLst>
        </c:ser>
        <c:ser>
          <c:idx val="2"/>
          <c:order val="2"/>
          <c:tx>
            <c:v>3B</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'Br Tracer'!$C$34:$C$49</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Tracer'!$AV$34:$AV$49</c:f>
              <c:numCache>
                <c:formatCode>General</c:formatCode>
                <c:ptCount val="16"/>
                <c:pt idx="0">
                  <c:v>0</c:v>
                </c:pt>
                <c:pt idx="1">
                  <c:v>0</c:v>
                </c:pt>
                <c:pt idx="2">
                  <c:v>4.262459093034128E-2</c:v>
                </c:pt>
                <c:pt idx="3">
                  <c:v>0.14815053763440861</c:v>
                </c:pt>
                <c:pt idx="4">
                  <c:v>0.76732865825151952</c:v>
                </c:pt>
                <c:pt idx="5">
                  <c:v>2.7937110799438987</c:v>
                </c:pt>
                <c:pt idx="6">
                  <c:v>3.0985469845722298</c:v>
                </c:pt>
                <c:pt idx="7">
                  <c:v>2.8776409537166896</c:v>
                </c:pt>
                <c:pt idx="8">
                  <c:v>2.441587657784011</c:v>
                </c:pt>
                <c:pt idx="9">
                  <c:v>2.1245881252921923</c:v>
                </c:pt>
                <c:pt idx="10">
                  <c:v>1.6349733520336605</c:v>
                </c:pt>
                <c:pt idx="11">
                  <c:v>1.2126619915848527</c:v>
                </c:pt>
                <c:pt idx="12">
                  <c:v>0.90579897148200095</c:v>
                </c:pt>
                <c:pt idx="13">
                  <c:v>0.61818887330528283</c:v>
                </c:pt>
                <c:pt idx="14">
                  <c:v>0.40264048620850862</c:v>
                </c:pt>
                <c:pt idx="15">
                  <c:v>0.27589247311827952</c:v>
                </c:pt>
              </c:numCache>
            </c:numRef>
          </c:yVal>
          <c:smooth val="1"/>
          <c:extLst>
            <c:ext xmlns:c16="http://schemas.microsoft.com/office/drawing/2014/chart" uri="{C3380CC4-5D6E-409C-BE32-E72D297353CC}">
              <c16:uniqueId val="{00000003-3378-324D-A309-900D7FCA6CB6}"/>
            </c:ext>
          </c:extLst>
        </c:ser>
        <c:ser>
          <c:idx val="3"/>
          <c:order val="3"/>
          <c:tx>
            <c:v>3C</c:v>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'Br Tracer'!$C$34:$C$49</c:f>
              <c:numCache>
                <c:formatCode>General</c:formatCode>
                <c:ptCount val="16"/>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numCache>
            </c:numRef>
          </c:xVal>
          <c:yVal>
            <c:numRef>
              <c:f>'Br Tracer'!$BL$34:$BL$49</c:f>
              <c:numCache>
                <c:formatCode>General</c:formatCode>
                <c:ptCount val="16"/>
                <c:pt idx="0">
                  <c:v>0</c:v>
                </c:pt>
                <c:pt idx="1">
                  <c:v>0.55331837307152876</c:v>
                </c:pt>
                <c:pt idx="2">
                  <c:v>1.8755409069658719</c:v>
                </c:pt>
                <c:pt idx="3">
                  <c:v>3.5476344086021503</c:v>
                </c:pt>
                <c:pt idx="4">
                  <c:v>3.3760476858345019</c:v>
                </c:pt>
                <c:pt idx="5">
                  <c:v>2.4540532959326788</c:v>
                </c:pt>
                <c:pt idx="6">
                  <c:v>1.882139317438055</c:v>
                </c:pt>
                <c:pt idx="7">
                  <c:v>1.4368041140719963</c:v>
                </c:pt>
                <c:pt idx="8">
                  <c:v>1.0420532959326789</c:v>
                </c:pt>
                <c:pt idx="9">
                  <c:v>0.77807012622720895</c:v>
                </c:pt>
                <c:pt idx="10">
                  <c:v>0.58877045348293588</c:v>
                </c:pt>
                <c:pt idx="11">
                  <c:v>0.47314913510986445</c:v>
                </c:pt>
                <c:pt idx="12">
                  <c:v>0.40685553997194945</c:v>
                </c:pt>
                <c:pt idx="13">
                  <c:v>0.30978962131837312</c:v>
                </c:pt>
                <c:pt idx="14">
                  <c:v>0.25228517999064981</c:v>
                </c:pt>
                <c:pt idx="15">
                  <c:v>0.18387096774193548</c:v>
                </c:pt>
              </c:numCache>
            </c:numRef>
          </c:yVal>
          <c:smooth val="1"/>
          <c:extLst>
            <c:ext xmlns:c16="http://schemas.microsoft.com/office/drawing/2014/chart" uri="{C3380CC4-5D6E-409C-BE32-E72D297353CC}">
              <c16:uniqueId val="{00000004-3378-324D-A309-900D7FCA6CB6}"/>
            </c:ext>
          </c:extLst>
        </c:ser>
        <c:dLbls>
          <c:showLegendKey val="0"/>
          <c:showVal val="0"/>
          <c:showCatName val="0"/>
          <c:showSerName val="0"/>
          <c:showPercent val="0"/>
          <c:showBubbleSize val="0"/>
        </c:dLbls>
        <c:axId val="691466176"/>
        <c:axId val="691467824"/>
      </c:scatterChart>
      <c:valAx>
        <c:axId val="6914661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467824"/>
        <c:crosses val="autoZero"/>
        <c:crossBetween val="midCat"/>
      </c:valAx>
      <c:valAx>
        <c:axId val="6914678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9146617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Averaged</a:t>
            </a:r>
            <a:r>
              <a:rPr lang="en-US" baseline="0"/>
              <a:t> Fluoride Data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errBars>
            <c:errDir val="x"/>
            <c:errBarType val="both"/>
            <c:errValType val="cust"/>
            <c:noEndCap val="0"/>
            <c:plus>
              <c:numRef>
                <c:f>'Set 1 IC'!$CP$3:$CP$26</c:f>
                <c:numCache>
                  <c:formatCode>General</c:formatCode>
                  <c:ptCount val="24"/>
                  <c:pt idx="0">
                    <c:v>0.95998460966617227</c:v>
                  </c:pt>
                  <c:pt idx="1">
                    <c:v>0.68631583787502926</c:v>
                  </c:pt>
                  <c:pt idx="2">
                    <c:v>0.52714978349117381</c:v>
                  </c:pt>
                  <c:pt idx="3">
                    <c:v>0.98243089127923355</c:v>
                  </c:pt>
                  <c:pt idx="4">
                    <c:v>0.64329003099335347</c:v>
                  </c:pt>
                  <c:pt idx="5">
                    <c:v>0.64438354519395247</c:v>
                  </c:pt>
                  <c:pt idx="6">
                    <c:v>0.25215958777788433</c:v>
                  </c:pt>
                  <c:pt idx="7">
                    <c:v>9.7782104322705038E-2</c:v>
                  </c:pt>
                  <c:pt idx="8">
                    <c:v>0.54206014920674805</c:v>
                  </c:pt>
                  <c:pt idx="9">
                    <c:v>0.5182053763382124</c:v>
                  </c:pt>
                  <c:pt idx="10">
                    <c:v>0.19408419652116957</c:v>
                  </c:pt>
                  <c:pt idx="11">
                    <c:v>9.2161921265403041E-3</c:v>
                  </c:pt>
                  <c:pt idx="12">
                    <c:v>0.11833932235353366</c:v>
                  </c:pt>
                  <c:pt idx="13">
                    <c:v>0.19356007471616177</c:v>
                  </c:pt>
                  <c:pt idx="14">
                    <c:v>0.1688784486248254</c:v>
                  </c:pt>
                  <c:pt idx="15">
                    <c:v>0.18260320506892327</c:v>
                  </c:pt>
                  <c:pt idx="16">
                    <c:v>0.11533990616918668</c:v>
                  </c:pt>
                  <c:pt idx="17">
                    <c:v>0.21029618205274125</c:v>
                  </c:pt>
                  <c:pt idx="18">
                    <c:v>0.16629117030484128</c:v>
                  </c:pt>
                  <c:pt idx="19">
                    <c:v>0.16322373889661207</c:v>
                  </c:pt>
                  <c:pt idx="20">
                    <c:v>0.13538731197066842</c:v>
                  </c:pt>
                  <c:pt idx="21">
                    <c:v>0.11538915995934435</c:v>
                  </c:pt>
                  <c:pt idx="22">
                    <c:v>0.14473947765014739</c:v>
                  </c:pt>
                  <c:pt idx="23">
                    <c:v>0.22810797640638808</c:v>
                  </c:pt>
                </c:numCache>
              </c:numRef>
            </c:plus>
            <c:minus>
              <c:numRef>
                <c:f>'Set 1 IC'!$CP$3:$CP$26</c:f>
                <c:numCache>
                  <c:formatCode>General</c:formatCode>
                  <c:ptCount val="24"/>
                  <c:pt idx="0">
                    <c:v>0.95998460966617227</c:v>
                  </c:pt>
                  <c:pt idx="1">
                    <c:v>0.68631583787502926</c:v>
                  </c:pt>
                  <c:pt idx="2">
                    <c:v>0.52714978349117381</c:v>
                  </c:pt>
                  <c:pt idx="3">
                    <c:v>0.98243089127923355</c:v>
                  </c:pt>
                  <c:pt idx="4">
                    <c:v>0.64329003099335347</c:v>
                  </c:pt>
                  <c:pt idx="5">
                    <c:v>0.64438354519395247</c:v>
                  </c:pt>
                  <c:pt idx="6">
                    <c:v>0.25215958777788433</c:v>
                  </c:pt>
                  <c:pt idx="7">
                    <c:v>9.7782104322705038E-2</c:v>
                  </c:pt>
                  <c:pt idx="8">
                    <c:v>0.54206014920674805</c:v>
                  </c:pt>
                  <c:pt idx="9">
                    <c:v>0.5182053763382124</c:v>
                  </c:pt>
                  <c:pt idx="10">
                    <c:v>0.19408419652116957</c:v>
                  </c:pt>
                  <c:pt idx="11">
                    <c:v>9.2161921265403041E-3</c:v>
                  </c:pt>
                  <c:pt idx="12">
                    <c:v>0.11833932235353366</c:v>
                  </c:pt>
                  <c:pt idx="13">
                    <c:v>0.19356007471616177</c:v>
                  </c:pt>
                  <c:pt idx="14">
                    <c:v>0.1688784486248254</c:v>
                  </c:pt>
                  <c:pt idx="15">
                    <c:v>0.18260320506892327</c:v>
                  </c:pt>
                  <c:pt idx="16">
                    <c:v>0.11533990616918668</c:v>
                  </c:pt>
                  <c:pt idx="17">
                    <c:v>0.21029618205274125</c:v>
                  </c:pt>
                  <c:pt idx="18">
                    <c:v>0.16629117030484128</c:v>
                  </c:pt>
                  <c:pt idx="19">
                    <c:v>0.16322373889661207</c:v>
                  </c:pt>
                  <c:pt idx="20">
                    <c:v>0.13538731197066842</c:v>
                  </c:pt>
                  <c:pt idx="21">
                    <c:v>0.11538915995934435</c:v>
                  </c:pt>
                  <c:pt idx="22">
                    <c:v>0.14473947765014739</c:v>
                  </c:pt>
                  <c:pt idx="23">
                    <c:v>0.22810797640638808</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IC'!$CL$3:$CL$58</c:f>
              <c:numCache>
                <c:formatCode>0.00</c:formatCode>
                <c:ptCount val="56"/>
                <c:pt idx="0">
                  <c:v>6.1062109384499408</c:v>
                </c:pt>
                <c:pt idx="1">
                  <c:v>3.3009289657352689</c:v>
                </c:pt>
                <c:pt idx="2">
                  <c:v>3.4404562145862214</c:v>
                </c:pt>
                <c:pt idx="3">
                  <c:v>3.2251039614795354</c:v>
                </c:pt>
                <c:pt idx="4">
                  <c:v>3.3159213054157242</c:v>
                </c:pt>
                <c:pt idx="5">
                  <c:v>3.4978478149850445</c:v>
                </c:pt>
                <c:pt idx="6">
                  <c:v>3.1863281534982129</c:v>
                </c:pt>
                <c:pt idx="7">
                  <c:v>2.4226758685930512</c:v>
                </c:pt>
                <c:pt idx="8">
                  <c:v>2.2741658066735462</c:v>
                </c:pt>
                <c:pt idx="9">
                  <c:v>2.2041086171310629</c:v>
                </c:pt>
                <c:pt idx="10">
                  <c:v>2.0054717062263503</c:v>
                </c:pt>
                <c:pt idx="11">
                  <c:v>1.7919891640866874</c:v>
                </c:pt>
                <c:pt idx="12">
                  <c:v>1.6995399036807706</c:v>
                </c:pt>
                <c:pt idx="13">
                  <c:v>1.5906139582641259</c:v>
                </c:pt>
                <c:pt idx="14">
                  <c:v>1.6211961062623941</c:v>
                </c:pt>
                <c:pt idx="15">
                  <c:v>1.5755242150615567</c:v>
                </c:pt>
                <c:pt idx="16">
                  <c:v>1.5891442434491989</c:v>
                </c:pt>
                <c:pt idx="17">
                  <c:v>1.5690060949852149</c:v>
                </c:pt>
                <c:pt idx="18">
                  <c:v>1.4300283628024861</c:v>
                </c:pt>
                <c:pt idx="19">
                  <c:v>1.4224146601492567</c:v>
                </c:pt>
                <c:pt idx="20">
                  <c:v>1.4984913402932831</c:v>
                </c:pt>
                <c:pt idx="21">
                  <c:v>1.3021811681803621</c:v>
                </c:pt>
                <c:pt idx="22">
                  <c:v>1.2782616781872849</c:v>
                </c:pt>
                <c:pt idx="23">
                  <c:v>1.114265935133236</c:v>
                </c:pt>
                <c:pt idx="24">
                  <c:v>1.2326158772623172</c:v>
                </c:pt>
                <c:pt idx="25">
                  <c:v>1.3060436553778805</c:v>
                </c:pt>
                <c:pt idx="26">
                  <c:v>1.3292191078413491</c:v>
                </c:pt>
                <c:pt idx="27">
                  <c:v>1.4983570319034534</c:v>
                </c:pt>
                <c:pt idx="28">
                  <c:v>1.3269307364480025</c:v>
                </c:pt>
                <c:pt idx="29">
                  <c:v>1.3741039842404366</c:v>
                </c:pt>
                <c:pt idx="30">
                  <c:v>1.3645739864063451</c:v>
                </c:pt>
                <c:pt idx="31">
                  <c:v>1.2342481718700042</c:v>
                </c:pt>
                <c:pt idx="32">
                  <c:v>1.1618059990471263</c:v>
                </c:pt>
                <c:pt idx="33">
                  <c:v>1.08491723180164</c:v>
                </c:pt>
                <c:pt idx="34">
                  <c:v>0.83797098804853565</c:v>
                </c:pt>
                <c:pt idx="35">
                  <c:v>0.99876160356985677</c:v>
                </c:pt>
                <c:pt idx="36">
                  <c:v>0.95482411700287606</c:v>
                </c:pt>
                <c:pt idx="37">
                  <c:v>0.92642287655950961</c:v>
                </c:pt>
                <c:pt idx="38">
                  <c:v>1.1702078763188135</c:v>
                </c:pt>
                <c:pt idx="39">
                  <c:v>1.0155437167032277</c:v>
                </c:pt>
                <c:pt idx="40">
                  <c:v>0.96605034994254668</c:v>
                </c:pt>
                <c:pt idx="41">
                  <c:v>1.3104969011207042</c:v>
                </c:pt>
                <c:pt idx="42">
                  <c:v>0.88173183644203468</c:v>
                </c:pt>
                <c:pt idx="43">
                  <c:v>0.91580039485877762</c:v>
                </c:pt>
                <c:pt idx="44">
                  <c:v>1.4326221846166243</c:v>
                </c:pt>
                <c:pt idx="45">
                  <c:v>1.2532291391247294</c:v>
                </c:pt>
                <c:pt idx="46">
                  <c:v>1.3482182202767412</c:v>
                </c:pt>
                <c:pt idx="47">
                  <c:v>1.4603712671509284</c:v>
                </c:pt>
                <c:pt idx="48">
                  <c:v>1.4436440677966103</c:v>
                </c:pt>
                <c:pt idx="49">
                  <c:v>1.6800645682001616</c:v>
                </c:pt>
                <c:pt idx="50">
                  <c:v>1.8565258442315031</c:v>
                </c:pt>
                <c:pt idx="51">
                  <c:v>1.7762409851543826</c:v>
                </c:pt>
                <c:pt idx="52">
                  <c:v>2.1223407460977519</c:v>
                </c:pt>
                <c:pt idx="53">
                  <c:v>2.2650652555221922</c:v>
                </c:pt>
                <c:pt idx="54">
                  <c:v>2.7852067663584741</c:v>
                </c:pt>
                <c:pt idx="55">
                  <c:v>2.6134379692874097</c:v>
                </c:pt>
              </c:numCache>
            </c:numRef>
          </c:yVal>
          <c:smooth val="0"/>
          <c:extLst>
            <c:ext xmlns:c16="http://schemas.microsoft.com/office/drawing/2014/chart" uri="{C3380CC4-5D6E-409C-BE32-E72D297353CC}">
              <c16:uniqueId val="{00000000-5361-0E45-9972-A76741F2BDA6}"/>
            </c:ext>
          </c:extLst>
        </c:ser>
        <c:ser>
          <c:idx val="1"/>
          <c:order val="1"/>
          <c:spPr>
            <a:ln w="25400" cap="rnd">
              <a:noFill/>
              <a:round/>
            </a:ln>
            <a:effectLst/>
          </c:spPr>
          <c:marker>
            <c:symbol val="circle"/>
            <c:size val="5"/>
            <c:spPr>
              <a:solidFill>
                <a:schemeClr val="accent2"/>
              </a:solidFill>
              <a:ln w="9525">
                <a:solidFill>
                  <a:schemeClr val="accent2"/>
                </a:solidFill>
              </a:ln>
              <a:effectLst/>
            </c:spPr>
          </c:marker>
          <c:xVal>
            <c:numRef>
              <c:f>'Set 1 IC'!$C$3:$C$40</c:f>
              <c:numCache>
                <c:formatCode>0.00</c:formatCode>
                <c:ptCount val="38"/>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numCache>
            </c:numRef>
          </c:xVal>
          <c:yVal>
            <c:numRef>
              <c:f>'Set 1 IC'!$BT$3:$BT$40</c:f>
              <c:numCache>
                <c:formatCode>0.00</c:formatCode>
                <c:ptCount val="38"/>
                <c:pt idx="0">
                  <c:v>0.94739913912599394</c:v>
                </c:pt>
                <c:pt idx="1">
                  <c:v>0.51648792587728898</c:v>
                </c:pt>
                <c:pt idx="2">
                  <c:v>0</c:v>
                </c:pt>
                <c:pt idx="3">
                  <c:v>0</c:v>
                </c:pt>
                <c:pt idx="4">
                  <c:v>0</c:v>
                </c:pt>
                <c:pt idx="5">
                  <c:v>0</c:v>
                </c:pt>
                <c:pt idx="6">
                  <c:v>0</c:v>
                </c:pt>
                <c:pt idx="7">
                  <c:v>0</c:v>
                </c:pt>
                <c:pt idx="8">
                  <c:v>0</c:v>
                </c:pt>
                <c:pt idx="9">
                  <c:v>0</c:v>
                </c:pt>
                <c:pt idx="10">
                  <c:v>0</c:v>
                </c:pt>
                <c:pt idx="11">
                  <c:v>0</c:v>
                </c:pt>
                <c:pt idx="12">
                  <c:v>0</c:v>
                </c:pt>
                <c:pt idx="13">
                  <c:v>8.235436233503457E-2</c:v>
                </c:pt>
                <c:pt idx="14">
                  <c:v>8.3079153202669648E-2</c:v>
                </c:pt>
                <c:pt idx="15">
                  <c:v>4.5239029988222143E-2</c:v>
                </c:pt>
                <c:pt idx="16">
                  <c:v>4.2611663093045024E-2</c:v>
                </c:pt>
                <c:pt idx="17">
                  <c:v>5.3104821676422664E-2</c:v>
                </c:pt>
                <c:pt idx="18">
                  <c:v>4.3751131494780042E-2</c:v>
                </c:pt>
                <c:pt idx="19">
                  <c:v>6.4087864341319162E-2</c:v>
                </c:pt>
                <c:pt idx="20">
                  <c:v>8.6597067165530131E-2</c:v>
                </c:pt>
                <c:pt idx="21">
                  <c:v>0</c:v>
                </c:pt>
                <c:pt idx="22">
                  <c:v>0</c:v>
                </c:pt>
                <c:pt idx="23">
                  <c:v>0</c:v>
                </c:pt>
                <c:pt idx="24">
                  <c:v>4.6999452787742452E-2</c:v>
                </c:pt>
                <c:pt idx="25">
                  <c:v>4.9066699094059703E-2</c:v>
                </c:pt>
                <c:pt idx="26">
                  <c:v>5.4934030522283697E-2</c:v>
                </c:pt>
                <c:pt idx="27">
                  <c:v>2.9394192854582387E-2</c:v>
                </c:pt>
                <c:pt idx="28">
                  <c:v>2.9663042179471862E-2</c:v>
                </c:pt>
                <c:pt idx="29">
                  <c:v>5.3714533246696991E-2</c:v>
                </c:pt>
                <c:pt idx="30">
                  <c:v>0.10105510690306012</c:v>
                </c:pt>
                <c:pt idx="31">
                  <c:v>4.2575574739317432E-2</c:v>
                </c:pt>
                <c:pt idx="32">
                  <c:v>4.5585865036645079E-2</c:v>
                </c:pt>
                <c:pt idx="33">
                  <c:v>4.1723687011525706E-2</c:v>
                </c:pt>
                <c:pt idx="34">
                  <c:v>4.4186965909436493E-2</c:v>
                </c:pt>
                <c:pt idx="35">
                  <c:v>0</c:v>
                </c:pt>
                <c:pt idx="36">
                  <c:v>-4.5134944272160662E-3</c:v>
                </c:pt>
                <c:pt idx="37">
                  <c:v>2.7633639350302375E-4</c:v>
                </c:pt>
              </c:numCache>
            </c:numRef>
          </c:yVal>
          <c:smooth val="0"/>
          <c:extLst>
            <c:ext xmlns:c16="http://schemas.microsoft.com/office/drawing/2014/chart" uri="{C3380CC4-5D6E-409C-BE32-E72D297353CC}">
              <c16:uniqueId val="{00000002-5361-0E45-9972-A76741F2BDA6}"/>
            </c:ext>
          </c:extLst>
        </c:ser>
        <c:ser>
          <c:idx val="2"/>
          <c:order val="2"/>
          <c:spPr>
            <a:ln w="25400" cap="rnd">
              <a:noFill/>
              <a:round/>
            </a:ln>
            <a:effectLst/>
          </c:spPr>
          <c:marker>
            <c:symbol val="circle"/>
            <c:size val="5"/>
            <c:spPr>
              <a:solidFill>
                <a:schemeClr val="accent3"/>
              </a:solidFill>
              <a:ln w="9525">
                <a:solidFill>
                  <a:schemeClr val="accent3"/>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IC'!$G$3:$G$58</c:f>
              <c:numCache>
                <c:formatCode>0.00</c:formatCode>
                <c:ptCount val="56"/>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pt idx="45">
                  <c:v>0.51158964716942334</c:v>
                </c:pt>
                <c:pt idx="46">
                  <c:v>0.55548047827491998</c:v>
                </c:pt>
                <c:pt idx="47">
                  <c:v>0.62963075060532681</c:v>
                </c:pt>
                <c:pt idx="48">
                  <c:v>0.70226997578692496</c:v>
                </c:pt>
                <c:pt idx="49">
                  <c:v>0.97433414043583533</c:v>
                </c:pt>
                <c:pt idx="50">
                  <c:v>1.0375760863014523</c:v>
                </c:pt>
                <c:pt idx="51">
                  <c:v>0.8973663593081419</c:v>
                </c:pt>
                <c:pt idx="52">
                  <c:v>1.0204905683119387</c:v>
                </c:pt>
                <c:pt idx="53">
                  <c:v>1.0347236673900764</c:v>
                </c:pt>
                <c:pt idx="54">
                  <c:v>1.1060142105419628</c:v>
                </c:pt>
                <c:pt idx="55">
                  <c:v>1.1120476674901905</c:v>
                </c:pt>
              </c:numCache>
            </c:numRef>
          </c:yVal>
          <c:smooth val="0"/>
          <c:extLst>
            <c:ext xmlns:c16="http://schemas.microsoft.com/office/drawing/2014/chart" uri="{C3380CC4-5D6E-409C-BE32-E72D297353CC}">
              <c16:uniqueId val="{00000003-5361-0E45-9972-A76741F2BDA6}"/>
            </c:ext>
          </c:extLst>
        </c:ser>
        <c:dLbls>
          <c:showLegendKey val="0"/>
          <c:showVal val="0"/>
          <c:showCatName val="0"/>
          <c:showSerName val="0"/>
          <c:showPercent val="0"/>
          <c:showBubbleSize val="0"/>
        </c:dLbls>
        <c:axId val="848633759"/>
        <c:axId val="848776719"/>
      </c:scatterChart>
      <c:valAx>
        <c:axId val="848633759"/>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776719"/>
        <c:crosses val="autoZero"/>
        <c:crossBetween val="midCat"/>
      </c:valAx>
      <c:valAx>
        <c:axId val="848776719"/>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(ppm)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3375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Height Derived</c:v>
          </c:tx>
          <c:spPr>
            <a:ln w="19050" cap="rnd">
              <a:noFill/>
              <a:round/>
            </a:ln>
            <a:effectLst/>
          </c:spPr>
          <c:marker>
            <c:symbol val="circle"/>
            <c:size val="5"/>
            <c:spPr>
              <a:solidFill>
                <a:schemeClr val="accent1"/>
              </a:solidFill>
              <a:ln w="9525">
                <a:solidFill>
                  <a:schemeClr val="accent1"/>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IC'!$DO$3:$DO$58</c:f>
              <c:numCache>
                <c:formatCode>0.00</c:formatCode>
                <c:ptCount val="56"/>
                <c:pt idx="0">
                  <c:v>5.7858484658735136</c:v>
                </c:pt>
                <c:pt idx="1">
                  <c:v>2.8402808837999829</c:v>
                </c:pt>
                <c:pt idx="2">
                  <c:v>3.0731505501386533</c:v>
                </c:pt>
                <c:pt idx="3">
                  <c:v>3.1625816262635302</c:v>
                </c:pt>
                <c:pt idx="4">
                  <c:v>3.4340951784596121</c:v>
                </c:pt>
                <c:pt idx="5">
                  <c:v>3.0098622417031939</c:v>
                </c:pt>
                <c:pt idx="6">
                  <c:v>3.1388317380803294</c:v>
                </c:pt>
                <c:pt idx="7">
                  <c:v>2.0959338807415109</c:v>
                </c:pt>
                <c:pt idx="8">
                  <c:v>2.1360930832944889</c:v>
                </c:pt>
                <c:pt idx="9">
                  <c:v>1.9820359281437128</c:v>
                </c:pt>
                <c:pt idx="10">
                  <c:v>1.8280684140700636</c:v>
                </c:pt>
                <c:pt idx="11">
                  <c:v>1.6904872888952633</c:v>
                </c:pt>
                <c:pt idx="12">
                  <c:v>1.5862347161963497</c:v>
                </c:pt>
                <c:pt idx="13">
                  <c:v>1.4898709883782919</c:v>
                </c:pt>
                <c:pt idx="14">
                  <c:v>1.5777001812559974</c:v>
                </c:pt>
                <c:pt idx="15">
                  <c:v>1.6129384795820452</c:v>
                </c:pt>
                <c:pt idx="16">
                  <c:v>1.5838628851689946</c:v>
                </c:pt>
                <c:pt idx="17">
                  <c:v>1.538893567743973</c:v>
                </c:pt>
                <c:pt idx="18">
                  <c:v>1.4272028634593115</c:v>
                </c:pt>
                <c:pt idx="19">
                  <c:v>1.50956942836088</c:v>
                </c:pt>
                <c:pt idx="20">
                  <c:v>1.4812085482682387</c:v>
                </c:pt>
                <c:pt idx="21">
                  <c:v>1.3106691648822271</c:v>
                </c:pt>
                <c:pt idx="22">
                  <c:v>1.3001338329764454</c:v>
                </c:pt>
                <c:pt idx="23">
                  <c:v>1.1485813704496788</c:v>
                </c:pt>
                <c:pt idx="24">
                  <c:v>1.2947638658608334</c:v>
                </c:pt>
                <c:pt idx="25">
                  <c:v>1.3608867732791359</c:v>
                </c:pt>
                <c:pt idx="26">
                  <c:v>1.3311975183184468</c:v>
                </c:pt>
                <c:pt idx="27">
                  <c:v>1.0304884214784105</c:v>
                </c:pt>
                <c:pt idx="28">
                  <c:v>0.89558094852866832</c:v>
                </c:pt>
                <c:pt idx="29">
                  <c:v>0.85803471890428418</c:v>
                </c:pt>
                <c:pt idx="30">
                  <c:v>0.99386314168922862</c:v>
                </c:pt>
                <c:pt idx="31">
                  <c:v>0.91982799808886784</c:v>
                </c:pt>
                <c:pt idx="32">
                  <c:v>0.73877627227141796</c:v>
                </c:pt>
                <c:pt idx="33">
                  <c:v>0.68998186279739682</c:v>
                </c:pt>
                <c:pt idx="34">
                  <c:v>0.55243251893737333</c:v>
                </c:pt>
                <c:pt idx="35">
                  <c:v>0.82913050688187495</c:v>
                </c:pt>
                <c:pt idx="36">
                  <c:v>0.6769830302360289</c:v>
                </c:pt>
                <c:pt idx="37">
                  <c:v>0.72571997125642573</c:v>
                </c:pt>
                <c:pt idx="38">
                  <c:v>0.77358468811253311</c:v>
                </c:pt>
                <c:pt idx="39">
                  <c:v>0.76434336446442974</c:v>
                </c:pt>
                <c:pt idx="40">
                  <c:v>0.91962988585264605</c:v>
                </c:pt>
                <c:pt idx="41">
                  <c:v>0.59980975441023865</c:v>
                </c:pt>
                <c:pt idx="42">
                  <c:v>0.47050040355125095</c:v>
                </c:pt>
                <c:pt idx="43">
                  <c:v>0.59347527849421067</c:v>
                </c:pt>
                <c:pt idx="44">
                  <c:v>0.34370301267628822</c:v>
                </c:pt>
                <c:pt idx="45">
                  <c:v>0.52316835304157017</c:v>
                </c:pt>
                <c:pt idx="46">
                  <c:v>0.54098500548579787</c:v>
                </c:pt>
                <c:pt idx="47">
                  <c:v>0.60889896460715975</c:v>
                </c:pt>
                <c:pt idx="48">
                  <c:v>0.80483860052784739</c:v>
                </c:pt>
                <c:pt idx="49">
                  <c:v>1.0391351424511064</c:v>
                </c:pt>
                <c:pt idx="50">
                  <c:v>0.95248648467143482</c:v>
                </c:pt>
                <c:pt idx="51">
                  <c:v>0.88713161635494653</c:v>
                </c:pt>
                <c:pt idx="52">
                  <c:v>1.1086822694559171</c:v>
                </c:pt>
                <c:pt idx="53">
                  <c:v>1.0285790536306885</c:v>
                </c:pt>
                <c:pt idx="54">
                  <c:v>1.1617855236592329</c:v>
                </c:pt>
                <c:pt idx="55">
                  <c:v>1.2510130752717796</c:v>
                </c:pt>
              </c:numCache>
            </c:numRef>
          </c:yVal>
          <c:smooth val="0"/>
          <c:extLst>
            <c:ext xmlns:c16="http://schemas.microsoft.com/office/drawing/2014/chart" uri="{C3380CC4-5D6E-409C-BE32-E72D297353CC}">
              <c16:uniqueId val="{00000000-BBBA-2743-A0C0-C435D1EC3A28}"/>
            </c:ext>
          </c:extLst>
        </c:ser>
        <c:ser>
          <c:idx val="1"/>
          <c:order val="1"/>
          <c:tx>
            <c:v>Area Derived</c:v>
          </c:tx>
          <c:spPr>
            <a:ln w="25400" cap="rnd">
              <a:noFill/>
              <a:round/>
            </a:ln>
            <a:effectLst/>
          </c:spPr>
          <c:marker>
            <c:symbol val="circle"/>
            <c:size val="5"/>
            <c:spPr>
              <a:solidFill>
                <a:schemeClr val="accent2"/>
              </a:solidFill>
              <a:ln w="9525">
                <a:solidFill>
                  <a:schemeClr val="accent2"/>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IC'!$G$3:$G$58</c:f>
              <c:numCache>
                <c:formatCode>0.00</c:formatCode>
                <c:ptCount val="56"/>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pt idx="45">
                  <c:v>0.51158964716942334</c:v>
                </c:pt>
                <c:pt idx="46">
                  <c:v>0.55548047827491998</c:v>
                </c:pt>
                <c:pt idx="47">
                  <c:v>0.62963075060532681</c:v>
                </c:pt>
                <c:pt idx="48">
                  <c:v>0.70226997578692496</c:v>
                </c:pt>
                <c:pt idx="49">
                  <c:v>0.97433414043583533</c:v>
                </c:pt>
                <c:pt idx="50">
                  <c:v>1.0375760863014523</c:v>
                </c:pt>
                <c:pt idx="51">
                  <c:v>0.8973663593081419</c:v>
                </c:pt>
                <c:pt idx="52">
                  <c:v>1.0204905683119387</c:v>
                </c:pt>
                <c:pt idx="53">
                  <c:v>1.0347236673900764</c:v>
                </c:pt>
                <c:pt idx="54">
                  <c:v>1.1060142105419628</c:v>
                </c:pt>
                <c:pt idx="55">
                  <c:v>1.1120476674901905</c:v>
                </c:pt>
              </c:numCache>
            </c:numRef>
          </c:yVal>
          <c:smooth val="0"/>
          <c:extLst>
            <c:ext xmlns:c16="http://schemas.microsoft.com/office/drawing/2014/chart" uri="{C3380CC4-5D6E-409C-BE32-E72D297353CC}">
              <c16:uniqueId val="{00000002-BBBA-2743-A0C0-C435D1EC3A28}"/>
            </c:ext>
          </c:extLst>
        </c:ser>
        <c:dLbls>
          <c:showLegendKey val="0"/>
          <c:showVal val="0"/>
          <c:showCatName val="0"/>
          <c:showSerName val="0"/>
          <c:showPercent val="0"/>
          <c:showBubbleSize val="0"/>
        </c:dLbls>
        <c:axId val="1762984175"/>
        <c:axId val="1763007391"/>
      </c:scatterChart>
      <c:valAx>
        <c:axId val="176298417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3007391"/>
        <c:crosses val="autoZero"/>
        <c:crossBetween val="midCat"/>
      </c:valAx>
      <c:valAx>
        <c:axId val="176300739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29841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Control</c:v>
          </c:tx>
          <c:spPr>
            <a:ln w="19050" cap="rnd">
              <a:noFill/>
              <a:round/>
            </a:ln>
            <a:effectLst/>
          </c:spPr>
          <c:marker>
            <c:symbol val="circle"/>
            <c:size val="5"/>
            <c:spPr>
              <a:solidFill>
                <a:schemeClr val="accent1"/>
              </a:solidFill>
              <a:ln w="9525">
                <a:solidFill>
                  <a:schemeClr val="accent1"/>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IC'!$BT$3:$BT$57</c:f>
              <c:numCache>
                <c:formatCode>0.00</c:formatCode>
                <c:ptCount val="55"/>
                <c:pt idx="0">
                  <c:v>0.94739913912599394</c:v>
                </c:pt>
                <c:pt idx="1">
                  <c:v>0.51648792587728898</c:v>
                </c:pt>
                <c:pt idx="2">
                  <c:v>0</c:v>
                </c:pt>
                <c:pt idx="3">
                  <c:v>0</c:v>
                </c:pt>
                <c:pt idx="4">
                  <c:v>0</c:v>
                </c:pt>
                <c:pt idx="5">
                  <c:v>0</c:v>
                </c:pt>
                <c:pt idx="6">
                  <c:v>0</c:v>
                </c:pt>
                <c:pt idx="7">
                  <c:v>0</c:v>
                </c:pt>
                <c:pt idx="8">
                  <c:v>0</c:v>
                </c:pt>
                <c:pt idx="9">
                  <c:v>0</c:v>
                </c:pt>
                <c:pt idx="10">
                  <c:v>0</c:v>
                </c:pt>
                <c:pt idx="11">
                  <c:v>0</c:v>
                </c:pt>
                <c:pt idx="12">
                  <c:v>0</c:v>
                </c:pt>
                <c:pt idx="13">
                  <c:v>8.235436233503457E-2</c:v>
                </c:pt>
                <c:pt idx="14">
                  <c:v>8.3079153202669648E-2</c:v>
                </c:pt>
                <c:pt idx="15">
                  <c:v>4.5239029988222143E-2</c:v>
                </c:pt>
                <c:pt idx="16">
                  <c:v>4.2611663093045024E-2</c:v>
                </c:pt>
                <c:pt idx="17">
                  <c:v>5.3104821676422664E-2</c:v>
                </c:pt>
                <c:pt idx="18">
                  <c:v>4.3751131494780042E-2</c:v>
                </c:pt>
                <c:pt idx="19">
                  <c:v>6.4087864341319162E-2</c:v>
                </c:pt>
                <c:pt idx="20">
                  <c:v>8.6597067165530131E-2</c:v>
                </c:pt>
                <c:pt idx="21">
                  <c:v>0</c:v>
                </c:pt>
                <c:pt idx="22">
                  <c:v>0</c:v>
                </c:pt>
                <c:pt idx="23">
                  <c:v>0</c:v>
                </c:pt>
                <c:pt idx="24">
                  <c:v>4.6999452787742452E-2</c:v>
                </c:pt>
                <c:pt idx="25">
                  <c:v>4.9066699094059703E-2</c:v>
                </c:pt>
                <c:pt idx="26">
                  <c:v>5.4934030522283697E-2</c:v>
                </c:pt>
                <c:pt idx="27">
                  <c:v>2.9394192854582387E-2</c:v>
                </c:pt>
                <c:pt idx="28">
                  <c:v>2.9663042179471862E-2</c:v>
                </c:pt>
                <c:pt idx="29">
                  <c:v>5.3714533246696991E-2</c:v>
                </c:pt>
                <c:pt idx="30">
                  <c:v>0.10105510690306012</c:v>
                </c:pt>
                <c:pt idx="31">
                  <c:v>4.2575574739317432E-2</c:v>
                </c:pt>
                <c:pt idx="32">
                  <c:v>4.5585865036645079E-2</c:v>
                </c:pt>
                <c:pt idx="33">
                  <c:v>4.1723687011525706E-2</c:v>
                </c:pt>
                <c:pt idx="34">
                  <c:v>4.4186965909436493E-2</c:v>
                </c:pt>
                <c:pt idx="35">
                  <c:v>0</c:v>
                </c:pt>
                <c:pt idx="36">
                  <c:v>-4.5134944272160662E-3</c:v>
                </c:pt>
                <c:pt idx="37">
                  <c:v>2.7633639350302375E-4</c:v>
                </c:pt>
                <c:pt idx="38">
                  <c:v>1.3757442807897209E-2</c:v>
                </c:pt>
                <c:pt idx="39">
                  <c:v>1.6170479473519277E-2</c:v>
                </c:pt>
                <c:pt idx="40">
                  <c:v>3.0460670636164217E-2</c:v>
                </c:pt>
                <c:pt idx="41">
                  <c:v>9.5706750744025695E-2</c:v>
                </c:pt>
                <c:pt idx="42">
                  <c:v>6.2468691988095598E-2</c:v>
                </c:pt>
                <c:pt idx="43">
                  <c:v>3.1729723195938579E-3</c:v>
                </c:pt>
                <c:pt idx="44">
                  <c:v>1.6590112413876461E-2</c:v>
                </c:pt>
                <c:pt idx="45">
                  <c:v>0.1258556361820265</c:v>
                </c:pt>
                <c:pt idx="46">
                  <c:v>0.13690178912423984</c:v>
                </c:pt>
                <c:pt idx="47">
                  <c:v>8.4140435835351069E-3</c:v>
                </c:pt>
                <c:pt idx="48">
                  <c:v>3.6743341404358358E-2</c:v>
                </c:pt>
                <c:pt idx="49">
                  <c:v>1.6071428571428573E-2</c:v>
                </c:pt>
                <c:pt idx="50">
                  <c:v>0</c:v>
                </c:pt>
                <c:pt idx="51">
                  <c:v>0.33616585307057195</c:v>
                </c:pt>
                <c:pt idx="52">
                  <c:v>3.4321701922497436E-2</c:v>
                </c:pt>
                <c:pt idx="53">
                  <c:v>0.10069268959776437</c:v>
                </c:pt>
                <c:pt idx="54">
                  <c:v>0.14145137794690371</c:v>
                </c:pt>
              </c:numCache>
            </c:numRef>
          </c:yVal>
          <c:smooth val="0"/>
          <c:extLst>
            <c:ext xmlns:c16="http://schemas.microsoft.com/office/drawing/2014/chart" uri="{C3380CC4-5D6E-409C-BE32-E72D297353CC}">
              <c16:uniqueId val="{00000000-F58F-1348-B06A-D54210DEED5D}"/>
            </c:ext>
          </c:extLst>
        </c:ser>
        <c:ser>
          <c:idx val="1"/>
          <c:order val="1"/>
          <c:tx>
            <c:v>1 0</c:v>
          </c:tx>
          <c:spPr>
            <a:ln w="25400" cap="rnd">
              <a:noFill/>
              <a:round/>
            </a:ln>
            <a:effectLst/>
          </c:spPr>
          <c:marker>
            <c:symbol val="circle"/>
            <c:size val="5"/>
            <c:spPr>
              <a:solidFill>
                <a:schemeClr val="accent2"/>
              </a:solidFill>
              <a:ln w="9525">
                <a:solidFill>
                  <a:schemeClr val="accent2"/>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IC'!$G$3:$G$58</c:f>
              <c:numCache>
                <c:formatCode>0.00</c:formatCode>
                <c:ptCount val="56"/>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pt idx="45">
                  <c:v>0.51158964716942334</c:v>
                </c:pt>
                <c:pt idx="46">
                  <c:v>0.55548047827491998</c:v>
                </c:pt>
                <c:pt idx="47">
                  <c:v>0.62963075060532681</c:v>
                </c:pt>
                <c:pt idx="48">
                  <c:v>0.70226997578692496</c:v>
                </c:pt>
                <c:pt idx="49">
                  <c:v>0.97433414043583533</c:v>
                </c:pt>
                <c:pt idx="50">
                  <c:v>1.0375760863014523</c:v>
                </c:pt>
                <c:pt idx="51">
                  <c:v>0.8973663593081419</c:v>
                </c:pt>
                <c:pt idx="52">
                  <c:v>1.0204905683119387</c:v>
                </c:pt>
                <c:pt idx="53">
                  <c:v>1.0347236673900764</c:v>
                </c:pt>
                <c:pt idx="54">
                  <c:v>1.1060142105419628</c:v>
                </c:pt>
                <c:pt idx="55">
                  <c:v>1.1120476674901905</c:v>
                </c:pt>
              </c:numCache>
            </c:numRef>
          </c:yVal>
          <c:smooth val="0"/>
          <c:extLst>
            <c:ext xmlns:c16="http://schemas.microsoft.com/office/drawing/2014/chart" uri="{C3380CC4-5D6E-409C-BE32-E72D297353CC}">
              <c16:uniqueId val="{00000002-F58F-1348-B06A-D54210DEED5D}"/>
            </c:ext>
          </c:extLst>
        </c:ser>
        <c:ser>
          <c:idx val="2"/>
          <c:order val="2"/>
          <c:tx>
            <c:v>1A</c:v>
          </c:tx>
          <c:spPr>
            <a:ln w="25400" cap="rnd">
              <a:noFill/>
              <a:round/>
            </a:ln>
            <a:effectLst/>
          </c:spPr>
          <c:marker>
            <c:symbol val="circle"/>
            <c:size val="5"/>
            <c:spPr>
              <a:solidFill>
                <a:schemeClr val="accent3"/>
              </a:solidFill>
              <a:ln w="9525">
                <a:solidFill>
                  <a:schemeClr val="accent3"/>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IC'!$U$3:$U$57</c:f>
              <c:numCache>
                <c:formatCode>0.00</c:formatCode>
                <c:ptCount val="55"/>
                <c:pt idx="0">
                  <c:v>6.709126723571897</c:v>
                </c:pt>
                <c:pt idx="1">
                  <c:v>3.7179543299044289</c:v>
                </c:pt>
                <c:pt idx="2">
                  <c:v>3.7662872984606408</c:v>
                </c:pt>
                <c:pt idx="3">
                  <c:v>3.7984971182607423</c:v>
                </c:pt>
                <c:pt idx="4">
                  <c:v>3.2923323849128185</c:v>
                </c:pt>
                <c:pt idx="5">
                  <c:v>3.0942219304005252</c:v>
                </c:pt>
                <c:pt idx="6">
                  <c:v>3.2553804625373899</c:v>
                </c:pt>
                <c:pt idx="7">
                  <c:v>2.3626483488132095</c:v>
                </c:pt>
                <c:pt idx="8">
                  <c:v>2.608165634674922</c:v>
                </c:pt>
                <c:pt idx="9">
                  <c:v>2.5153508771929824</c:v>
                </c:pt>
                <c:pt idx="10">
                  <c:v>2.0325077399380804</c:v>
                </c:pt>
                <c:pt idx="11">
                  <c:v>1.7879256965944275</c:v>
                </c:pt>
                <c:pt idx="12">
                  <c:v>1.757449690402477</c:v>
                </c:pt>
                <c:pt idx="13">
                  <c:v>1.6746594992903086</c:v>
                </c:pt>
                <c:pt idx="14">
                  <c:v>1.6582007066710955</c:v>
                </c:pt>
                <c:pt idx="15">
                  <c:v>1.6498354120738077</c:v>
                </c:pt>
                <c:pt idx="16">
                  <c:v>1.6230181499713103</c:v>
                </c:pt>
                <c:pt idx="17">
                  <c:v>1.6194255023836823</c:v>
                </c:pt>
                <c:pt idx="18">
                  <c:v>1.4900126727415361</c:v>
                </c:pt>
                <c:pt idx="19">
                  <c:v>1.4928489529901634</c:v>
                </c:pt>
                <c:pt idx="20">
                  <c:v>1.5501176754571238</c:v>
                </c:pt>
                <c:pt idx="21">
                  <c:v>1.3699823316078235</c:v>
                </c:pt>
                <c:pt idx="22">
                  <c:v>1.3682464895694488</c:v>
                </c:pt>
                <c:pt idx="23">
                  <c:v>1.255726728867673</c:v>
                </c:pt>
                <c:pt idx="24">
                  <c:v>1.3076852921505442</c:v>
                </c:pt>
                <c:pt idx="25">
                  <c:v>1.4111084088283579</c:v>
                </c:pt>
                <c:pt idx="26">
                  <c:v>1.4222958594272512</c:v>
                </c:pt>
                <c:pt idx="27">
                  <c:v>1.3864858406022225</c:v>
                </c:pt>
                <c:pt idx="28">
                  <c:v>1.2264308758513562</c:v>
                </c:pt>
                <c:pt idx="29">
                  <c:v>1.191156904607197</c:v>
                </c:pt>
                <c:pt idx="30">
                  <c:v>1.3018657755499858</c:v>
                </c:pt>
                <c:pt idx="31">
                  <c:v>1.1055725734088309</c:v>
                </c:pt>
                <c:pt idx="32">
                  <c:v>1.1358148587415988</c:v>
                </c:pt>
                <c:pt idx="33">
                  <c:v>1.0787641030319617</c:v>
                </c:pt>
                <c:pt idx="34">
                  <c:v>0.83453456193169717</c:v>
                </c:pt>
                <c:pt idx="35">
                  <c:v>0.97982744327427929</c:v>
                </c:pt>
                <c:pt idx="36">
                  <c:v>0.93988148239123104</c:v>
                </c:pt>
                <c:pt idx="37">
                  <c:v>0.98575332371273305</c:v>
                </c:pt>
                <c:pt idx="38">
                  <c:v>1.3375744280789723</c:v>
                </c:pt>
                <c:pt idx="39">
                  <c:v>1.0971795675336886</c:v>
                </c:pt>
                <c:pt idx="40">
                  <c:v>0.97781259793168296</c:v>
                </c:pt>
                <c:pt idx="41">
                  <c:v>1.7112296313757847</c:v>
                </c:pt>
                <c:pt idx="42">
                  <c:v>0.83180599345846717</c:v>
                </c:pt>
                <c:pt idx="43">
                  <c:v>0.77565574761271605</c:v>
                </c:pt>
                <c:pt idx="44">
                  <c:v>1.3566420887223498</c:v>
                </c:pt>
                <c:pt idx="45">
                  <c:v>1.31393401686301</c:v>
                </c:pt>
                <c:pt idx="46">
                  <c:v>1.2737154440494725</c:v>
                </c:pt>
                <c:pt idx="47">
                  <c:v>1.4368038740920099</c:v>
                </c:pt>
                <c:pt idx="48">
                  <c:v>1.3901937046004844</c:v>
                </c:pt>
                <c:pt idx="49">
                  <c:v>1.6643462469733659</c:v>
                </c:pt>
                <c:pt idx="50">
                  <c:v>1.7990417645995298</c:v>
                </c:pt>
                <c:pt idx="51">
                  <c:v>1.671397577291629</c:v>
                </c:pt>
                <c:pt idx="52">
                  <c:v>1.9776411739890314</c:v>
                </c:pt>
                <c:pt idx="53">
                  <c:v>2.1104438564675805</c:v>
                </c:pt>
                <c:pt idx="54">
                  <c:v>1.4832178850670394</c:v>
                </c:pt>
              </c:numCache>
            </c:numRef>
          </c:yVal>
          <c:smooth val="0"/>
          <c:extLst>
            <c:ext xmlns:c16="http://schemas.microsoft.com/office/drawing/2014/chart" uri="{C3380CC4-5D6E-409C-BE32-E72D297353CC}">
              <c16:uniqueId val="{00000003-F58F-1348-B06A-D54210DEED5D}"/>
            </c:ext>
          </c:extLst>
        </c:ser>
        <c:ser>
          <c:idx val="3"/>
          <c:order val="3"/>
          <c:tx>
            <c:v>1B</c:v>
          </c:tx>
          <c:spPr>
            <a:ln w="25400" cap="rnd">
              <a:noFill/>
              <a:round/>
            </a:ln>
            <a:effectLst/>
          </c:spPr>
          <c:marker>
            <c:symbol val="circle"/>
            <c:size val="5"/>
            <c:spPr>
              <a:solidFill>
                <a:schemeClr val="accent4"/>
              </a:solidFill>
              <a:ln w="9525">
                <a:solidFill>
                  <a:schemeClr val="accent4"/>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IC'!$AL$3:$AL$57</c:f>
              <c:numCache>
                <c:formatCode>0.00</c:formatCode>
                <c:ptCount val="55"/>
                <c:pt idx="0">
                  <c:v>5.8324578682425043</c:v>
                </c:pt>
                <c:pt idx="1">
                  <c:v>2.9959509739549137</c:v>
                </c:pt>
                <c:pt idx="2">
                  <c:v>3.2244838403735319</c:v>
                </c:pt>
                <c:pt idx="3">
                  <c:v>3.1377763186692933</c:v>
                </c:pt>
                <c:pt idx="4">
                  <c:v>3.6775005471656819</c:v>
                </c:pt>
                <c:pt idx="5">
                  <c:v>3.7312686948274609</c:v>
                </c:pt>
                <c:pt idx="6">
                  <c:v>3.0281607937550152</c:v>
                </c:pt>
                <c:pt idx="7">
                  <c:v>2.4642672858617134</c:v>
                </c:pt>
                <c:pt idx="8">
                  <c:v>2.1663441692466461</c:v>
                </c:pt>
                <c:pt idx="9">
                  <c:v>1.9647510319917441</c:v>
                </c:pt>
                <c:pt idx="10">
                  <c:v>1.8888673890608876</c:v>
                </c:pt>
                <c:pt idx="11">
                  <c:v>1.7976006191950464</c:v>
                </c:pt>
                <c:pt idx="12">
                  <c:v>1.7110745614035088</c:v>
                </c:pt>
                <c:pt idx="13">
                  <c:v>1.4723220487421855</c:v>
                </c:pt>
                <c:pt idx="14">
                  <c:v>1.5164738924289551</c:v>
                </c:pt>
                <c:pt idx="15">
                  <c:v>1.4625373720291122</c:v>
                </c:pt>
                <c:pt idx="16">
                  <c:v>1.5166550901458642</c:v>
                </c:pt>
                <c:pt idx="17">
                  <c:v>1.4379035664715465</c:v>
                </c:pt>
                <c:pt idx="18">
                  <c:v>1.3258403234566412</c:v>
                </c:pt>
                <c:pt idx="19">
                  <c:v>1.3225212721018647</c:v>
                </c:pt>
                <c:pt idx="20">
                  <c:v>1.4140365699112907</c:v>
                </c:pt>
                <c:pt idx="21">
                  <c:v>1.245869625864046</c:v>
                </c:pt>
                <c:pt idx="22">
                  <c:v>1.2213508570720064</c:v>
                </c:pt>
                <c:pt idx="23">
                  <c:v>1.0228449211121786</c:v>
                </c:pt>
                <c:pt idx="24">
                  <c:v>1.1631604547941874</c:v>
                </c:pt>
                <c:pt idx="25">
                  <c:v>1.1828904967471272</c:v>
                </c:pt>
                <c:pt idx="26">
                  <c:v>1.2506536146409679</c:v>
                </c:pt>
                <c:pt idx="27">
                  <c:v>1.8597801409965351</c:v>
                </c:pt>
                <c:pt idx="28">
                  <c:v>1.5769207790655992</c:v>
                </c:pt>
                <c:pt idx="29">
                  <c:v>1.7332219437482594</c:v>
                </c:pt>
                <c:pt idx="30">
                  <c:v>1.3741452396423155</c:v>
                </c:pt>
                <c:pt idx="31">
                  <c:v>1.3367369039883659</c:v>
                </c:pt>
                <c:pt idx="32">
                  <c:v>1.1783900495696864</c:v>
                </c:pt>
                <c:pt idx="33">
                  <c:v>1.147644679621689</c:v>
                </c:pt>
                <c:pt idx="34">
                  <c:v>0.88151932609555084</c:v>
                </c:pt>
                <c:pt idx="35">
                  <c:v>1.1594460990512452</c:v>
                </c:pt>
                <c:pt idx="36">
                  <c:v>0.99852620590131724</c:v>
                </c:pt>
                <c:pt idx="37">
                  <c:v>0.9879026067733121</c:v>
                </c:pt>
                <c:pt idx="38">
                  <c:v>1.163961140708242</c:v>
                </c:pt>
                <c:pt idx="39">
                  <c:v>1.0914133500470071</c:v>
                </c:pt>
                <c:pt idx="40">
                  <c:v>1.0342212472579129</c:v>
                </c:pt>
                <c:pt idx="41">
                  <c:v>1.3634086690043319</c:v>
                </c:pt>
                <c:pt idx="42">
                  <c:v>1.108760350060406</c:v>
                </c:pt>
                <c:pt idx="43">
                  <c:v>1.0109089810226037</c:v>
                </c:pt>
                <c:pt idx="44">
                  <c:v>1.5349026955155323</c:v>
                </c:pt>
                <c:pt idx="45">
                  <c:v>1.0131026175857105</c:v>
                </c:pt>
                <c:pt idx="46">
                  <c:v>1.3274185493110842</c:v>
                </c:pt>
                <c:pt idx="47">
                  <c:v>1.4230629539951576</c:v>
                </c:pt>
                <c:pt idx="48">
                  <c:v>1.425575060532688</c:v>
                </c:pt>
                <c:pt idx="49">
                  <c:v>1.6895581113801454</c:v>
                </c:pt>
                <c:pt idx="50">
                  <c:v>2.0162719218947749</c:v>
                </c:pt>
                <c:pt idx="51">
                  <c:v>2.008648225155186</c:v>
                </c:pt>
                <c:pt idx="52">
                  <c:v>2.6141746519616711</c:v>
                </c:pt>
                <c:pt idx="53">
                  <c:v>1.4688586972678896</c:v>
                </c:pt>
                <c:pt idx="54">
                  <c:v>1.5101822397954634</c:v>
                </c:pt>
              </c:numCache>
            </c:numRef>
          </c:yVal>
          <c:smooth val="0"/>
          <c:extLst>
            <c:ext xmlns:c16="http://schemas.microsoft.com/office/drawing/2014/chart" uri="{C3380CC4-5D6E-409C-BE32-E72D297353CC}">
              <c16:uniqueId val="{00000004-F58F-1348-B06A-D54210DEED5D}"/>
            </c:ext>
          </c:extLst>
        </c:ser>
        <c:ser>
          <c:idx val="4"/>
          <c:order val="4"/>
          <c:tx>
            <c:v>1C</c:v>
          </c:tx>
          <c:spPr>
            <a:ln w="25400" cap="rnd">
              <a:noFill/>
              <a:round/>
            </a:ln>
            <a:effectLst/>
          </c:spPr>
          <c:marker>
            <c:symbol val="circle"/>
            <c:size val="5"/>
            <c:spPr>
              <a:solidFill>
                <a:schemeClr val="accent5"/>
              </a:solidFill>
              <a:ln w="9525">
                <a:solidFill>
                  <a:schemeClr val="accent5"/>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IC'!$BC$3:$BC$57</c:f>
              <c:numCache>
                <c:formatCode>0.00</c:formatCode>
                <c:ptCount val="55"/>
                <c:pt idx="0">
                  <c:v>5.7770482235354201</c:v>
                </c:pt>
                <c:pt idx="1">
                  <c:v>3.1888815933464656</c:v>
                </c:pt>
                <c:pt idx="2">
                  <c:v>3.3305975049244911</c:v>
                </c:pt>
                <c:pt idx="3">
                  <c:v>2.7390384475085723</c:v>
                </c:pt>
                <c:pt idx="4">
                  <c:v>2.977930984168673</c:v>
                </c:pt>
                <c:pt idx="5">
                  <c:v>3.6680528197271465</c:v>
                </c:pt>
                <c:pt idx="6">
                  <c:v>3.2754432042022326</c:v>
                </c:pt>
                <c:pt idx="7">
                  <c:v>2.4411119711042311</c:v>
                </c:pt>
                <c:pt idx="8">
                  <c:v>2.0479876160990713</c:v>
                </c:pt>
                <c:pt idx="9">
                  <c:v>2.1322239422084626</c:v>
                </c:pt>
                <c:pt idx="10">
                  <c:v>2.0950399896800826</c:v>
                </c:pt>
                <c:pt idx="11">
                  <c:v>1.7904411764705883</c:v>
                </c:pt>
                <c:pt idx="12">
                  <c:v>1.6300954592363259</c:v>
                </c:pt>
                <c:pt idx="13">
                  <c:v>1.6248603267598827</c:v>
                </c:pt>
                <c:pt idx="14">
                  <c:v>1.6889137196871318</c:v>
                </c:pt>
                <c:pt idx="15">
                  <c:v>1.6141998610817501</c:v>
                </c:pt>
                <c:pt idx="16">
                  <c:v>1.6277594902304229</c:v>
                </c:pt>
                <c:pt idx="17">
                  <c:v>1.6496892161004162</c:v>
                </c:pt>
                <c:pt idx="18">
                  <c:v>1.4742320922092811</c:v>
                </c:pt>
                <c:pt idx="19">
                  <c:v>1.4518737553557419</c:v>
                </c:pt>
                <c:pt idx="20">
                  <c:v>1.5313197755114356</c:v>
                </c:pt>
                <c:pt idx="21">
                  <c:v>1.2906915470692166</c:v>
                </c:pt>
                <c:pt idx="22">
                  <c:v>1.2451876879203991</c:v>
                </c:pt>
                <c:pt idx="23">
                  <c:v>1.0642261554198567</c:v>
                </c:pt>
                <c:pt idx="24">
                  <c:v>1.2270018848422204</c:v>
                </c:pt>
                <c:pt idx="25">
                  <c:v>1.3241320605581564</c:v>
                </c:pt>
                <c:pt idx="26">
                  <c:v>1.3147078494558277</c:v>
                </c:pt>
                <c:pt idx="27">
                  <c:v>1.2488051141116026</c:v>
                </c:pt>
                <c:pt idx="28">
                  <c:v>1.1774405544270521</c:v>
                </c:pt>
                <c:pt idx="29">
                  <c:v>1.197933104365853</c:v>
                </c:pt>
                <c:pt idx="30">
                  <c:v>1.4177109440267335</c:v>
                </c:pt>
                <c:pt idx="31">
                  <c:v>1.260435038212816</c:v>
                </c:pt>
                <c:pt idx="32">
                  <c:v>1.1712130888300945</c:v>
                </c:pt>
                <c:pt idx="33">
                  <c:v>1.0283429127512695</c:v>
                </c:pt>
                <c:pt idx="34">
                  <c:v>0.79785907611835893</c:v>
                </c:pt>
                <c:pt idx="35">
                  <c:v>0.85701126838404618</c:v>
                </c:pt>
                <c:pt idx="36">
                  <c:v>0.92606466271607979</c:v>
                </c:pt>
                <c:pt idx="37">
                  <c:v>0.80561269919248368</c:v>
                </c:pt>
                <c:pt idx="38">
                  <c:v>1.009088060169226</c:v>
                </c:pt>
                <c:pt idx="39">
                  <c:v>0.85803823252898781</c:v>
                </c:pt>
                <c:pt idx="40">
                  <c:v>0.88611720463804455</c:v>
                </c:pt>
                <c:pt idx="41">
                  <c:v>0.85685240298199616</c:v>
                </c:pt>
                <c:pt idx="42">
                  <c:v>0.70462916580723112</c:v>
                </c:pt>
                <c:pt idx="43">
                  <c:v>0.96083645594101297</c:v>
                </c:pt>
                <c:pt idx="44">
                  <c:v>1.4063217696119905</c:v>
                </c:pt>
                <c:pt idx="45">
                  <c:v>1.4326507829254678</c:v>
                </c:pt>
                <c:pt idx="46">
                  <c:v>1.4435206674696672</c:v>
                </c:pt>
                <c:pt idx="47">
                  <c:v>1.5212469733656175</c:v>
                </c:pt>
                <c:pt idx="48">
                  <c:v>1.5151634382566588</c:v>
                </c:pt>
                <c:pt idx="49">
                  <c:v>1.6862893462469735</c:v>
                </c:pt>
                <c:pt idx="50">
                  <c:v>1.7542638462002049</c:v>
                </c:pt>
                <c:pt idx="51">
                  <c:v>1.6486771530163322</c:v>
                </c:pt>
                <c:pt idx="52">
                  <c:v>1.7752064123425539</c:v>
                </c:pt>
                <c:pt idx="53">
                  <c:v>2.0048161251003358</c:v>
                </c:pt>
                <c:pt idx="54">
                  <c:v>1.7221512025448169</c:v>
                </c:pt>
              </c:numCache>
            </c:numRef>
          </c:yVal>
          <c:smooth val="0"/>
          <c:extLst>
            <c:ext xmlns:c16="http://schemas.microsoft.com/office/drawing/2014/chart" uri="{C3380CC4-5D6E-409C-BE32-E72D297353CC}">
              <c16:uniqueId val="{00000005-F58F-1348-B06A-D54210DEED5D}"/>
            </c:ext>
          </c:extLst>
        </c:ser>
        <c:dLbls>
          <c:showLegendKey val="0"/>
          <c:showVal val="0"/>
          <c:showCatName val="0"/>
          <c:showSerName val="0"/>
          <c:showPercent val="0"/>
          <c:showBubbleSize val="0"/>
        </c:dLbls>
        <c:axId val="1834419055"/>
        <c:axId val="1747570927"/>
      </c:scatterChart>
      <c:valAx>
        <c:axId val="1834419055"/>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570927"/>
        <c:crosses val="autoZero"/>
        <c:crossBetween val="midCat"/>
      </c:valAx>
      <c:valAx>
        <c:axId val="17475709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441905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10</a:t>
            </a:r>
            <a:r>
              <a:rPr lang="en-US" baseline="0"/>
              <a:t> fitting the trend before contamination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2.8671478565179351E-2"/>
                  <c:y val="-0.138109871682706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'Set 1 IC'!$C$3:$C$47</c:f>
              <c:numCache>
                <c:formatCode>0.00</c:formatCode>
                <c:ptCount val="45"/>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numCache>
            </c:numRef>
          </c:xVal>
          <c:yVal>
            <c:numRef>
              <c:f>'Set 1 IC'!$G$3:$G$47</c:f>
              <c:numCache>
                <c:formatCode>0.00</c:formatCode>
                <c:ptCount val="45"/>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numCache>
            </c:numRef>
          </c:yVal>
          <c:smooth val="0"/>
          <c:extLst>
            <c:ext xmlns:c16="http://schemas.microsoft.com/office/drawing/2014/chart" uri="{C3380CC4-5D6E-409C-BE32-E72D297353CC}">
              <c16:uniqueId val="{00000000-B7D1-F047-872A-2883F26850A4}"/>
            </c:ext>
          </c:extLst>
        </c:ser>
        <c:dLbls>
          <c:showLegendKey val="0"/>
          <c:showVal val="0"/>
          <c:showCatName val="0"/>
          <c:showSerName val="0"/>
          <c:showPercent val="0"/>
          <c:showBubbleSize val="0"/>
        </c:dLbls>
        <c:axId val="1835662159"/>
        <c:axId val="1857524031"/>
      </c:scatterChart>
      <c:valAx>
        <c:axId val="1835662159"/>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7524031"/>
        <c:crosses val="autoZero"/>
        <c:crossBetween val="midCat"/>
      </c:valAx>
      <c:valAx>
        <c:axId val="185752403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356621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1 0</c:v>
          </c:tx>
          <c:spPr>
            <a:ln w="19050" cap="rnd">
              <a:noFill/>
              <a:round/>
            </a:ln>
            <a:effectLst/>
          </c:spPr>
          <c:marker>
            <c:symbol val="circle"/>
            <c:size val="5"/>
            <c:spPr>
              <a:solidFill>
                <a:schemeClr val="accent1"/>
              </a:solidFill>
              <a:ln w="9525">
                <a:solidFill>
                  <a:schemeClr val="accent1"/>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IC'!$DR$3:$DR$58</c:f>
              <c:numCache>
                <c:formatCode>0.00</c:formatCode>
                <c:ptCount val="56"/>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pt idx="45">
                  <c:v>0.51158964716942334</c:v>
                </c:pt>
                <c:pt idx="46">
                  <c:v>0.55548047827491998</c:v>
                </c:pt>
                <c:pt idx="47">
                  <c:v>0.62963075060532681</c:v>
                </c:pt>
                <c:pt idx="48">
                  <c:v>0.70226997578692496</c:v>
                </c:pt>
                <c:pt idx="49">
                  <c:v>0.97433414043583533</c:v>
                </c:pt>
                <c:pt idx="50">
                  <c:v>1.0375760863014523</c:v>
                </c:pt>
                <c:pt idx="51">
                  <c:v>0.8973663593081419</c:v>
                </c:pt>
                <c:pt idx="52">
                  <c:v>1.0204905683119387</c:v>
                </c:pt>
                <c:pt idx="53">
                  <c:v>1.0347236673900764</c:v>
                </c:pt>
                <c:pt idx="54">
                  <c:v>1.1060142105419628</c:v>
                </c:pt>
                <c:pt idx="55">
                  <c:v>1.1120476674901905</c:v>
                </c:pt>
              </c:numCache>
            </c:numRef>
          </c:yVal>
          <c:smooth val="0"/>
          <c:extLst>
            <c:ext xmlns:c16="http://schemas.microsoft.com/office/drawing/2014/chart" uri="{C3380CC4-5D6E-409C-BE32-E72D297353CC}">
              <c16:uniqueId val="{00000000-49C0-CB42-B540-34687FA1D767}"/>
            </c:ext>
          </c:extLst>
        </c:ser>
        <c:ser>
          <c:idx val="1"/>
          <c:order val="1"/>
          <c:tx>
            <c:v>Modelled 1 0</c:v>
          </c:tx>
          <c:spPr>
            <a:ln w="25400" cap="rnd">
              <a:noFill/>
              <a:round/>
            </a:ln>
            <a:effectLst/>
          </c:spPr>
          <c:marker>
            <c:symbol val="circle"/>
            <c:size val="5"/>
            <c:spPr>
              <a:solidFill>
                <a:schemeClr val="accent2"/>
              </a:solidFill>
              <a:ln w="9525">
                <a:solidFill>
                  <a:schemeClr val="accent2"/>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IC'!$DS$3:$DS$58</c:f>
              <c:numCache>
                <c:formatCode>0.00</c:formatCode>
                <c:ptCount val="56"/>
                <c:pt idx="0">
                  <c:v>5.8285438629608448</c:v>
                </c:pt>
                <c:pt idx="1">
                  <c:v>3.5892918288847939</c:v>
                </c:pt>
                <c:pt idx="2">
                  <c:v>3.1375136658607508</c:v>
                </c:pt>
                <c:pt idx="3">
                  <c:v>2.8596054069824537</c:v>
                </c:pt>
                <c:pt idx="4">
                  <c:v>2.662403668859131</c:v>
                </c:pt>
                <c:pt idx="5">
                  <c:v>2.2784682562341843</c:v>
                </c:pt>
                <c:pt idx="6">
                  <c:v>2.1918383063567601</c:v>
                </c:pt>
                <c:pt idx="7">
                  <c:v>2.1191453168755259</c:v>
                </c:pt>
                <c:pt idx="8">
                  <c:v>2.046773367059914</c:v>
                </c:pt>
                <c:pt idx="9">
                  <c:v>1.9799284172763079</c:v>
                </c:pt>
                <c:pt idx="10">
                  <c:v>1.7528213113238982</c:v>
                </c:pt>
                <c:pt idx="11">
                  <c:v>1.7106458882906237</c:v>
                </c:pt>
                <c:pt idx="12">
                  <c:v>1.6775837474250022</c:v>
                </c:pt>
                <c:pt idx="13">
                  <c:v>1.6347705853305472</c:v>
                </c:pt>
                <c:pt idx="14">
                  <c:v>1.4972907527831936</c:v>
                </c:pt>
                <c:pt idx="15">
                  <c:v>1.4657485868348106</c:v>
                </c:pt>
                <c:pt idx="16">
                  <c:v>1.4396193076588002</c:v>
                </c:pt>
                <c:pt idx="17">
                  <c:v>1.4094636941532697</c:v>
                </c:pt>
                <c:pt idx="18">
                  <c:v>1.3322346801778178</c:v>
                </c:pt>
                <c:pt idx="19">
                  <c:v>1.2836790063441237</c:v>
                </c:pt>
                <c:pt idx="20">
                  <c:v>1.2619996042029635</c:v>
                </c:pt>
                <c:pt idx="21">
                  <c:v>1.2398776612095705</c:v>
                </c:pt>
                <c:pt idx="22">
                  <c:v>1.1776446926201887</c:v>
                </c:pt>
                <c:pt idx="23">
                  <c:v>1.1591032628190261</c:v>
                </c:pt>
                <c:pt idx="24">
                  <c:v>1.1394410681379314</c:v>
                </c:pt>
                <c:pt idx="25">
                  <c:v>1.1156625911329776</c:v>
                </c:pt>
                <c:pt idx="26">
                  <c:v>1.1017745299790969</c:v>
                </c:pt>
                <c:pt idx="27">
                  <c:v>1.0508934636300999</c:v>
                </c:pt>
                <c:pt idx="28">
                  <c:v>1.0345840868051059</c:v>
                </c:pt>
                <c:pt idx="29">
                  <c:v>1.0189336986897342</c:v>
                </c:pt>
                <c:pt idx="30">
                  <c:v>0.98531101312821789</c:v>
                </c:pt>
                <c:pt idx="31">
                  <c:v>0.94428822932828282</c:v>
                </c:pt>
                <c:pt idx="32">
                  <c:v>0.91625031539766155</c:v>
                </c:pt>
                <c:pt idx="33">
                  <c:v>0.88965004009643689</c:v>
                </c:pt>
                <c:pt idx="34">
                  <c:v>0.85149140703154735</c:v>
                </c:pt>
                <c:pt idx="35">
                  <c:v>0.8266540348749114</c:v>
                </c:pt>
                <c:pt idx="36">
                  <c:v>0.81579713823450284</c:v>
                </c:pt>
                <c:pt idx="37">
                  <c:v>0.76797434657153563</c:v>
                </c:pt>
                <c:pt idx="38">
                  <c:v>0.74786113434260848</c:v>
                </c:pt>
                <c:pt idx="39">
                  <c:v>0.73710327964640054</c:v>
                </c:pt>
                <c:pt idx="40">
                  <c:v>0.72659582167274994</c:v>
                </c:pt>
                <c:pt idx="41">
                  <c:v>0.61138439264234101</c:v>
                </c:pt>
                <c:pt idx="42">
                  <c:v>0.60421268784395288</c:v>
                </c:pt>
                <c:pt idx="43">
                  <c:v>0.59517420910771079</c:v>
                </c:pt>
                <c:pt idx="44">
                  <c:v>0.5537526603730738</c:v>
                </c:pt>
                <c:pt idx="45">
                  <c:v>0.53775823619691288</c:v>
                </c:pt>
                <c:pt idx="46">
                  <c:v>0.5145377392302839</c:v>
                </c:pt>
                <c:pt idx="47">
                  <c:v>0.49941252609742559</c:v>
                </c:pt>
                <c:pt idx="48">
                  <c:v>0.48522847975399674</c:v>
                </c:pt>
                <c:pt idx="49">
                  <c:v>0.46159784316979646</c:v>
                </c:pt>
                <c:pt idx="50">
                  <c:v>0.4476396246998755</c:v>
                </c:pt>
                <c:pt idx="51">
                  <c:v>0.41462565138503571</c:v>
                </c:pt>
                <c:pt idx="52">
                  <c:v>0.38961693584106616</c:v>
                </c:pt>
                <c:pt idx="53">
                  <c:v>0.37094183376045287</c:v>
                </c:pt>
                <c:pt idx="54">
                  <c:v>0.35855953597687762</c:v>
                </c:pt>
                <c:pt idx="55">
                  <c:v>0.32874359532150432</c:v>
                </c:pt>
              </c:numCache>
            </c:numRef>
          </c:yVal>
          <c:smooth val="0"/>
          <c:extLst>
            <c:ext xmlns:c16="http://schemas.microsoft.com/office/drawing/2014/chart" uri="{C3380CC4-5D6E-409C-BE32-E72D297353CC}">
              <c16:uniqueId val="{00000002-49C0-CB42-B540-34687FA1D767}"/>
            </c:ext>
          </c:extLst>
        </c:ser>
        <c:ser>
          <c:idx val="2"/>
          <c:order val="2"/>
          <c:tx>
            <c:v>Adj. 1 0</c:v>
          </c:tx>
          <c:spPr>
            <a:ln w="25400" cap="rnd">
              <a:noFill/>
              <a:round/>
            </a:ln>
            <a:effectLst/>
          </c:spPr>
          <c:marker>
            <c:symbol val="circle"/>
            <c:size val="5"/>
            <c:spPr>
              <a:solidFill>
                <a:schemeClr val="accent3"/>
              </a:solidFill>
              <a:ln w="9525">
                <a:solidFill>
                  <a:schemeClr val="accent3"/>
                </a:solidFill>
              </a:ln>
              <a:effectLst/>
            </c:spPr>
          </c:marker>
          <c:xVal>
            <c:numRef>
              <c:f>'Set 1 IC'!$C$3:$C$58</c:f>
              <c:numCache>
                <c:formatCode>0.00</c:formatCode>
                <c:ptCount val="56"/>
                <c:pt idx="0">
                  <c:v>1.0333333333333334</c:v>
                </c:pt>
                <c:pt idx="1">
                  <c:v>26.033333333333335</c:v>
                </c:pt>
                <c:pt idx="2">
                  <c:v>49.916666666666664</c:v>
                </c:pt>
                <c:pt idx="3">
                  <c:v>74.5</c:v>
                </c:pt>
                <c:pt idx="4">
                  <c:v>98.983333333333334</c:v>
                </c:pt>
                <c:pt idx="5">
                  <c:v>172.11666666666667</c:v>
                </c:pt>
                <c:pt idx="6">
                  <c:v>195</c:v>
                </c:pt>
                <c:pt idx="7">
                  <c:v>216.53333333333333</c:v>
                </c:pt>
                <c:pt idx="8">
                  <c:v>240.33333333333334</c:v>
                </c:pt>
                <c:pt idx="9">
                  <c:v>264.63333333333333</c:v>
                </c:pt>
                <c:pt idx="10">
                  <c:v>367.08333333333331</c:v>
                </c:pt>
                <c:pt idx="11">
                  <c:v>390.08333333333331</c:v>
                </c:pt>
                <c:pt idx="12">
                  <c:v>409.11666666666667</c:v>
                </c:pt>
                <c:pt idx="13">
                  <c:v>435.15</c:v>
                </c:pt>
                <c:pt idx="14">
                  <c:v>530.48333333333335</c:v>
                </c:pt>
                <c:pt idx="15">
                  <c:v>555.15</c:v>
                </c:pt>
                <c:pt idx="16">
                  <c:v>576.45000000000005</c:v>
                </c:pt>
                <c:pt idx="17">
                  <c:v>602.04999999999995</c:v>
                </c:pt>
                <c:pt idx="18">
                  <c:v>672.91666666666663</c:v>
                </c:pt>
                <c:pt idx="19">
                  <c:v>721.68333333333328</c:v>
                </c:pt>
                <c:pt idx="20">
                  <c:v>744.58333333333337</c:v>
                </c:pt>
                <c:pt idx="21">
                  <c:v>768.7</c:v>
                </c:pt>
                <c:pt idx="22">
                  <c:v>840.81666666666672</c:v>
                </c:pt>
                <c:pt idx="23">
                  <c:v>863.58333333333337</c:v>
                </c:pt>
                <c:pt idx="24">
                  <c:v>888.4</c:v>
                </c:pt>
                <c:pt idx="25">
                  <c:v>919.36666666666667</c:v>
                </c:pt>
                <c:pt idx="26">
                  <c:v>937.95</c:v>
                </c:pt>
                <c:pt idx="27">
                  <c:v>1009.3</c:v>
                </c:pt>
                <c:pt idx="28">
                  <c:v>1033.3</c:v>
                </c:pt>
                <c:pt idx="29">
                  <c:v>1056.8666666666666</c:v>
                </c:pt>
                <c:pt idx="30">
                  <c:v>1109.33</c:v>
                </c:pt>
                <c:pt idx="31">
                  <c:v>1176.8800000000001</c:v>
                </c:pt>
                <c:pt idx="32">
                  <c:v>1225.4000000000001</c:v>
                </c:pt>
                <c:pt idx="33">
                  <c:v>1273.28</c:v>
                </c:pt>
                <c:pt idx="34">
                  <c:v>1345.25</c:v>
                </c:pt>
                <c:pt idx="35">
                  <c:v>1394.2666666666667</c:v>
                </c:pt>
                <c:pt idx="36">
                  <c:v>1416.25</c:v>
                </c:pt>
                <c:pt idx="37">
                  <c:v>1517.2833333333333</c:v>
                </c:pt>
                <c:pt idx="38">
                  <c:v>1561.9</c:v>
                </c:pt>
                <c:pt idx="39">
                  <c:v>1586.3</c:v>
                </c:pt>
                <c:pt idx="40">
                  <c:v>1610.5</c:v>
                </c:pt>
                <c:pt idx="41">
                  <c:v>1901.3333333333333</c:v>
                </c:pt>
                <c:pt idx="42">
                  <c:v>1921.0833333333333</c:v>
                </c:pt>
                <c:pt idx="43">
                  <c:v>1946.2666666666667</c:v>
                </c:pt>
                <c:pt idx="44">
                  <c:v>2065.9666666666662</c:v>
                </c:pt>
                <c:pt idx="45">
                  <c:v>2114.1333333333328</c:v>
                </c:pt>
                <c:pt idx="46">
                  <c:v>2186.0666666666662</c:v>
                </c:pt>
                <c:pt idx="47">
                  <c:v>2234.2333333333327</c:v>
                </c:pt>
                <c:pt idx="48">
                  <c:v>2280.3666666666663</c:v>
                </c:pt>
                <c:pt idx="49">
                  <c:v>2359.3499999999995</c:v>
                </c:pt>
                <c:pt idx="50">
                  <c:v>2407.2833333333328</c:v>
                </c:pt>
                <c:pt idx="51">
                  <c:v>2524.5666666666662</c:v>
                </c:pt>
                <c:pt idx="52">
                  <c:v>2617.1999999999994</c:v>
                </c:pt>
                <c:pt idx="53">
                  <c:v>2688.583333333333</c:v>
                </c:pt>
                <c:pt idx="54">
                  <c:v>2736.9833333333327</c:v>
                </c:pt>
                <c:pt idx="55">
                  <c:v>2857.1333333333328</c:v>
                </c:pt>
              </c:numCache>
            </c:numRef>
          </c:xVal>
          <c:yVal>
            <c:numRef>
              <c:f>'Set 1 IC'!$DU$3:$DU$58</c:f>
              <c:numCache>
                <c:formatCode>0.00</c:formatCode>
                <c:ptCount val="56"/>
                <c:pt idx="0">
                  <c:v>6.0004377325454143</c:v>
                </c:pt>
                <c:pt idx="1">
                  <c:v>2.8178303056832275</c:v>
                </c:pt>
                <c:pt idx="2">
                  <c:v>2.6734515211205956</c:v>
                </c:pt>
                <c:pt idx="3">
                  <c:v>2.9369665134602756</c:v>
                </c:pt>
                <c:pt idx="4">
                  <c:v>3.1890275041949367</c:v>
                </c:pt>
                <c:pt idx="5">
                  <c:v>2.5614284672065368</c:v>
                </c:pt>
                <c:pt idx="6">
                  <c:v>2.9093893630991463</c:v>
                </c:pt>
                <c:pt idx="7">
                  <c:v>2.0485681114551082</c:v>
                </c:pt>
                <c:pt idx="8">
                  <c:v>2.0533088235294117</c:v>
                </c:pt>
                <c:pt idx="9">
                  <c:v>1.8432985036119711</c:v>
                </c:pt>
                <c:pt idx="10">
                  <c:v>1.757546439628483</c:v>
                </c:pt>
                <c:pt idx="11">
                  <c:v>1.7836042311661506</c:v>
                </c:pt>
                <c:pt idx="12">
                  <c:v>1.4685887512899896</c:v>
                </c:pt>
                <c:pt idx="13">
                  <c:v>1.4041615075650045</c:v>
                </c:pt>
                <c:pt idx="14">
                  <c:v>1.5781415154169056</c:v>
                </c:pt>
                <c:pt idx="15">
                  <c:v>1.5449219339836315</c:v>
                </c:pt>
                <c:pt idx="16">
                  <c:v>1.5033370579530696</c:v>
                </c:pt>
                <c:pt idx="17">
                  <c:v>1.5360871401846599</c:v>
                </c:pt>
                <c:pt idx="18">
                  <c:v>1.3264136141451934</c:v>
                </c:pt>
                <c:pt idx="19">
                  <c:v>1.4185022026431717</c:v>
                </c:pt>
                <c:pt idx="20">
                  <c:v>1.4319594472270833</c:v>
                </c:pt>
                <c:pt idx="21">
                  <c:v>1.2048293605281919</c:v>
                </c:pt>
                <c:pt idx="22">
                  <c:v>1.2318279036607669</c:v>
                </c:pt>
                <c:pt idx="23">
                  <c:v>1.0621493444096586</c:v>
                </c:pt>
                <c:pt idx="24">
                  <c:v>1.2893840822034413</c:v>
                </c:pt>
                <c:pt idx="25">
                  <c:v>1.2887152672219859</c:v>
                </c:pt>
                <c:pt idx="26">
                  <c:v>1.2934577734541253</c:v>
                </c:pt>
                <c:pt idx="27">
                  <c:v>0.97442944198829007</c:v>
                </c:pt>
                <c:pt idx="28">
                  <c:v>0.89583582267893413</c:v>
                </c:pt>
                <c:pt idx="29">
                  <c:v>0.89086914817908969</c:v>
                </c:pt>
                <c:pt idx="30">
                  <c:v>1.0410594387202574</c:v>
                </c:pt>
                <c:pt idx="31">
                  <c:v>0.90160586651814723</c:v>
                </c:pt>
                <c:pt idx="32">
                  <c:v>0.7273971352978742</c:v>
                </c:pt>
                <c:pt idx="33">
                  <c:v>0.68810631633366781</c:v>
                </c:pt>
                <c:pt idx="34">
                  <c:v>0.5649423714381292</c:v>
                </c:pt>
                <c:pt idx="35">
                  <c:v>0.75860480825324694</c:v>
                </c:pt>
                <c:pt idx="36">
                  <c:v>0.68890662900303978</c:v>
                </c:pt>
                <c:pt idx="37">
                  <c:v>0.64926770855721705</c:v>
                </c:pt>
                <c:pt idx="38">
                  <c:v>0.8248198057035413</c:v>
                </c:pt>
                <c:pt idx="39">
                  <c:v>0.79984330930742709</c:v>
                </c:pt>
                <c:pt idx="40">
                  <c:v>0.93610153556878717</c:v>
                </c:pt>
                <c:pt idx="41">
                  <c:v>0.63414562277160624</c:v>
                </c:pt>
                <c:pt idx="42">
                  <c:v>0.58166602822877689</c:v>
                </c:pt>
                <c:pt idx="43">
                  <c:v>0.66173093194729837</c:v>
                </c:pt>
                <c:pt idx="44">
                  <c:v>0.40339054756436599</c:v>
                </c:pt>
                <c:pt idx="45">
                  <c:v>0.51158964716942334</c:v>
                </c:pt>
                <c:pt idx="46">
                  <c:v>0.55548047827491998</c:v>
                </c:pt>
                <c:pt idx="47">
                  <c:v>0.62963075060532681</c:v>
                </c:pt>
                <c:pt idx="48">
                  <c:v>0.70226997578692496</c:v>
                </c:pt>
                <c:pt idx="49">
                  <c:v>0.54433414043583528</c:v>
                </c:pt>
                <c:pt idx="50">
                  <c:v>0.60757608630145232</c:v>
                </c:pt>
                <c:pt idx="51">
                  <c:v>0.46736635930814191</c:v>
                </c:pt>
                <c:pt idx="52">
                  <c:v>0.5904905683119388</c:v>
                </c:pt>
                <c:pt idx="53">
                  <c:v>0.60472366739007644</c:v>
                </c:pt>
                <c:pt idx="54">
                  <c:v>0.67601421054196287</c:v>
                </c:pt>
                <c:pt idx="55">
                  <c:v>0.68204766749019052</c:v>
                </c:pt>
              </c:numCache>
            </c:numRef>
          </c:yVal>
          <c:smooth val="0"/>
          <c:extLst>
            <c:ext xmlns:c16="http://schemas.microsoft.com/office/drawing/2014/chart" uri="{C3380CC4-5D6E-409C-BE32-E72D297353CC}">
              <c16:uniqueId val="{00000003-49C0-CB42-B540-34687FA1D767}"/>
            </c:ext>
          </c:extLst>
        </c:ser>
        <c:dLbls>
          <c:showLegendKey val="0"/>
          <c:showVal val="0"/>
          <c:showCatName val="0"/>
          <c:showSerName val="0"/>
          <c:showPercent val="0"/>
          <c:showBubbleSize val="0"/>
        </c:dLbls>
        <c:axId val="1845658543"/>
        <c:axId val="1852470991"/>
      </c:scatterChart>
      <c:valAx>
        <c:axId val="184565854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2470991"/>
        <c:crosses val="autoZero"/>
        <c:crossBetween val="midCat"/>
      </c:valAx>
      <c:valAx>
        <c:axId val="1852470991"/>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565854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Fluoride</a:t>
            </a:r>
            <a:r>
              <a:rPr lang="en-US" baseline="0"/>
              <a:t> Under High Alkalinity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Column 2A</c:v>
          </c:tx>
          <c:spPr>
            <a:ln w="19050" cap="rnd">
              <a:noFill/>
              <a:round/>
            </a:ln>
            <a:effectLst/>
          </c:spPr>
          <c:marker>
            <c:symbol val="circle"/>
            <c:size val="5"/>
            <c:spPr>
              <a:solidFill>
                <a:schemeClr val="accent1"/>
              </a:solidFill>
              <a:ln w="9525">
                <a:solidFill>
                  <a:schemeClr val="accent1"/>
                </a:solidFill>
              </a:ln>
              <a:effectLst/>
            </c:spPr>
          </c:marker>
          <c:xVal>
            <c:numRef>
              <c:f>'Set 2 IC'!$C$3:$C$14</c:f>
              <c:numCache>
                <c:formatCode>0.00</c:formatCode>
                <c:ptCount val="12"/>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numCache>
            </c:numRef>
          </c:xVal>
          <c:yVal>
            <c:numRef>
              <c:f>'Set 2 IC'!$U$3:$U$14</c:f>
              <c:numCache>
                <c:formatCode>0.00</c:formatCode>
                <c:ptCount val="12"/>
                <c:pt idx="0">
                  <c:v>2.5394091847265221</c:v>
                </c:pt>
                <c:pt idx="1">
                  <c:v>4.5498746715791372</c:v>
                </c:pt>
                <c:pt idx="2">
                  <c:v>3.8273487754054294</c:v>
                </c:pt>
                <c:pt idx="3">
                  <c:v>3.8266843837767643</c:v>
                </c:pt>
                <c:pt idx="4">
                  <c:v>3.6272460966991811</c:v>
                </c:pt>
                <c:pt idx="5">
                  <c:v>3.5808943334741419</c:v>
                </c:pt>
                <c:pt idx="6">
                  <c:v>3.5188884195280914</c:v>
                </c:pt>
                <c:pt idx="7">
                  <c:v>3.4429123166978459</c:v>
                </c:pt>
                <c:pt idx="8">
                  <c:v>3.3602981111580474</c:v>
                </c:pt>
                <c:pt idx="9">
                  <c:v>3.3661696785592512</c:v>
                </c:pt>
                <c:pt idx="10">
                  <c:v>3.4174700102290689</c:v>
                </c:pt>
                <c:pt idx="11">
                  <c:v>3.2099128979262881</c:v>
                </c:pt>
              </c:numCache>
            </c:numRef>
          </c:yVal>
          <c:smooth val="0"/>
          <c:extLst>
            <c:ext xmlns:c16="http://schemas.microsoft.com/office/drawing/2014/chart" uri="{C3380CC4-5D6E-409C-BE32-E72D297353CC}">
              <c16:uniqueId val="{00000000-EAEB-7542-8F35-09D4CF628BB8}"/>
            </c:ext>
          </c:extLst>
        </c:ser>
        <c:ser>
          <c:idx val="1"/>
          <c:order val="1"/>
          <c:tx>
            <c:v>Column 2B</c:v>
          </c:tx>
          <c:spPr>
            <a:ln w="25400" cap="rnd">
              <a:noFill/>
              <a:round/>
            </a:ln>
            <a:effectLst/>
          </c:spPr>
          <c:marker>
            <c:symbol val="circle"/>
            <c:size val="5"/>
            <c:spPr>
              <a:solidFill>
                <a:schemeClr val="accent2"/>
              </a:solidFill>
              <a:ln w="9525">
                <a:solidFill>
                  <a:schemeClr val="accent2"/>
                </a:solidFill>
              </a:ln>
              <a:effectLst/>
            </c:spPr>
          </c:marker>
          <c:xVal>
            <c:numRef>
              <c:f>'Set 2 IC'!$C$3:$C$14</c:f>
              <c:numCache>
                <c:formatCode>0.00</c:formatCode>
                <c:ptCount val="12"/>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numCache>
            </c:numRef>
          </c:xVal>
          <c:yVal>
            <c:numRef>
              <c:f>'Set 2 IC'!$AI$3:$AI$14</c:f>
              <c:numCache>
                <c:formatCode>0.00</c:formatCode>
                <c:ptCount val="12"/>
                <c:pt idx="0">
                  <c:v>2.7787345201238387</c:v>
                </c:pt>
                <c:pt idx="1">
                  <c:v>4.4407332467610905</c:v>
                </c:pt>
                <c:pt idx="2">
                  <c:v>3.7083018753963697</c:v>
                </c:pt>
                <c:pt idx="3">
                  <c:v>3.6610092712831817</c:v>
                </c:pt>
                <c:pt idx="4">
                  <c:v>3.4679733035363749</c:v>
                </c:pt>
                <c:pt idx="5">
                  <c:v>3.4710035604369081</c:v>
                </c:pt>
                <c:pt idx="6">
                  <c:v>3.3937300102588863</c:v>
                </c:pt>
                <c:pt idx="7">
                  <c:v>3.3674491581678838</c:v>
                </c:pt>
                <c:pt idx="8">
                  <c:v>3.31099511194255</c:v>
                </c:pt>
                <c:pt idx="9">
                  <c:v>3.3034003905644584</c:v>
                </c:pt>
                <c:pt idx="10">
                  <c:v>3.3524069309692814</c:v>
                </c:pt>
                <c:pt idx="11">
                  <c:v>3.2071851461517</c:v>
                </c:pt>
              </c:numCache>
            </c:numRef>
          </c:yVal>
          <c:smooth val="0"/>
          <c:extLst>
            <c:ext xmlns:c16="http://schemas.microsoft.com/office/drawing/2014/chart" uri="{C3380CC4-5D6E-409C-BE32-E72D297353CC}">
              <c16:uniqueId val="{00000002-EAEB-7542-8F35-09D4CF628BB8}"/>
            </c:ext>
          </c:extLst>
        </c:ser>
        <c:ser>
          <c:idx val="2"/>
          <c:order val="2"/>
          <c:tx>
            <c:v>Column 2C</c:v>
          </c:tx>
          <c:spPr>
            <a:ln w="25400" cap="rnd">
              <a:noFill/>
              <a:round/>
            </a:ln>
            <a:effectLst/>
          </c:spPr>
          <c:marker>
            <c:symbol val="circle"/>
            <c:size val="5"/>
            <c:spPr>
              <a:solidFill>
                <a:schemeClr val="accent3"/>
              </a:solidFill>
              <a:ln w="9525">
                <a:solidFill>
                  <a:schemeClr val="accent3"/>
                </a:solidFill>
              </a:ln>
              <a:effectLst/>
            </c:spPr>
          </c:marker>
          <c:xVal>
            <c:numRef>
              <c:f>'Set 2 IC'!$C$3:$C$14</c:f>
              <c:numCache>
                <c:formatCode>0.00</c:formatCode>
                <c:ptCount val="12"/>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numCache>
            </c:numRef>
          </c:xVal>
          <c:yVal>
            <c:numRef>
              <c:f>'Set 2 IC'!$AW$3:$AW$14</c:f>
              <c:numCache>
                <c:formatCode>0.00</c:formatCode>
                <c:ptCount val="12"/>
                <c:pt idx="0">
                  <c:v>4.1385771413828687</c:v>
                </c:pt>
                <c:pt idx="1">
                  <c:v>4.2657566514661909</c:v>
                </c:pt>
                <c:pt idx="2">
                  <c:v>3.7953975779905171</c:v>
                </c:pt>
                <c:pt idx="3">
                  <c:v>3.8317579198502099</c:v>
                </c:pt>
                <c:pt idx="4">
                  <c:v>3.6148038534714462</c:v>
                </c:pt>
                <c:pt idx="5">
                  <c:v>3.5870798382716798</c:v>
                </c:pt>
                <c:pt idx="6">
                  <c:v>3.5295697302516449</c:v>
                </c:pt>
                <c:pt idx="7">
                  <c:v>3.4255023836823368</c:v>
                </c:pt>
                <c:pt idx="8">
                  <c:v>3.3613239997586146</c:v>
                </c:pt>
                <c:pt idx="9">
                  <c:v>3.3192089519853689</c:v>
                </c:pt>
                <c:pt idx="10">
                  <c:v>3.4042032175072068</c:v>
                </c:pt>
                <c:pt idx="11">
                  <c:v>3.1936703759957843</c:v>
                </c:pt>
              </c:numCache>
            </c:numRef>
          </c:yVal>
          <c:smooth val="0"/>
          <c:extLst>
            <c:ext xmlns:c16="http://schemas.microsoft.com/office/drawing/2014/chart" uri="{C3380CC4-5D6E-409C-BE32-E72D297353CC}">
              <c16:uniqueId val="{00000003-EAEB-7542-8F35-09D4CF628BB8}"/>
            </c:ext>
          </c:extLst>
        </c:ser>
        <c:ser>
          <c:idx val="3"/>
          <c:order val="3"/>
          <c:tx>
            <c:v>Control 2</c:v>
          </c:tx>
          <c:spPr>
            <a:ln w="25400" cap="rnd">
              <a:noFill/>
              <a:round/>
            </a:ln>
            <a:effectLst/>
          </c:spPr>
          <c:marker>
            <c:symbol val="circle"/>
            <c:size val="5"/>
            <c:spPr>
              <a:solidFill>
                <a:schemeClr val="accent4"/>
              </a:solidFill>
              <a:ln w="9525">
                <a:solidFill>
                  <a:schemeClr val="accent4"/>
                </a:solidFill>
              </a:ln>
              <a:effectLst/>
            </c:spPr>
          </c:marker>
          <c:xVal>
            <c:numRef>
              <c:f>'Set 2 IC'!$C$3:$C$14</c:f>
              <c:numCache>
                <c:formatCode>0.00</c:formatCode>
                <c:ptCount val="12"/>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numCache>
            </c:numRef>
          </c:xVal>
          <c:yVal>
            <c:numRef>
              <c:f>'Set 2 IC'!$G$3:$G$14</c:f>
              <c:numCache>
                <c:formatCode>0.00</c:formatCode>
                <c:ptCount val="12"/>
                <c:pt idx="0">
                  <c:v>0</c:v>
                </c:pt>
                <c:pt idx="1">
                  <c:v>0.34207108990426721</c:v>
                </c:pt>
                <c:pt idx="2">
                  <c:v>0.38691752483918707</c:v>
                </c:pt>
                <c:pt idx="3">
                  <c:v>0.36378461631383446</c:v>
                </c:pt>
                <c:pt idx="4">
                  <c:v>0.34605743967626013</c:v>
                </c:pt>
                <c:pt idx="5">
                  <c:v>0.31111580471908762</c:v>
                </c:pt>
                <c:pt idx="6">
                  <c:v>0.27442520065174097</c:v>
                </c:pt>
                <c:pt idx="7">
                  <c:v>0.28142538169090581</c:v>
                </c:pt>
                <c:pt idx="8">
                  <c:v>0.32089191961861085</c:v>
                </c:pt>
                <c:pt idx="9">
                  <c:v>0.22925513778246176</c:v>
                </c:pt>
                <c:pt idx="10">
                  <c:v>0.19584017854375252</c:v>
                </c:pt>
                <c:pt idx="11">
                  <c:v>0.14268001611853318</c:v>
                </c:pt>
              </c:numCache>
            </c:numRef>
          </c:yVal>
          <c:smooth val="0"/>
          <c:extLst>
            <c:ext xmlns:c16="http://schemas.microsoft.com/office/drawing/2014/chart" uri="{C3380CC4-5D6E-409C-BE32-E72D297353CC}">
              <c16:uniqueId val="{00000004-EAEB-7542-8F35-09D4CF628BB8}"/>
            </c:ext>
          </c:extLst>
        </c:ser>
        <c:dLbls>
          <c:showLegendKey val="0"/>
          <c:showVal val="0"/>
          <c:showCatName val="0"/>
          <c:showSerName val="0"/>
          <c:showPercent val="0"/>
          <c:showBubbleSize val="0"/>
        </c:dLbls>
        <c:axId val="493848335"/>
        <c:axId val="910196559"/>
      </c:scatterChart>
      <c:valAx>
        <c:axId val="49384833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0196559"/>
        <c:crosses val="autoZero"/>
        <c:crossBetween val="midCat"/>
      </c:valAx>
      <c:valAx>
        <c:axId val="9101965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Concentration ppm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84833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Averaged</a:t>
            </a:r>
            <a:r>
              <a:rPr lang="en-US" baseline="0"/>
              <a:t> Fluoride Set 2</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2</c:v>
          </c:tx>
          <c:spPr>
            <a:ln w="19050" cap="rnd">
              <a:noFill/>
              <a:round/>
            </a:ln>
            <a:effectLst/>
          </c:spPr>
          <c:marker>
            <c:symbol val="circle"/>
            <c:size val="5"/>
            <c:spPr>
              <a:solidFill>
                <a:schemeClr val="accent1"/>
              </a:solidFill>
              <a:ln w="9525">
                <a:solidFill>
                  <a:schemeClr val="accent1"/>
                </a:solidFill>
              </a:ln>
              <a:effectLst/>
            </c:spPr>
          </c:marker>
          <c:errBars>
            <c:errDir val="x"/>
            <c:errBarType val="both"/>
            <c:errValType val="cust"/>
            <c:noEndCap val="0"/>
            <c:plus>
              <c:numRef>
                <c:f>'Set 2 IC'!$BR$3:$BR$14</c:f>
                <c:numCache>
                  <c:formatCode>General</c:formatCode>
                  <c:ptCount val="12"/>
                  <c:pt idx="0">
                    <c:v>1.5835893980893609</c:v>
                  </c:pt>
                  <c:pt idx="1">
                    <c:v>0.26314028585618437</c:v>
                  </c:pt>
                  <c:pt idx="2">
                    <c:v>0.11312416352214488</c:v>
                  </c:pt>
                  <c:pt idx="3">
                    <c:v>0.17836541077089213</c:v>
                  </c:pt>
                  <c:pt idx="4">
                    <c:v>0.16263634000401608</c:v>
                  </c:pt>
                  <c:pt idx="5">
                    <c:v>0.11989706984470333</c:v>
                  </c:pt>
                  <c:pt idx="6">
                    <c:v>0.1386760922945445</c:v>
                  </c:pt>
                  <c:pt idx="7">
                    <c:v>7.2546027727302898E-2</c:v>
                  </c:pt>
                  <c:pt idx="8">
                    <c:v>5.2813297329698992E-2</c:v>
                  </c:pt>
                  <c:pt idx="9">
                    <c:v>5.9940183435658753E-2</c:v>
                  </c:pt>
                  <c:pt idx="10">
                    <c:v>6.3121497518935019E-2</c:v>
                  </c:pt>
                  <c:pt idx="11">
                    <c:v>1.5968912502821682E-2</c:v>
                  </c:pt>
                </c:numCache>
              </c:numRef>
            </c:plus>
            <c:minus>
              <c:numRef>
                <c:f>'Set 2 IC'!$BR$3:$BR$14</c:f>
                <c:numCache>
                  <c:formatCode>General</c:formatCode>
                  <c:ptCount val="12"/>
                  <c:pt idx="0">
                    <c:v>1.5835893980893609</c:v>
                  </c:pt>
                  <c:pt idx="1">
                    <c:v>0.26314028585618437</c:v>
                  </c:pt>
                  <c:pt idx="2">
                    <c:v>0.11312416352214488</c:v>
                  </c:pt>
                  <c:pt idx="3">
                    <c:v>0.17836541077089213</c:v>
                  </c:pt>
                  <c:pt idx="4">
                    <c:v>0.16263634000401608</c:v>
                  </c:pt>
                  <c:pt idx="5">
                    <c:v>0.11989706984470333</c:v>
                  </c:pt>
                  <c:pt idx="6">
                    <c:v>0.1386760922945445</c:v>
                  </c:pt>
                  <c:pt idx="7">
                    <c:v>7.2546027727302898E-2</c:v>
                  </c:pt>
                  <c:pt idx="8">
                    <c:v>5.2813297329698992E-2</c:v>
                  </c:pt>
                  <c:pt idx="9">
                    <c:v>5.9940183435658753E-2</c:v>
                  </c:pt>
                  <c:pt idx="10">
                    <c:v>6.3121497518935019E-2</c:v>
                  </c:pt>
                  <c:pt idx="11">
                    <c:v>1.5968912502821682E-2</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'Set 2 IC'!$C$3:$C$47</c:f>
              <c:numCache>
                <c:formatCode>0.00</c:formatCode>
                <c:ptCount val="45"/>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1176</c:v>
                </c:pt>
                <c:pt idx="28">
                  <c:v>1200.1166666666666</c:v>
                </c:pt>
                <c:pt idx="29">
                  <c:v>1223.9833333333333</c:v>
                </c:pt>
                <c:pt idx="30">
                  <c:v>1442.9166666666667</c:v>
                </c:pt>
                <c:pt idx="31">
                  <c:v>1462.7833333333333</c:v>
                </c:pt>
                <c:pt idx="32">
                  <c:v>1487.9666666666667</c:v>
                </c:pt>
                <c:pt idx="33">
                  <c:v>1607.6666666666667</c:v>
                </c:pt>
                <c:pt idx="34">
                  <c:v>1655.8333333333333</c:v>
                </c:pt>
                <c:pt idx="35">
                  <c:v>1727.7666666666667</c:v>
                </c:pt>
                <c:pt idx="36">
                  <c:v>1776.1166666666666</c:v>
                </c:pt>
                <c:pt idx="37">
                  <c:v>1822.25</c:v>
                </c:pt>
                <c:pt idx="38">
                  <c:v>1901.2333333333333</c:v>
                </c:pt>
                <c:pt idx="39">
                  <c:v>1949.1666666666667</c:v>
                </c:pt>
                <c:pt idx="40">
                  <c:v>2066.4500000000003</c:v>
                </c:pt>
                <c:pt idx="41">
                  <c:v>2159.0833333333335</c:v>
                </c:pt>
                <c:pt idx="42">
                  <c:v>2230.4666666666667</c:v>
                </c:pt>
                <c:pt idx="43">
                  <c:v>2278.8666666666668</c:v>
                </c:pt>
                <c:pt idx="44">
                  <c:v>2399.0166666666669</c:v>
                </c:pt>
              </c:numCache>
            </c:numRef>
          </c:xVal>
          <c:yVal>
            <c:numRef>
              <c:f>'Set 2 IC'!$BN$3:$BN$47</c:f>
              <c:numCache>
                <c:formatCode>0.00</c:formatCode>
                <c:ptCount val="45"/>
                <c:pt idx="0">
                  <c:v>3.1522402820777429</c:v>
                </c:pt>
                <c:pt idx="1">
                  <c:v>4.4187881899354728</c:v>
                </c:pt>
                <c:pt idx="2">
                  <c:v>3.7770160762641054</c:v>
                </c:pt>
                <c:pt idx="3">
                  <c:v>3.7731505249700521</c:v>
                </c:pt>
                <c:pt idx="4">
                  <c:v>3.5700077512356674</c:v>
                </c:pt>
                <c:pt idx="5">
                  <c:v>3.5463259107275769</c:v>
                </c:pt>
                <c:pt idx="6">
                  <c:v>3.4807293866795406</c:v>
                </c:pt>
                <c:pt idx="7">
                  <c:v>3.4119546195160222</c:v>
                </c:pt>
                <c:pt idx="8">
                  <c:v>3.3442057409530705</c:v>
                </c:pt>
                <c:pt idx="9">
                  <c:v>3.3295930070363595</c:v>
                </c:pt>
                <c:pt idx="10">
                  <c:v>3.3913600529018524</c:v>
                </c:pt>
                <c:pt idx="11">
                  <c:v>3.2035894733579244</c:v>
                </c:pt>
                <c:pt idx="12">
                  <c:v>3.2560244016132622</c:v>
                </c:pt>
                <c:pt idx="13">
                  <c:v>3.2881376542834562</c:v>
                </c:pt>
                <c:pt idx="14">
                  <c:v>3.2742040088364646</c:v>
                </c:pt>
                <c:pt idx="15">
                  <c:v>3.3400246943083602</c:v>
                </c:pt>
                <c:pt idx="16">
                  <c:v>2.9225415222846216</c:v>
                </c:pt>
                <c:pt idx="17">
                  <c:v>2.7957341914456926</c:v>
                </c:pt>
                <c:pt idx="18">
                  <c:v>2.8177955176005853</c:v>
                </c:pt>
                <c:pt idx="19">
                  <c:v>2.874614519838691</c:v>
                </c:pt>
                <c:pt idx="20">
                  <c:v>2.5855001064379772</c:v>
                </c:pt>
                <c:pt idx="21">
                  <c:v>2.6130523370738685</c:v>
                </c:pt>
                <c:pt idx="22">
                  <c:v>2.5130817342294396</c:v>
                </c:pt>
                <c:pt idx="23">
                  <c:v>2.524680933812316</c:v>
                </c:pt>
                <c:pt idx="24">
                  <c:v>2.429692857215962</c:v>
                </c:pt>
                <c:pt idx="25">
                  <c:v>2.6506186864810091</c:v>
                </c:pt>
                <c:pt idx="26">
                  <c:v>2.5530659145513419</c:v>
                </c:pt>
                <c:pt idx="27">
                  <c:v>2.4365193774156482</c:v>
                </c:pt>
                <c:pt idx="28">
                  <c:v>2.3050558863470183</c:v>
                </c:pt>
                <c:pt idx="29">
                  <c:v>2.4585850251937411</c:v>
                </c:pt>
                <c:pt idx="30">
                  <c:v>2.6703204958206874</c:v>
                </c:pt>
                <c:pt idx="31">
                  <c:v>3.0484525247763012</c:v>
                </c:pt>
                <c:pt idx="32">
                  <c:v>2.5530843305532049</c:v>
                </c:pt>
                <c:pt idx="33">
                  <c:v>2.4211591925540916</c:v>
                </c:pt>
                <c:pt idx="34">
                  <c:v>2.571129194943055</c:v>
                </c:pt>
                <c:pt idx="35">
                  <c:v>2.6917359499397748</c:v>
                </c:pt>
                <c:pt idx="36">
                  <c:v>2.5997881355932204</c:v>
                </c:pt>
                <c:pt idx="37">
                  <c:v>2.6989709443099272</c:v>
                </c:pt>
                <c:pt idx="38">
                  <c:v>2.0079398708635998</c:v>
                </c:pt>
                <c:pt idx="39">
                  <c:v>2.7197613451455438</c:v>
                </c:pt>
                <c:pt idx="40">
                  <c:v>2.5979429076518215</c:v>
                </c:pt>
                <c:pt idx="41">
                  <c:v>3.0364310251310798</c:v>
                </c:pt>
                <c:pt idx="42">
                  <c:v>3.207063650147159</c:v>
                </c:pt>
                <c:pt idx="43">
                  <c:v>2.8381246841275973</c:v>
                </c:pt>
                <c:pt idx="44">
                  <c:v>3.1572736520854527</c:v>
                </c:pt>
              </c:numCache>
            </c:numRef>
          </c:yVal>
          <c:smooth val="0"/>
          <c:extLst>
            <c:ext xmlns:c16="http://schemas.microsoft.com/office/drawing/2014/chart" uri="{C3380CC4-5D6E-409C-BE32-E72D297353CC}">
              <c16:uniqueId val="{00000000-F6A3-314D-AB12-759886AD2AF5}"/>
            </c:ext>
          </c:extLst>
        </c:ser>
        <c:ser>
          <c:idx val="1"/>
          <c:order val="1"/>
          <c:tx>
            <c:v>Control 2</c:v>
          </c:tx>
          <c:spPr>
            <a:ln w="25400" cap="rnd">
              <a:noFill/>
              <a:round/>
            </a:ln>
            <a:effectLst/>
          </c:spPr>
          <c:marker>
            <c:symbol val="circle"/>
            <c:size val="5"/>
            <c:spPr>
              <a:solidFill>
                <a:schemeClr val="accent2"/>
              </a:solidFill>
              <a:ln w="9525">
                <a:solidFill>
                  <a:schemeClr val="accent2"/>
                </a:solidFill>
              </a:ln>
              <a:effectLst/>
            </c:spPr>
          </c:marker>
          <c:xVal>
            <c:numRef>
              <c:f>'Set 2 IC'!$C$3:$C$47</c:f>
              <c:numCache>
                <c:formatCode>0.00</c:formatCode>
                <c:ptCount val="45"/>
                <c:pt idx="0">
                  <c:v>3.7</c:v>
                </c:pt>
                <c:pt idx="1">
                  <c:v>24.816666666666666</c:v>
                </c:pt>
                <c:pt idx="2">
                  <c:v>120.18333333333334</c:v>
                </c:pt>
                <c:pt idx="3">
                  <c:v>144.85</c:v>
                </c:pt>
                <c:pt idx="4">
                  <c:v>166.15</c:v>
                </c:pt>
                <c:pt idx="5">
                  <c:v>191.75</c:v>
                </c:pt>
                <c:pt idx="6">
                  <c:v>262.61666666666667</c:v>
                </c:pt>
                <c:pt idx="7">
                  <c:v>311.38333333333333</c:v>
                </c:pt>
                <c:pt idx="8">
                  <c:v>334.28333333333336</c:v>
                </c:pt>
                <c:pt idx="9">
                  <c:v>358.4</c:v>
                </c:pt>
                <c:pt idx="10">
                  <c:v>430.51666666666665</c:v>
                </c:pt>
                <c:pt idx="11">
                  <c:v>453.28333333333336</c:v>
                </c:pt>
                <c:pt idx="12">
                  <c:v>478.11666666666667</c:v>
                </c:pt>
                <c:pt idx="13">
                  <c:v>509.06666666666666</c:v>
                </c:pt>
                <c:pt idx="14">
                  <c:v>527.65</c:v>
                </c:pt>
                <c:pt idx="15">
                  <c:v>599</c:v>
                </c:pt>
                <c:pt idx="16">
                  <c:v>623</c:v>
                </c:pt>
                <c:pt idx="17">
                  <c:v>646.56666666666672</c:v>
                </c:pt>
                <c:pt idx="18">
                  <c:v>699.03</c:v>
                </c:pt>
                <c:pt idx="19">
                  <c:v>766.58</c:v>
                </c:pt>
                <c:pt idx="20">
                  <c:v>815.1</c:v>
                </c:pt>
                <c:pt idx="21">
                  <c:v>862.92</c:v>
                </c:pt>
                <c:pt idx="22">
                  <c:v>935.88</c:v>
                </c:pt>
                <c:pt idx="23">
                  <c:v>982.4</c:v>
                </c:pt>
                <c:pt idx="24">
                  <c:v>1006.7833333333333</c:v>
                </c:pt>
                <c:pt idx="25">
                  <c:v>1106.5999999999999</c:v>
                </c:pt>
                <c:pt idx="26">
                  <c:v>1151.2</c:v>
                </c:pt>
                <c:pt idx="27">
                  <c:v>1176</c:v>
                </c:pt>
                <c:pt idx="28">
                  <c:v>1200.1166666666666</c:v>
                </c:pt>
                <c:pt idx="29">
                  <c:v>1223.9833333333333</c:v>
                </c:pt>
                <c:pt idx="30">
                  <c:v>1442.9166666666667</c:v>
                </c:pt>
                <c:pt idx="31">
                  <c:v>1462.7833333333333</c:v>
                </c:pt>
                <c:pt idx="32">
                  <c:v>1487.9666666666667</c:v>
                </c:pt>
                <c:pt idx="33">
                  <c:v>1607.6666666666667</c:v>
                </c:pt>
                <c:pt idx="34">
                  <c:v>1655.8333333333333</c:v>
                </c:pt>
                <c:pt idx="35">
                  <c:v>1727.7666666666667</c:v>
                </c:pt>
                <c:pt idx="36">
                  <c:v>1776.1166666666666</c:v>
                </c:pt>
                <c:pt idx="37">
                  <c:v>1822.25</c:v>
                </c:pt>
                <c:pt idx="38">
                  <c:v>1901.2333333333333</c:v>
                </c:pt>
                <c:pt idx="39">
                  <c:v>1949.1666666666667</c:v>
                </c:pt>
                <c:pt idx="40">
                  <c:v>2066.4500000000003</c:v>
                </c:pt>
                <c:pt idx="41">
                  <c:v>2159.0833333333335</c:v>
                </c:pt>
                <c:pt idx="42">
                  <c:v>2230.4666666666667</c:v>
                </c:pt>
                <c:pt idx="43">
                  <c:v>2278.8666666666668</c:v>
                </c:pt>
                <c:pt idx="44">
                  <c:v>2399.0166666666669</c:v>
                </c:pt>
              </c:numCache>
            </c:numRef>
          </c:xVal>
          <c:yVal>
            <c:numRef>
              <c:f>'Set 2 IC'!$G$3:$G$47</c:f>
              <c:numCache>
                <c:formatCode>0.00</c:formatCode>
                <c:ptCount val="45"/>
                <c:pt idx="0">
                  <c:v>0</c:v>
                </c:pt>
                <c:pt idx="1">
                  <c:v>0.34207108990426721</c:v>
                </c:pt>
                <c:pt idx="2">
                  <c:v>0.38691752483918707</c:v>
                </c:pt>
                <c:pt idx="3">
                  <c:v>0.36378461631383446</c:v>
                </c:pt>
                <c:pt idx="4">
                  <c:v>0.34605743967626013</c:v>
                </c:pt>
                <c:pt idx="5">
                  <c:v>0.31111580471908762</c:v>
                </c:pt>
                <c:pt idx="6">
                  <c:v>0.27442520065174097</c:v>
                </c:pt>
                <c:pt idx="7">
                  <c:v>0.28142538169090581</c:v>
                </c:pt>
                <c:pt idx="8">
                  <c:v>0.32089191961861085</c:v>
                </c:pt>
                <c:pt idx="9">
                  <c:v>0.22925513778246176</c:v>
                </c:pt>
                <c:pt idx="10">
                  <c:v>0.19584017854375252</c:v>
                </c:pt>
                <c:pt idx="11">
                  <c:v>0.14268001611853318</c:v>
                </c:pt>
                <c:pt idx="12">
                  <c:v>0.23353803125190004</c:v>
                </c:pt>
                <c:pt idx="13">
                  <c:v>0.30017632394965643</c:v>
                </c:pt>
                <c:pt idx="14">
                  <c:v>0.2428406396303277</c:v>
                </c:pt>
                <c:pt idx="15">
                  <c:v>0.31834747281634607</c:v>
                </c:pt>
                <c:pt idx="16">
                  <c:v>0.42776914804636157</c:v>
                </c:pt>
                <c:pt idx="17">
                  <c:v>0.21770475571645162</c:v>
                </c:pt>
                <c:pt idx="18">
                  <c:v>0.19428200129954518</c:v>
                </c:pt>
                <c:pt idx="19">
                  <c:v>0.15359386119620039</c:v>
                </c:pt>
                <c:pt idx="20">
                  <c:v>0.15883587263935772</c:v>
                </c:pt>
                <c:pt idx="21">
                  <c:v>0.18526290180336347</c:v>
                </c:pt>
                <c:pt idx="22">
                  <c:v>0.12982392117507527</c:v>
                </c:pt>
                <c:pt idx="23">
                  <c:v>0.12628573183088213</c:v>
                </c:pt>
                <c:pt idx="24">
                  <c:v>9.3370996960299685E-2</c:v>
                </c:pt>
                <c:pt idx="25">
                  <c:v>0.11105652614449324</c:v>
                </c:pt>
                <c:pt idx="26">
                  <c:v>0.10366656220620495</c:v>
                </c:pt>
                <c:pt idx="27">
                  <c:v>0.11685991852083986</c:v>
                </c:pt>
                <c:pt idx="28">
                  <c:v>0.17104356001253529</c:v>
                </c:pt>
                <c:pt idx="29">
                  <c:v>0.24059286324660401</c:v>
                </c:pt>
                <c:pt idx="30">
                  <c:v>0.2989067978902083</c:v>
                </c:pt>
                <c:pt idx="31">
                  <c:v>0.12744202492854406</c:v>
                </c:pt>
                <c:pt idx="32">
                  <c:v>0.13395986945485311</c:v>
                </c:pt>
                <c:pt idx="33">
                  <c:v>0.23851686208146983</c:v>
                </c:pt>
                <c:pt idx="34">
                  <c:v>0.22271512089074297</c:v>
                </c:pt>
                <c:pt idx="35">
                  <c:v>0.34398777872440434</c:v>
                </c:pt>
                <c:pt idx="36">
                  <c:v>8.6955205811138025E-2</c:v>
                </c:pt>
                <c:pt idx="37">
                  <c:v>7.7481840193704604E-2</c:v>
                </c:pt>
                <c:pt idx="38">
                  <c:v>7.4909200968523007E-2</c:v>
                </c:pt>
                <c:pt idx="39">
                  <c:v>0.14876755258241425</c:v>
                </c:pt>
                <c:pt idx="40">
                  <c:v>0.16458747664677878</c:v>
                </c:pt>
                <c:pt idx="41">
                  <c:v>0.24212017115651177</c:v>
                </c:pt>
                <c:pt idx="42">
                  <c:v>0.15069714897285727</c:v>
                </c:pt>
                <c:pt idx="43">
                  <c:v>0.17486696197639501</c:v>
                </c:pt>
                <c:pt idx="44">
                  <c:v>0.18904229036477255</c:v>
                </c:pt>
              </c:numCache>
            </c:numRef>
          </c:yVal>
          <c:smooth val="0"/>
          <c:extLst>
            <c:ext xmlns:c16="http://schemas.microsoft.com/office/drawing/2014/chart" uri="{C3380CC4-5D6E-409C-BE32-E72D297353CC}">
              <c16:uniqueId val="{00000002-F6A3-314D-AB12-759886AD2AF5}"/>
            </c:ext>
          </c:extLst>
        </c:ser>
        <c:ser>
          <c:idx val="2"/>
          <c:order val="2"/>
          <c:tx>
            <c:v>20</c:v>
          </c:tx>
          <c:spPr>
            <a:ln w="25400" cap="rnd">
              <a:noFill/>
              <a:round/>
            </a:ln>
            <a:effectLst/>
          </c:spPr>
          <c:marker>
            <c:symbol val="circle"/>
            <c:size val="5"/>
            <c:spPr>
              <a:solidFill>
                <a:schemeClr val="accent3"/>
              </a:solidFill>
              <a:ln w="9525">
                <a:solidFill>
                  <a:schemeClr val="accent3"/>
                </a:solidFill>
              </a:ln>
              <a:effectLst/>
            </c:spPr>
          </c:marker>
          <c:xVal>
            <c:numRef>
              <c:f>'Set 2 IC'!$BW$3:$BW$35</c:f>
              <c:numCache>
                <c:formatCode>0.00</c:formatCode>
                <c:ptCount val="33"/>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pt idx="27">
                  <c:v>1867.3999999999999</c:v>
                </c:pt>
                <c:pt idx="28">
                  <c:v>1916.1999999999998</c:v>
                </c:pt>
                <c:pt idx="29">
                  <c:v>1964.883333333333</c:v>
                </c:pt>
                <c:pt idx="30">
                  <c:v>2060.8833333333332</c:v>
                </c:pt>
                <c:pt idx="31">
                  <c:v>2116.3666666666668</c:v>
                </c:pt>
                <c:pt idx="32">
                  <c:v>2162.9499999999998</c:v>
                </c:pt>
              </c:numCache>
            </c:numRef>
          </c:xVal>
          <c:yVal>
            <c:numRef>
              <c:f>'Set 2 IC'!$BV$3:$BV$35</c:f>
              <c:numCache>
                <c:formatCode>0.00</c:formatCode>
                <c:ptCount val="33"/>
                <c:pt idx="0">
                  <c:v>3.4565518460677134</c:v>
                </c:pt>
                <c:pt idx="1">
                  <c:v>4.828770957951499</c:v>
                </c:pt>
                <c:pt idx="2">
                  <c:v>3.5920464160522183</c:v>
                </c:pt>
                <c:pt idx="3">
                  <c:v>3.6924029977033728</c:v>
                </c:pt>
                <c:pt idx="4">
                  <c:v>2.9098680924821525</c:v>
                </c:pt>
                <c:pt idx="5">
                  <c:v>2.9178589265254562</c:v>
                </c:pt>
                <c:pt idx="6">
                  <c:v>2.8596852300242133</c:v>
                </c:pt>
                <c:pt idx="7">
                  <c:v>3.0462469733656174</c:v>
                </c:pt>
                <c:pt idx="8">
                  <c:v>3.1256053268765136</c:v>
                </c:pt>
                <c:pt idx="9">
                  <c:v>3.1033568372205145</c:v>
                </c:pt>
                <c:pt idx="10">
                  <c:v>2.9270475501717597</c:v>
                </c:pt>
                <c:pt idx="11">
                  <c:v>3.1012173808232388</c:v>
                </c:pt>
                <c:pt idx="12">
                  <c:v>3.0620745012932185</c:v>
                </c:pt>
                <c:pt idx="13">
                  <c:v>3.1197490858281056</c:v>
                </c:pt>
                <c:pt idx="14">
                  <c:v>3.2353437000435981</c:v>
                </c:pt>
                <c:pt idx="15">
                  <c:v>3.5364045923557619</c:v>
                </c:pt>
                <c:pt idx="16">
                  <c:v>3.0949967004619356</c:v>
                </c:pt>
                <c:pt idx="17">
                  <c:v>3.0745418288861455</c:v>
                </c:pt>
                <c:pt idx="18">
                  <c:v>3.0916342227708671</c:v>
                </c:pt>
                <c:pt idx="19">
                  <c:v>3.1912132434400022</c:v>
                </c:pt>
                <c:pt idx="20">
                  <c:v>3.2861904761904763</c:v>
                </c:pt>
                <c:pt idx="21">
                  <c:v>3.1673650793650796</c:v>
                </c:pt>
                <c:pt idx="22">
                  <c:v>3.1867111069962659</c:v>
                </c:pt>
                <c:pt idx="23">
                  <c:v>3.7757306422244854</c:v>
                </c:pt>
                <c:pt idx="24">
                  <c:v>3.6395395488072095</c:v>
                </c:pt>
                <c:pt idx="25">
                  <c:v>3.8806148867313914</c:v>
                </c:pt>
                <c:pt idx="26">
                  <c:v>3.8356634304207122</c:v>
                </c:pt>
                <c:pt idx="27">
                  <c:v>3.3074285714285714</c:v>
                </c:pt>
                <c:pt idx="28">
                  <c:v>3.4336507936507941</c:v>
                </c:pt>
                <c:pt idx="29">
                  <c:v>3.552</c:v>
                </c:pt>
                <c:pt idx="30">
                  <c:v>3.6269674541870014</c:v>
                </c:pt>
                <c:pt idx="31">
                  <c:v>3.1270482531269193</c:v>
                </c:pt>
                <c:pt idx="32">
                  <c:v>3.0443381592554295</c:v>
                </c:pt>
              </c:numCache>
            </c:numRef>
          </c:yVal>
          <c:smooth val="0"/>
          <c:extLst>
            <c:ext xmlns:c16="http://schemas.microsoft.com/office/drawing/2014/chart" uri="{C3380CC4-5D6E-409C-BE32-E72D297353CC}">
              <c16:uniqueId val="{00000001-22A8-8648-9249-55A479FBFC17}"/>
            </c:ext>
          </c:extLst>
        </c:ser>
        <c:dLbls>
          <c:showLegendKey val="0"/>
          <c:showVal val="0"/>
          <c:showCatName val="0"/>
          <c:showSerName val="0"/>
          <c:showPercent val="0"/>
          <c:showBubbleSize val="0"/>
        </c:dLbls>
        <c:axId val="945599903"/>
        <c:axId val="945564623"/>
      </c:scatterChart>
      <c:valAx>
        <c:axId val="9455999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564623"/>
        <c:crosses val="autoZero"/>
        <c:crossBetween val="midCat"/>
      </c:valAx>
      <c:valAx>
        <c:axId val="9455646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Concentration (ppm)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59990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Averaged</a:t>
            </a:r>
            <a:r>
              <a:rPr lang="en-US" baseline="0"/>
              <a:t> Fluoride Set 3</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3</c:v>
          </c:tx>
          <c:spPr>
            <a:ln w="19050" cap="rnd">
              <a:noFill/>
              <a:round/>
            </a:ln>
            <a:effectLst/>
          </c:spPr>
          <c:marker>
            <c:symbol val="circle"/>
            <c:size val="5"/>
            <c:spPr>
              <a:solidFill>
                <a:schemeClr val="accent1"/>
              </a:solidFill>
              <a:ln w="9525">
                <a:solidFill>
                  <a:schemeClr val="accent1"/>
                </a:solidFill>
              </a:ln>
              <a:effectLst/>
            </c:spPr>
          </c:marker>
          <c:errBars>
            <c:errDir val="x"/>
            <c:errBarType val="both"/>
            <c:errValType val="cust"/>
            <c:noEndCap val="0"/>
            <c:plus>
              <c:numRef>
                <c:f>'Set 3 IC'!$CE$3:$CE$33</c:f>
                <c:numCache>
                  <c:formatCode>General</c:formatCode>
                  <c:ptCount val="31"/>
                  <c:pt idx="0">
                    <c:v>2.9522356799728287</c:v>
                  </c:pt>
                  <c:pt idx="1">
                    <c:v>1.1834483355756058</c:v>
                  </c:pt>
                  <c:pt idx="2">
                    <c:v>0.9052471128651769</c:v>
                  </c:pt>
                  <c:pt idx="3">
                    <c:v>0.45373777200198639</c:v>
                  </c:pt>
                  <c:pt idx="4">
                    <c:v>0.65530222043633202</c:v>
                  </c:pt>
                  <c:pt idx="5">
                    <c:v>0.71834312316552396</c:v>
                  </c:pt>
                  <c:pt idx="6">
                    <c:v>0.41334144652423105</c:v>
                  </c:pt>
                  <c:pt idx="7">
                    <c:v>0.34722893326406834</c:v>
                  </c:pt>
                  <c:pt idx="8">
                    <c:v>0.28820593664897115</c:v>
                  </c:pt>
                  <c:pt idx="9">
                    <c:v>0.21575964983378457</c:v>
                  </c:pt>
                  <c:pt idx="10">
                    <c:v>0.2234203292824109</c:v>
                  </c:pt>
                  <c:pt idx="11">
                    <c:v>0.11420147072151794</c:v>
                  </c:pt>
                  <c:pt idx="12">
                    <c:v>0.52417079929771881</c:v>
                  </c:pt>
                  <c:pt idx="13">
                    <c:v>0.96563706342300648</c:v>
                  </c:pt>
                  <c:pt idx="14">
                    <c:v>0.11717020192366764</c:v>
                  </c:pt>
                  <c:pt idx="15">
                    <c:v>6.9976648371079031E-2</c:v>
                  </c:pt>
                  <c:pt idx="16">
                    <c:v>0.28116767224598166</c:v>
                  </c:pt>
                  <c:pt idx="17">
                    <c:v>7.0961364900176294E-2</c:v>
                  </c:pt>
                  <c:pt idx="18">
                    <c:v>1.6449265179016574E-2</c:v>
                  </c:pt>
                  <c:pt idx="19">
                    <c:v>0.14240823510638681</c:v>
                  </c:pt>
                  <c:pt idx="20">
                    <c:v>0.14476209023211217</c:v>
                  </c:pt>
                  <c:pt idx="21">
                    <c:v>0.17620437099147671</c:v>
                  </c:pt>
                  <c:pt idx="22">
                    <c:v>0.14569279159901338</c:v>
                  </c:pt>
                  <c:pt idx="23">
                    <c:v>0.1699407646154581</c:v>
                  </c:pt>
                  <c:pt idx="24">
                    <c:v>0.20884050033090443</c:v>
                  </c:pt>
                  <c:pt idx="25">
                    <c:v>0.38821150390768411</c:v>
                  </c:pt>
                  <c:pt idx="26">
                    <c:v>5.5158912938644993E-2</c:v>
                  </c:pt>
                  <c:pt idx="27">
                    <c:v>0.28850849852659971</c:v>
                  </c:pt>
                  <c:pt idx="28">
                    <c:v>0.12498774953118477</c:v>
                  </c:pt>
                  <c:pt idx="29">
                    <c:v>0.11983835642926322</c:v>
                  </c:pt>
                  <c:pt idx="30">
                    <c:v>4.2454812261571474E-3</c:v>
                  </c:pt>
                </c:numCache>
              </c:numRef>
            </c:plus>
            <c:minus>
              <c:numRef>
                <c:f>'Set 3 IC'!$CE$3:$CE$33</c:f>
                <c:numCache>
                  <c:formatCode>General</c:formatCode>
                  <c:ptCount val="31"/>
                  <c:pt idx="0">
                    <c:v>2.9522356799728287</c:v>
                  </c:pt>
                  <c:pt idx="1">
                    <c:v>1.1834483355756058</c:v>
                  </c:pt>
                  <c:pt idx="2">
                    <c:v>0.9052471128651769</c:v>
                  </c:pt>
                  <c:pt idx="3">
                    <c:v>0.45373777200198639</c:v>
                  </c:pt>
                  <c:pt idx="4">
                    <c:v>0.65530222043633202</c:v>
                  </c:pt>
                  <c:pt idx="5">
                    <c:v>0.71834312316552396</c:v>
                  </c:pt>
                  <c:pt idx="6">
                    <c:v>0.41334144652423105</c:v>
                  </c:pt>
                  <c:pt idx="7">
                    <c:v>0.34722893326406834</c:v>
                  </c:pt>
                  <c:pt idx="8">
                    <c:v>0.28820593664897115</c:v>
                  </c:pt>
                  <c:pt idx="9">
                    <c:v>0.21575964983378457</c:v>
                  </c:pt>
                  <c:pt idx="10">
                    <c:v>0.2234203292824109</c:v>
                  </c:pt>
                  <c:pt idx="11">
                    <c:v>0.11420147072151794</c:v>
                  </c:pt>
                  <c:pt idx="12">
                    <c:v>0.52417079929771881</c:v>
                  </c:pt>
                  <c:pt idx="13">
                    <c:v>0.96563706342300648</c:v>
                  </c:pt>
                  <c:pt idx="14">
                    <c:v>0.11717020192366764</c:v>
                  </c:pt>
                  <c:pt idx="15">
                    <c:v>6.9976648371079031E-2</c:v>
                  </c:pt>
                  <c:pt idx="16">
                    <c:v>0.28116767224598166</c:v>
                  </c:pt>
                  <c:pt idx="17">
                    <c:v>7.0961364900176294E-2</c:v>
                  </c:pt>
                  <c:pt idx="18">
                    <c:v>1.6449265179016574E-2</c:v>
                  </c:pt>
                  <c:pt idx="19">
                    <c:v>0.14240823510638681</c:v>
                  </c:pt>
                  <c:pt idx="20">
                    <c:v>0.14476209023211217</c:v>
                  </c:pt>
                  <c:pt idx="21">
                    <c:v>0.17620437099147671</c:v>
                  </c:pt>
                  <c:pt idx="22">
                    <c:v>0.14569279159901338</c:v>
                  </c:pt>
                  <c:pt idx="23">
                    <c:v>0.1699407646154581</c:v>
                  </c:pt>
                  <c:pt idx="24">
                    <c:v>0.20884050033090443</c:v>
                  </c:pt>
                  <c:pt idx="25">
                    <c:v>0.38821150390768411</c:v>
                  </c:pt>
                  <c:pt idx="26">
                    <c:v>5.5158912938644993E-2</c:v>
                  </c:pt>
                  <c:pt idx="27">
                    <c:v>0.28850849852659971</c:v>
                  </c:pt>
                  <c:pt idx="28">
                    <c:v>0.12498774953118477</c:v>
                  </c:pt>
                  <c:pt idx="29">
                    <c:v>0.11983835642926322</c:v>
                  </c:pt>
                  <c:pt idx="30">
                    <c:v>4.2454812261571474E-3</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'Set 3 IC'!$C$3:$C$46</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IC'!$CA$3:$CA$46</c:f>
              <c:numCache>
                <c:formatCode>0.00</c:formatCode>
                <c:ptCount val="44"/>
                <c:pt idx="0">
                  <c:v>1.8517561460043368</c:v>
                </c:pt>
                <c:pt idx="1">
                  <c:v>3.2786121075778767</c:v>
                </c:pt>
                <c:pt idx="2">
                  <c:v>2.768944691027746</c:v>
                </c:pt>
                <c:pt idx="3">
                  <c:v>2.797128290914884</c:v>
                </c:pt>
                <c:pt idx="4">
                  <c:v>2.7895355673133451</c:v>
                </c:pt>
                <c:pt idx="5">
                  <c:v>2.496776921728189</c:v>
                </c:pt>
                <c:pt idx="6">
                  <c:v>2.1507472384665367</c:v>
                </c:pt>
                <c:pt idx="7">
                  <c:v>1.688030289207189</c:v>
                </c:pt>
                <c:pt idx="8">
                  <c:v>1.1761396466259162</c:v>
                </c:pt>
                <c:pt idx="9">
                  <c:v>0.96592464191223437</c:v>
                </c:pt>
                <c:pt idx="10">
                  <c:v>1.7399213976480705</c:v>
                </c:pt>
                <c:pt idx="11">
                  <c:v>0.98383432098007306</c:v>
                </c:pt>
                <c:pt idx="12">
                  <c:v>1.3954987871902729</c:v>
                </c:pt>
                <c:pt idx="13">
                  <c:v>1.4082575994985898</c:v>
                </c:pt>
                <c:pt idx="14">
                  <c:v>1.5319649012848635</c:v>
                </c:pt>
                <c:pt idx="15">
                  <c:v>1.1413350047007209</c:v>
                </c:pt>
                <c:pt idx="16">
                  <c:v>1.5349029083301411</c:v>
                </c:pt>
                <c:pt idx="17">
                  <c:v>1.4300763178831364</c:v>
                </c:pt>
                <c:pt idx="18">
                  <c:v>1.2713262810501811</c:v>
                </c:pt>
                <c:pt idx="19">
                  <c:v>1.1134110963374835</c:v>
                </c:pt>
                <c:pt idx="20">
                  <c:v>1.1286715822555298</c:v>
                </c:pt>
                <c:pt idx="21">
                  <c:v>1.8611005023649341</c:v>
                </c:pt>
                <c:pt idx="22">
                  <c:v>1.7622433091453922</c:v>
                </c:pt>
                <c:pt idx="23">
                  <c:v>1.1406628329297819</c:v>
                </c:pt>
                <c:pt idx="24">
                  <c:v>1.1465647699757868</c:v>
                </c:pt>
                <c:pt idx="25">
                  <c:v>1.0348062953995156</c:v>
                </c:pt>
                <c:pt idx="26">
                  <c:v>2.1161031760380888</c:v>
                </c:pt>
                <c:pt idx="27">
                  <c:v>1.8785783161574159</c:v>
                </c:pt>
                <c:pt idx="28">
                  <c:v>1.8720996805882</c:v>
                </c:pt>
                <c:pt idx="29">
                  <c:v>1.9571454053571959</c:v>
                </c:pt>
                <c:pt idx="30">
                  <c:v>2.1613104616939678</c:v>
                </c:pt>
                <c:pt idx="31">
                  <c:v>2.1393692777212614</c:v>
                </c:pt>
                <c:pt idx="32">
                  <c:v>2.3573608487138498</c:v>
                </c:pt>
                <c:pt idx="33">
                  <c:v>2.1449247105405242</c:v>
                </c:pt>
                <c:pt idx="34">
                  <c:v>1.5736080777387396</c:v>
                </c:pt>
                <c:pt idx="35">
                  <c:v>1.2710885322698067</c:v>
                </c:pt>
                <c:pt idx="36">
                  <c:v>1.5830247206659704</c:v>
                </c:pt>
                <c:pt idx="37">
                  <c:v>1.561984126984127</c:v>
                </c:pt>
                <c:pt idx="38">
                  <c:v>2.1293650793650793</c:v>
                </c:pt>
                <c:pt idx="39">
                  <c:v>2.633938215597321</c:v>
                </c:pt>
                <c:pt idx="40">
                  <c:v>3.0959324753880817</c:v>
                </c:pt>
                <c:pt idx="41">
                  <c:v>4.137888467117242</c:v>
                </c:pt>
                <c:pt idx="42">
                  <c:v>1.5864886731391585</c:v>
                </c:pt>
                <c:pt idx="43">
                  <c:v>2.5499190938511322</c:v>
                </c:pt>
              </c:numCache>
            </c:numRef>
          </c:yVal>
          <c:smooth val="0"/>
          <c:extLst>
            <c:ext xmlns:c16="http://schemas.microsoft.com/office/drawing/2014/chart" uri="{C3380CC4-5D6E-409C-BE32-E72D297353CC}">
              <c16:uniqueId val="{00000000-3EC0-A045-B5B8-588F9CA3E190}"/>
            </c:ext>
          </c:extLst>
        </c:ser>
        <c:ser>
          <c:idx val="1"/>
          <c:order val="1"/>
          <c:tx>
            <c:v>Control</c:v>
          </c:tx>
          <c:spPr>
            <a:ln w="25400" cap="rnd">
              <a:noFill/>
              <a:round/>
            </a:ln>
            <a:effectLst/>
          </c:spPr>
          <c:marker>
            <c:symbol val="circle"/>
            <c:size val="5"/>
            <c:spPr>
              <a:solidFill>
                <a:schemeClr val="accent2"/>
              </a:solidFill>
              <a:ln w="9525">
                <a:solidFill>
                  <a:schemeClr val="accent2"/>
                </a:solidFill>
              </a:ln>
              <a:effectLst/>
            </c:spPr>
          </c:marker>
          <c:xVal>
            <c:numRef>
              <c:f>'Set 3 IC'!$C$3:$C$46</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IC'!$G$3:$G$46</c:f>
              <c:numCache>
                <c:formatCode>0.00</c:formatCode>
                <c:ptCount val="44"/>
                <c:pt idx="0">
                  <c:v>1.4644008025779778</c:v>
                </c:pt>
                <c:pt idx="1">
                  <c:v>0.27026205387000668</c:v>
                </c:pt>
                <c:pt idx="2">
                  <c:v>0.19334833100261439</c:v>
                </c:pt>
                <c:pt idx="3">
                  <c:v>0.20283187955550247</c:v>
                </c:pt>
                <c:pt idx="4">
                  <c:v>0.27228565240261143</c:v>
                </c:pt>
                <c:pt idx="5">
                  <c:v>0.263467310250936</c:v>
                </c:pt>
                <c:pt idx="6">
                  <c:v>0.21442495126705652</c:v>
                </c:pt>
                <c:pt idx="7">
                  <c:v>0</c:v>
                </c:pt>
                <c:pt idx="8">
                  <c:v>0</c:v>
                </c:pt>
                <c:pt idx="9">
                  <c:v>0.20360064471003259</c:v>
                </c:pt>
                <c:pt idx="10">
                  <c:v>9.6717737726058524E-3</c:v>
                </c:pt>
                <c:pt idx="11">
                  <c:v>0</c:v>
                </c:pt>
                <c:pt idx="12">
                  <c:v>4.9894071049157177E-2</c:v>
                </c:pt>
                <c:pt idx="13">
                  <c:v>5.3431526167345644E-2</c:v>
                </c:pt>
                <c:pt idx="14">
                  <c:v>0.12268881228455031</c:v>
                </c:pt>
                <c:pt idx="15">
                  <c:v>0.12770291444688187</c:v>
                </c:pt>
                <c:pt idx="16">
                  <c:v>0.34446179685888562</c:v>
                </c:pt>
                <c:pt idx="17">
                  <c:v>0.31529009635501082</c:v>
                </c:pt>
                <c:pt idx="18">
                  <c:v>0.23882488139788433</c:v>
                </c:pt>
                <c:pt idx="19">
                  <c:v>7.5546959990330058E-4</c:v>
                </c:pt>
                <c:pt idx="20">
                  <c:v>0.1328115556630001</c:v>
                </c:pt>
                <c:pt idx="21">
                  <c:v>0.58991157202032962</c:v>
                </c:pt>
                <c:pt idx="22">
                  <c:v>0.58976468168865126</c:v>
                </c:pt>
                <c:pt idx="23">
                  <c:v>0</c:v>
                </c:pt>
                <c:pt idx="24">
                  <c:v>0</c:v>
                </c:pt>
                <c:pt idx="25">
                  <c:v>0</c:v>
                </c:pt>
                <c:pt idx="26">
                  <c:v>6.8402338335442653E-2</c:v>
                </c:pt>
                <c:pt idx="27">
                  <c:v>6.8402338335442653E-2</c:v>
                </c:pt>
                <c:pt idx="28">
                  <c:v>6.8402338335442653E-2</c:v>
                </c:pt>
                <c:pt idx="29">
                  <c:v>9.8998127062460986E-2</c:v>
                </c:pt>
                <c:pt idx="30">
                  <c:v>9.8998127062460986E-2</c:v>
                </c:pt>
                <c:pt idx="31">
                  <c:v>2.0781863101293416E-2</c:v>
                </c:pt>
                <c:pt idx="32">
                  <c:v>2.0781863101293416E-2</c:v>
                </c:pt>
                <c:pt idx="33">
                  <c:v>0.15747795308656787</c:v>
                </c:pt>
                <c:pt idx="34">
                  <c:v>0</c:v>
                </c:pt>
                <c:pt idx="35">
                  <c:v>0.25100496945525913</c:v>
                </c:pt>
                <c:pt idx="36">
                  <c:v>0</c:v>
                </c:pt>
                <c:pt idx="37">
                  <c:v>0</c:v>
                </c:pt>
                <c:pt idx="38">
                  <c:v>0</c:v>
                </c:pt>
                <c:pt idx="39">
                  <c:v>0</c:v>
                </c:pt>
                <c:pt idx="40">
                  <c:v>0</c:v>
                </c:pt>
                <c:pt idx="41">
                  <c:v>2.2061228898558776</c:v>
                </c:pt>
                <c:pt idx="42">
                  <c:v>0</c:v>
                </c:pt>
                <c:pt idx="43">
                  <c:v>0</c:v>
                </c:pt>
              </c:numCache>
            </c:numRef>
          </c:yVal>
          <c:smooth val="0"/>
          <c:extLst>
            <c:ext xmlns:c16="http://schemas.microsoft.com/office/drawing/2014/chart" uri="{C3380CC4-5D6E-409C-BE32-E72D297353CC}">
              <c16:uniqueId val="{00000002-3EC0-A045-B5B8-588F9CA3E190}"/>
            </c:ext>
          </c:extLst>
        </c:ser>
        <c:ser>
          <c:idx val="2"/>
          <c:order val="2"/>
          <c:tx>
            <c:v>30</c:v>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'Set 3 IC'!$CG$3:$CG$35</c:f>
              <c:numCache>
                <c:formatCode>0.00</c:formatCode>
                <c:ptCount val="33"/>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pt idx="27">
                  <c:v>1867.3999999999999</c:v>
                </c:pt>
                <c:pt idx="28">
                  <c:v>1916.1999999999998</c:v>
                </c:pt>
                <c:pt idx="29">
                  <c:v>1964.883333333333</c:v>
                </c:pt>
                <c:pt idx="30">
                  <c:v>2060.8833333333332</c:v>
                </c:pt>
                <c:pt idx="31">
                  <c:v>2116.3666666666668</c:v>
                </c:pt>
                <c:pt idx="32">
                  <c:v>2162.9499999999998</c:v>
                </c:pt>
              </c:numCache>
            </c:numRef>
          </c:xVal>
          <c:yVal>
            <c:numRef>
              <c:f>'Set 3 IC'!$CH$3:$CH$35</c:f>
              <c:numCache>
                <c:formatCode>0.00</c:formatCode>
                <c:ptCount val="33"/>
                <c:pt idx="0">
                  <c:v>3.411762972566815</c:v>
                </c:pt>
                <c:pt idx="1">
                  <c:v>4.2262132775436836</c:v>
                </c:pt>
                <c:pt idx="2">
                  <c:v>3.1998670373504172</c:v>
                </c:pt>
                <c:pt idx="3">
                  <c:v>3.1740299770337241</c:v>
                </c:pt>
                <c:pt idx="4">
                  <c:v>2.3337935897059254</c:v>
                </c:pt>
                <c:pt idx="5">
                  <c:v>2.0284085901465962</c:v>
                </c:pt>
                <c:pt idx="6">
                  <c:v>1.4207021791767558</c:v>
                </c:pt>
                <c:pt idx="7">
                  <c:v>1.7528753026634387</c:v>
                </c:pt>
                <c:pt idx="8">
                  <c:v>1.4131355932203391</c:v>
                </c:pt>
                <c:pt idx="9">
                  <c:v>2.1176098354727904</c:v>
                </c:pt>
                <c:pt idx="10">
                  <c:v>1.5559271982161151</c:v>
                </c:pt>
                <c:pt idx="11">
                  <c:v>2.0446875188332432</c:v>
                </c:pt>
                <c:pt idx="12">
                  <c:v>1.8264113922169036</c:v>
                </c:pt>
                <c:pt idx="13">
                  <c:v>2.2368225466004694</c:v>
                </c:pt>
                <c:pt idx="14">
                  <c:v>1.8229908443540181</c:v>
                </c:pt>
                <c:pt idx="15">
                  <c:v>1.7530882139223949</c:v>
                </c:pt>
                <c:pt idx="16">
                  <c:v>1.9278301037854697</c:v>
                </c:pt>
                <c:pt idx="17">
                  <c:v>1.5992466685658215</c:v>
                </c:pt>
                <c:pt idx="18">
                  <c:v>1.5212230557401956</c:v>
                </c:pt>
                <c:pt idx="19">
                  <c:v>1.6190476190476191</c:v>
                </c:pt>
                <c:pt idx="20">
                  <c:v>1.7085714285714286</c:v>
                </c:pt>
                <c:pt idx="21">
                  <c:v>1.5503174603174605</c:v>
                </c:pt>
                <c:pt idx="22">
                  <c:v>2.3676820047526466</c:v>
                </c:pt>
                <c:pt idx="23">
                  <c:v>2.4594944912508101</c:v>
                </c:pt>
                <c:pt idx="24">
                  <c:v>2.1687806684566242</c:v>
                </c:pt>
                <c:pt idx="25">
                  <c:v>2.0621359223300972</c:v>
                </c:pt>
                <c:pt idx="26">
                  <c:v>2.1169902912621361</c:v>
                </c:pt>
                <c:pt idx="27">
                  <c:v>1.6915873015873015</c:v>
                </c:pt>
                <c:pt idx="28">
                  <c:v>1.6050793650793649</c:v>
                </c:pt>
                <c:pt idx="29">
                  <c:v>1.6357142857142857</c:v>
                </c:pt>
                <c:pt idx="30">
                  <c:v>2.7054717042112406</c:v>
                </c:pt>
                <c:pt idx="31">
                  <c:v>2.629359102808571</c:v>
                </c:pt>
                <c:pt idx="32">
                  <c:v>2.2388831437435366</c:v>
                </c:pt>
              </c:numCache>
            </c:numRef>
          </c:yVal>
          <c:smooth val="0"/>
          <c:extLst>
            <c:ext xmlns:c16="http://schemas.microsoft.com/office/drawing/2014/chart" uri="{C3380CC4-5D6E-409C-BE32-E72D297353CC}">
              <c16:uniqueId val="{00000001-984E-F542-AA97-CF7B840A6B98}"/>
            </c:ext>
          </c:extLst>
        </c:ser>
        <c:ser>
          <c:idx val="3"/>
          <c:order val="3"/>
          <c:tx>
            <c:v>Machine Average</c:v>
          </c:tx>
          <c:spPr>
            <a:ln w="25400" cap="rnd">
              <a:noFill/>
              <a:round/>
            </a:ln>
            <a:effectLst/>
          </c:spPr>
          <c:marker>
            <c:symbol val="circle"/>
            <c:size val="5"/>
            <c:spPr>
              <a:solidFill>
                <a:schemeClr val="accent4"/>
              </a:solidFill>
              <a:ln w="9525">
                <a:solidFill>
                  <a:schemeClr val="accent4"/>
                </a:solidFill>
              </a:ln>
              <a:effectLst/>
            </c:spPr>
          </c:marker>
          <c:xVal>
            <c:numRef>
              <c:f>'Set 3 IC'!$C$3:$C$46</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IC'!$CI$3:$CI$46</c:f>
              <c:numCache>
                <c:formatCode>General</c:formatCode>
                <c:ptCount val="44"/>
                <c:pt idx="0">
                  <c:v>5.5667500000000008</c:v>
                </c:pt>
                <c:pt idx="1">
                  <c:v>6.1859999999999999</c:v>
                </c:pt>
                <c:pt idx="2">
                  <c:v>5.556</c:v>
                </c:pt>
                <c:pt idx="3">
                  <c:v>5.7108333333333334</c:v>
                </c:pt>
                <c:pt idx="4">
                  <c:v>5.4319999999999995</c:v>
                </c:pt>
                <c:pt idx="5">
                  <c:v>5.0765000000000002</c:v>
                </c:pt>
                <c:pt idx="6">
                  <c:v>4.9005000000000001</c:v>
                </c:pt>
                <c:pt idx="7">
                  <c:v>4.1014999999999997</c:v>
                </c:pt>
                <c:pt idx="8">
                  <c:v>3.4681666666666668</c:v>
                </c:pt>
                <c:pt idx="9">
                  <c:v>3.2558333333333334</c:v>
                </c:pt>
                <c:pt idx="10">
                  <c:v>4.4976666666666665</c:v>
                </c:pt>
                <c:pt idx="11">
                  <c:v>3.5820000000000003</c:v>
                </c:pt>
                <c:pt idx="12">
                  <c:v>4.0446666666666671</c:v>
                </c:pt>
                <c:pt idx="13">
                  <c:v>3.9831666666666661</c:v>
                </c:pt>
                <c:pt idx="14">
                  <c:v>4.1944999999999997</c:v>
                </c:pt>
                <c:pt idx="15">
                  <c:v>4.0010000000000003</c:v>
                </c:pt>
                <c:pt idx="16">
                  <c:v>4.0729999999999995</c:v>
                </c:pt>
                <c:pt idx="17">
                  <c:v>3.8091666666666666</c:v>
                </c:pt>
                <c:pt idx="18">
                  <c:v>3.656166666666667</c:v>
                </c:pt>
                <c:pt idx="19">
                  <c:v>3.7638333333333329</c:v>
                </c:pt>
                <c:pt idx="20">
                  <c:v>3.7636666666666669</c:v>
                </c:pt>
                <c:pt idx="21">
                  <c:v>4.0090000000000003</c:v>
                </c:pt>
                <c:pt idx="22">
                  <c:v>3.872666666666666</c:v>
                </c:pt>
                <c:pt idx="23">
                  <c:v>3.7713333333333332</c:v>
                </c:pt>
                <c:pt idx="24">
                  <c:v>3.78</c:v>
                </c:pt>
                <c:pt idx="25">
                  <c:v>3.7771666666666666</c:v>
                </c:pt>
                <c:pt idx="26">
                  <c:v>4.7024999999999997</c:v>
                </c:pt>
                <c:pt idx="27">
                  <c:v>4.4009999999999998</c:v>
                </c:pt>
                <c:pt idx="28">
                  <c:v>4.4743333333333331</c:v>
                </c:pt>
                <c:pt idx="29">
                  <c:v>4.5758333333333328</c:v>
                </c:pt>
                <c:pt idx="30">
                  <c:v>4.9664999999999999</c:v>
                </c:pt>
                <c:pt idx="31">
                  <c:v>4.980666666666667</c:v>
                </c:pt>
                <c:pt idx="32">
                  <c:v>5.1903333333333324</c:v>
                </c:pt>
                <c:pt idx="33">
                  <c:v>3.4233999999999996</c:v>
                </c:pt>
                <c:pt idx="34">
                  <c:v>4.5281666666666673</c:v>
                </c:pt>
                <c:pt idx="35">
                  <c:v>4.4089999999999998</c:v>
                </c:pt>
                <c:pt idx="36">
                  <c:v>4.4183333333333339</c:v>
                </c:pt>
                <c:pt idx="37">
                  <c:v>4.7786666666666662</c:v>
                </c:pt>
                <c:pt idx="38">
                  <c:v>5.2258333333333331</c:v>
                </c:pt>
                <c:pt idx="39">
                  <c:v>4.6354999999999995</c:v>
                </c:pt>
                <c:pt idx="40">
                  <c:v>5.2903333333333329</c:v>
                </c:pt>
                <c:pt idx="41">
                  <c:v>5.9974999999999996</c:v>
                </c:pt>
                <c:pt idx="42">
                  <c:v>4.2</c:v>
                </c:pt>
                <c:pt idx="43">
                  <c:v>5.1083333333333334</c:v>
                </c:pt>
              </c:numCache>
            </c:numRef>
          </c:yVal>
          <c:smooth val="0"/>
          <c:extLst>
            <c:ext xmlns:c16="http://schemas.microsoft.com/office/drawing/2014/chart" uri="{C3380CC4-5D6E-409C-BE32-E72D297353CC}">
              <c16:uniqueId val="{00000001-9CAF-B648-8D99-A86F61515B6B}"/>
            </c:ext>
          </c:extLst>
        </c:ser>
        <c:ser>
          <c:idx val="4"/>
          <c:order val="4"/>
          <c:tx>
            <c:v>Machine 30</c:v>
          </c:tx>
          <c:spPr>
            <a:ln w="25400" cap="rnd">
              <a:noFill/>
              <a:round/>
            </a:ln>
            <a:effectLst/>
          </c:spPr>
          <c:marker>
            <c:symbol val="circle"/>
            <c:size val="5"/>
            <c:spPr>
              <a:solidFill>
                <a:schemeClr val="accent5"/>
              </a:solidFill>
              <a:ln w="9525">
                <a:solidFill>
                  <a:schemeClr val="accent5"/>
                </a:solidFill>
              </a:ln>
              <a:effectLst/>
            </c:spPr>
          </c:marker>
          <c:xVal>
            <c:numRef>
              <c:f>'Set 3 IC'!$CG$3:$CG$31</c:f>
              <c:numCache>
                <c:formatCode>0.00</c:formatCode>
                <c:ptCount val="29"/>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pt idx="27">
                  <c:v>1867.3999999999999</c:v>
                </c:pt>
                <c:pt idx="28">
                  <c:v>1916.1999999999998</c:v>
                </c:pt>
              </c:numCache>
            </c:numRef>
          </c:xVal>
          <c:yVal>
            <c:numRef>
              <c:f>'Set 3 IC'!$CJ$3:$CJ$29</c:f>
              <c:numCache>
                <c:formatCode>General</c:formatCode>
                <c:ptCount val="27"/>
                <c:pt idx="0">
                  <c:v>6.3949999999999996</c:v>
                </c:pt>
                <c:pt idx="1">
                  <c:v>7.4339999999999993</c:v>
                </c:pt>
                <c:pt idx="2">
                  <c:v>6.3220000000000001</c:v>
                </c:pt>
                <c:pt idx="3">
                  <c:v>6.29</c:v>
                </c:pt>
                <c:pt idx="4">
                  <c:v>4.6050000000000004</c:v>
                </c:pt>
                <c:pt idx="5">
                  <c:v>4.2145000000000001</c:v>
                </c:pt>
                <c:pt idx="6">
                  <c:v>4.1120000000000001</c:v>
                </c:pt>
                <c:pt idx="7">
                  <c:v>4.5244999999999997</c:v>
                </c:pt>
                <c:pt idx="8">
                  <c:v>4.1025</c:v>
                </c:pt>
                <c:pt idx="9">
                  <c:v>4.7584999999999997</c:v>
                </c:pt>
                <c:pt idx="10">
                  <c:v>4.0579999999999998</c:v>
                </c:pt>
                <c:pt idx="11">
                  <c:v>4.6680000000000001</c:v>
                </c:pt>
                <c:pt idx="12">
                  <c:v>4.3864999999999998</c:v>
                </c:pt>
                <c:pt idx="13">
                  <c:v>4.9055</c:v>
                </c:pt>
                <c:pt idx="14">
                  <c:v>4.5335000000000001</c:v>
                </c:pt>
                <c:pt idx="15">
                  <c:v>4.4429999999999996</c:v>
                </c:pt>
                <c:pt idx="16">
                  <c:v>0</c:v>
                </c:pt>
                <c:pt idx="17">
                  <c:v>4.6025</c:v>
                </c:pt>
                <c:pt idx="18">
                  <c:v>4.51</c:v>
                </c:pt>
                <c:pt idx="19">
                  <c:v>4.6204999999999998</c:v>
                </c:pt>
                <c:pt idx="20">
                  <c:v>4.7264999999999997</c:v>
                </c:pt>
                <c:pt idx="21">
                  <c:v>4.5390000000000006</c:v>
                </c:pt>
                <c:pt idx="22">
                  <c:v>4.6219999999999999</c:v>
                </c:pt>
                <c:pt idx="23">
                  <c:v>4.734</c:v>
                </c:pt>
                <c:pt idx="24">
                  <c:v>4.38</c:v>
                </c:pt>
                <c:pt idx="25">
                  <c:v>4.8285</c:v>
                </c:pt>
                <c:pt idx="26">
                  <c:v>4.8920000000000003</c:v>
                </c:pt>
              </c:numCache>
            </c:numRef>
          </c:yVal>
          <c:smooth val="0"/>
          <c:extLst>
            <c:ext xmlns:c16="http://schemas.microsoft.com/office/drawing/2014/chart" uri="{C3380CC4-5D6E-409C-BE32-E72D297353CC}">
              <c16:uniqueId val="{00000002-9CAF-B648-8D99-A86F61515B6B}"/>
            </c:ext>
          </c:extLst>
        </c:ser>
        <c:ser>
          <c:idx val="5"/>
          <c:order val="5"/>
          <c:tx>
            <c:v>Machine Control</c:v>
          </c:tx>
          <c:spPr>
            <a:ln w="25400" cap="rnd">
              <a:noFill/>
              <a:round/>
            </a:ln>
            <a:effectLst/>
          </c:spPr>
          <c:marker>
            <c:symbol val="circle"/>
            <c:size val="5"/>
            <c:spPr>
              <a:solidFill>
                <a:schemeClr val="accent6"/>
              </a:solidFill>
              <a:ln w="9525">
                <a:solidFill>
                  <a:schemeClr val="accent6"/>
                </a:solidFill>
              </a:ln>
              <a:effectLst/>
            </c:spPr>
          </c:marker>
          <c:xVal>
            <c:numRef>
              <c:f>'Set 3 IC'!$C$3:$C$46</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IC'!$I$3:$I$46</c:f>
              <c:numCache>
                <c:formatCode>0.00</c:formatCode>
                <c:ptCount val="44"/>
                <c:pt idx="0">
                  <c:v>3.9429999999999996</c:v>
                </c:pt>
                <c:pt idx="1">
                  <c:v>2.4670000000000001</c:v>
                </c:pt>
                <c:pt idx="2">
                  <c:v>2.3719999999999999</c:v>
                </c:pt>
                <c:pt idx="3">
                  <c:v>2.4470000000000001</c:v>
                </c:pt>
                <c:pt idx="4">
                  <c:v>2.3744999999999998</c:v>
                </c:pt>
                <c:pt idx="5">
                  <c:v>2.3639999999999999</c:v>
                </c:pt>
                <c:pt idx="6">
                  <c:v>2.3039999999999998</c:v>
                </c:pt>
                <c:pt idx="7">
                  <c:v>0</c:v>
                </c:pt>
                <c:pt idx="8">
                  <c:v>0</c:v>
                </c:pt>
                <c:pt idx="9">
                  <c:v>2.2885</c:v>
                </c:pt>
                <c:pt idx="10">
                  <c:v>2.4015</c:v>
                </c:pt>
                <c:pt idx="11">
                  <c:v>2.2969999999999997</c:v>
                </c:pt>
                <c:pt idx="12">
                  <c:v>2.4510000000000001</c:v>
                </c:pt>
                <c:pt idx="13">
                  <c:v>2.4664999999999999</c:v>
                </c:pt>
                <c:pt idx="14">
                  <c:v>2.5495000000000001</c:v>
                </c:pt>
                <c:pt idx="15">
                  <c:v>2.5554999999999999</c:v>
                </c:pt>
                <c:pt idx="16">
                  <c:v>2.4830000000000001</c:v>
                </c:pt>
                <c:pt idx="17">
                  <c:v>2.4460000000000002</c:v>
                </c:pt>
                <c:pt idx="18">
                  <c:v>2.3479999999999999</c:v>
                </c:pt>
                <c:pt idx="19">
                  <c:v>2.3435000000000001</c:v>
                </c:pt>
                <c:pt idx="20">
                  <c:v>2.5074999999999998</c:v>
                </c:pt>
                <c:pt idx="21">
                  <c:v>2.3744999999999998</c:v>
                </c:pt>
                <c:pt idx="22">
                  <c:v>2.3740000000000001</c:v>
                </c:pt>
                <c:pt idx="23">
                  <c:v>0</c:v>
                </c:pt>
                <c:pt idx="24">
                  <c:v>0</c:v>
                </c:pt>
                <c:pt idx="25">
                  <c:v>2.2975000000000003</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4.4254999999999995</c:v>
                </c:pt>
                <c:pt idx="42">
                  <c:v>0</c:v>
                </c:pt>
                <c:pt idx="43">
                  <c:v>0</c:v>
                </c:pt>
              </c:numCache>
            </c:numRef>
          </c:yVal>
          <c:smooth val="0"/>
          <c:extLst>
            <c:ext xmlns:c16="http://schemas.microsoft.com/office/drawing/2014/chart" uri="{C3380CC4-5D6E-409C-BE32-E72D297353CC}">
              <c16:uniqueId val="{00000003-9CAF-B648-8D99-A86F61515B6B}"/>
            </c:ext>
          </c:extLst>
        </c:ser>
        <c:dLbls>
          <c:showLegendKey val="0"/>
          <c:showVal val="0"/>
          <c:showCatName val="0"/>
          <c:showSerName val="0"/>
          <c:showPercent val="0"/>
          <c:showBubbleSize val="0"/>
        </c:dLbls>
        <c:axId val="512980079"/>
        <c:axId val="544900751"/>
      </c:scatterChart>
      <c:valAx>
        <c:axId val="512980079"/>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(hours)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4900751"/>
        <c:crosses val="autoZero"/>
        <c:crossBetween val="midCat"/>
      </c:valAx>
      <c:valAx>
        <c:axId val="544900751"/>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Fluoride</a:t>
                </a:r>
                <a:r>
                  <a:rPr lang="en-US" baseline="0"/>
                  <a:t> Concentration (ppm)</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29800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'0 Set 2&amp;3'!$C$3:$C$29</c:f>
              <c:numCache>
                <c:formatCode>0.00</c:formatCode>
                <c:ptCount val="27"/>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numCache>
            </c:numRef>
          </c:xVal>
          <c:yVal>
            <c:numRef>
              <c:f>'0 Set 2&amp;3'!$G$3:$G$29</c:f>
              <c:numCache>
                <c:formatCode>0.00</c:formatCode>
                <c:ptCount val="27"/>
                <c:pt idx="0">
                  <c:v>3.4565518460677134</c:v>
                </c:pt>
                <c:pt idx="1">
                  <c:v>4.828770957951499</c:v>
                </c:pt>
                <c:pt idx="2">
                  <c:v>3.5920464160522183</c:v>
                </c:pt>
                <c:pt idx="3">
                  <c:v>3.6924029977033728</c:v>
                </c:pt>
                <c:pt idx="4">
                  <c:v>2.9098680924821525</c:v>
                </c:pt>
                <c:pt idx="5">
                  <c:v>2.9178589265254562</c:v>
                </c:pt>
                <c:pt idx="6">
                  <c:v>2.8596852300242133</c:v>
                </c:pt>
                <c:pt idx="7">
                  <c:v>3.0462469733656174</c:v>
                </c:pt>
                <c:pt idx="8">
                  <c:v>3.1256053268765136</c:v>
                </c:pt>
                <c:pt idx="9">
                  <c:v>3.1033568372205145</c:v>
                </c:pt>
                <c:pt idx="10">
                  <c:v>2.9270475501717597</c:v>
                </c:pt>
                <c:pt idx="11">
                  <c:v>3.1012173808232388</c:v>
                </c:pt>
                <c:pt idx="12">
                  <c:v>3.0620745012932185</c:v>
                </c:pt>
                <c:pt idx="13">
                  <c:v>3.1197490858281056</c:v>
                </c:pt>
                <c:pt idx="14">
                  <c:v>3.2353437000435981</c:v>
                </c:pt>
                <c:pt idx="15">
                  <c:v>3.5364045923557619</c:v>
                </c:pt>
                <c:pt idx="16">
                  <c:v>3.0949967004619356</c:v>
                </c:pt>
                <c:pt idx="17">
                  <c:v>3.0745418288861455</c:v>
                </c:pt>
                <c:pt idx="18">
                  <c:v>3.0916342227708671</c:v>
                </c:pt>
                <c:pt idx="19">
                  <c:v>3.1912132434400022</c:v>
                </c:pt>
                <c:pt idx="20">
                  <c:v>3.2861904761904763</c:v>
                </c:pt>
                <c:pt idx="21">
                  <c:v>3.1673650793650796</c:v>
                </c:pt>
                <c:pt idx="22">
                  <c:v>3.1867111069962659</c:v>
                </c:pt>
                <c:pt idx="23">
                  <c:v>3.7757306422244854</c:v>
                </c:pt>
                <c:pt idx="24">
                  <c:v>3.6395395488072095</c:v>
                </c:pt>
                <c:pt idx="25">
                  <c:v>3.8806148867313914</c:v>
                </c:pt>
                <c:pt idx="26">
                  <c:v>3.8356634304207122</c:v>
                </c:pt>
              </c:numCache>
            </c:numRef>
          </c:yVal>
          <c:smooth val="0"/>
          <c:extLst>
            <c:ext xmlns:c16="http://schemas.microsoft.com/office/drawing/2014/chart" uri="{C3380CC4-5D6E-409C-BE32-E72D297353CC}">
              <c16:uniqueId val="{00000000-DE3B-7143-B352-D10E0FAFA0AC}"/>
            </c:ext>
          </c:extLst>
        </c:ser>
        <c:dLbls>
          <c:showLegendKey val="0"/>
          <c:showVal val="0"/>
          <c:showCatName val="0"/>
          <c:showSerName val="0"/>
          <c:showPercent val="0"/>
          <c:showBubbleSize val="0"/>
        </c:dLbls>
        <c:axId val="1855195903"/>
        <c:axId val="1858430687"/>
      </c:scatterChart>
      <c:valAx>
        <c:axId val="185519590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8430687"/>
        <c:crosses val="autoZero"/>
        <c:crossBetween val="midCat"/>
      </c:valAx>
      <c:valAx>
        <c:axId val="185843068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51959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t>
            </a:r>
            <a:r>
              <a:rPr lang="en-US" baseline="0"/>
              <a:t> Standards 9/27/21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1232830271216097"/>
                  <c:y val="8.8425925925925929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Runs'!$C$110:$C$117</c:f>
              <c:numCache>
                <c:formatCode>General</c:formatCode>
                <c:ptCount val="8"/>
                <c:pt idx="0">
                  <c:v>0.5</c:v>
                </c:pt>
                <c:pt idx="1">
                  <c:v>1</c:v>
                </c:pt>
                <c:pt idx="2">
                  <c:v>1.5</c:v>
                </c:pt>
                <c:pt idx="3">
                  <c:v>2</c:v>
                </c:pt>
                <c:pt idx="4">
                  <c:v>2.5</c:v>
                </c:pt>
                <c:pt idx="5">
                  <c:v>3</c:v>
                </c:pt>
                <c:pt idx="6">
                  <c:v>5</c:v>
                </c:pt>
                <c:pt idx="7">
                  <c:v>5</c:v>
                </c:pt>
              </c:numCache>
            </c:numRef>
          </c:xVal>
          <c:yVal>
            <c:numRef>
              <c:f>'Standards All Runs'!$E$110:$E$117</c:f>
              <c:numCache>
                <c:formatCode>General</c:formatCode>
                <c:ptCount val="8"/>
                <c:pt idx="0">
                  <c:v>1.5578000000000001</c:v>
                </c:pt>
                <c:pt idx="1">
                  <c:v>3.2448999999999999</c:v>
                </c:pt>
                <c:pt idx="2">
                  <c:v>4.8723000000000001</c:v>
                </c:pt>
                <c:pt idx="3">
                  <c:v>6.5683999999999996</c:v>
                </c:pt>
                <c:pt idx="4">
                  <c:v>8.2034000000000002</c:v>
                </c:pt>
                <c:pt idx="5">
                  <c:v>9.9385999999999992</c:v>
                </c:pt>
                <c:pt idx="6">
                  <c:v>16.383900000000001</c:v>
                </c:pt>
                <c:pt idx="7">
                  <c:v>16.3658</c:v>
                </c:pt>
              </c:numCache>
            </c:numRef>
          </c:yVal>
          <c:smooth val="0"/>
          <c:extLst>
            <c:ext xmlns:c16="http://schemas.microsoft.com/office/drawing/2014/chart" uri="{C3380CC4-5D6E-409C-BE32-E72D297353CC}">
              <c16:uniqueId val="{00000000-C66C-8642-BF24-F664B4DA9CD2}"/>
            </c:ext>
          </c:extLst>
        </c:ser>
        <c:ser>
          <c:idx val="1"/>
          <c:order val="1"/>
          <c:tx>
            <c:v>H</c:v>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Runs'!$C$109:$C$117</c:f>
              <c:numCache>
                <c:formatCode>General</c:formatCode>
                <c:ptCount val="9"/>
                <c:pt idx="0">
                  <c:v>0</c:v>
                </c:pt>
                <c:pt idx="1">
                  <c:v>0.5</c:v>
                </c:pt>
                <c:pt idx="2">
                  <c:v>1</c:v>
                </c:pt>
                <c:pt idx="3">
                  <c:v>1.5</c:v>
                </c:pt>
                <c:pt idx="4">
                  <c:v>2</c:v>
                </c:pt>
                <c:pt idx="5">
                  <c:v>2.5</c:v>
                </c:pt>
                <c:pt idx="6">
                  <c:v>3</c:v>
                </c:pt>
                <c:pt idx="7">
                  <c:v>5</c:v>
                </c:pt>
                <c:pt idx="8">
                  <c:v>5</c:v>
                </c:pt>
              </c:numCache>
            </c:numRef>
          </c:xVal>
          <c:yVal>
            <c:numRef>
              <c:f>'Standards All Runs'!$F$109:$F$117</c:f>
              <c:numCache>
                <c:formatCode>General</c:formatCode>
                <c:ptCount val="9"/>
                <c:pt idx="0">
                  <c:v>0</c:v>
                </c:pt>
                <c:pt idx="1">
                  <c:v>10.1591</c:v>
                </c:pt>
                <c:pt idx="2">
                  <c:v>21.3506</c:v>
                </c:pt>
                <c:pt idx="3">
                  <c:v>32.0426</c:v>
                </c:pt>
                <c:pt idx="4">
                  <c:v>42.697600000000001</c:v>
                </c:pt>
                <c:pt idx="5">
                  <c:v>52.0045</c:v>
                </c:pt>
                <c:pt idx="6">
                  <c:v>62.165700000000001</c:v>
                </c:pt>
                <c:pt idx="7">
                  <c:v>92.984999999999999</c:v>
                </c:pt>
                <c:pt idx="8">
                  <c:v>95.402500000000003</c:v>
                </c:pt>
              </c:numCache>
            </c:numRef>
          </c:yVal>
          <c:smooth val="0"/>
          <c:extLst>
            <c:ext xmlns:c16="http://schemas.microsoft.com/office/drawing/2014/chart" uri="{C3380CC4-5D6E-409C-BE32-E72D297353CC}">
              <c16:uniqueId val="{00000002-D589-474A-AB02-C83C9BBBFF1F}"/>
            </c:ext>
          </c:extLst>
        </c:ser>
        <c:dLbls>
          <c:showLegendKey val="0"/>
          <c:showVal val="0"/>
          <c:showCatName val="0"/>
          <c:showSerName val="0"/>
          <c:showPercent val="0"/>
          <c:showBubbleSize val="0"/>
        </c:dLbls>
        <c:axId val="483629199"/>
        <c:axId val="483560703"/>
      </c:scatterChart>
      <c:valAx>
        <c:axId val="48362919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560703"/>
        <c:crosses val="autoZero"/>
        <c:crossBetween val="midCat"/>
      </c:valAx>
      <c:valAx>
        <c:axId val="4835607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6291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3 0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'0 Set 2&amp;3'!$C$3:$C$31</c:f>
              <c:numCache>
                <c:formatCode>0.00</c:formatCode>
                <c:ptCount val="29"/>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pt idx="27">
                  <c:v>1867.3999999999999</c:v>
                </c:pt>
                <c:pt idx="28">
                  <c:v>1916.1999999999998</c:v>
                </c:pt>
              </c:numCache>
            </c:numRef>
          </c:xVal>
          <c:yVal>
            <c:numRef>
              <c:f>'0 Set 2&amp;3'!$U$3:$U$26</c:f>
              <c:numCache>
                <c:formatCode>0.00</c:formatCode>
                <c:ptCount val="24"/>
                <c:pt idx="0">
                  <c:v>3.411762972566815</c:v>
                </c:pt>
                <c:pt idx="1">
                  <c:v>4.2262132775436836</c:v>
                </c:pt>
                <c:pt idx="2">
                  <c:v>3.1998670373504172</c:v>
                </c:pt>
                <c:pt idx="3">
                  <c:v>3.1740299770337241</c:v>
                </c:pt>
                <c:pt idx="4">
                  <c:v>2.3337935897059254</c:v>
                </c:pt>
                <c:pt idx="5">
                  <c:v>2.0284085901465962</c:v>
                </c:pt>
                <c:pt idx="6">
                  <c:v>1.4207021791767558</c:v>
                </c:pt>
                <c:pt idx="7">
                  <c:v>1.7528753026634387</c:v>
                </c:pt>
                <c:pt idx="8">
                  <c:v>1.4131355932203391</c:v>
                </c:pt>
                <c:pt idx="9">
                  <c:v>2.1176098354727904</c:v>
                </c:pt>
                <c:pt idx="10">
                  <c:v>1.5559271982161151</c:v>
                </c:pt>
                <c:pt idx="11">
                  <c:v>2.0446875188332432</c:v>
                </c:pt>
                <c:pt idx="12">
                  <c:v>1.8264113922169036</c:v>
                </c:pt>
                <c:pt idx="13">
                  <c:v>2.2368225466004694</c:v>
                </c:pt>
                <c:pt idx="14">
                  <c:v>1.8229908443540181</c:v>
                </c:pt>
                <c:pt idx="15">
                  <c:v>1.7530882139223949</c:v>
                </c:pt>
                <c:pt idx="16">
                  <c:v>1.9278301037854697</c:v>
                </c:pt>
                <c:pt idx="17">
                  <c:v>1.5992466685658215</c:v>
                </c:pt>
                <c:pt idx="18">
                  <c:v>1.5212230557401956</c:v>
                </c:pt>
                <c:pt idx="19">
                  <c:v>1.6190476190476191</c:v>
                </c:pt>
                <c:pt idx="20">
                  <c:v>1.7085714285714286</c:v>
                </c:pt>
                <c:pt idx="21">
                  <c:v>1.5503174603174605</c:v>
                </c:pt>
                <c:pt idx="22">
                  <c:v>2.3676820047526466</c:v>
                </c:pt>
                <c:pt idx="23">
                  <c:v>1.9982717649600346</c:v>
                </c:pt>
              </c:numCache>
            </c:numRef>
          </c:yVal>
          <c:smooth val="0"/>
          <c:extLst>
            <c:ext xmlns:c16="http://schemas.microsoft.com/office/drawing/2014/chart" uri="{C3380CC4-5D6E-409C-BE32-E72D297353CC}">
              <c16:uniqueId val="{00000000-A529-BA43-B6A3-F9D888207660}"/>
            </c:ext>
          </c:extLst>
        </c:ser>
        <c:dLbls>
          <c:showLegendKey val="0"/>
          <c:showVal val="0"/>
          <c:showCatName val="0"/>
          <c:showSerName val="0"/>
          <c:showPercent val="0"/>
          <c:showBubbleSize val="0"/>
        </c:dLbls>
        <c:axId val="1849835487"/>
        <c:axId val="1362626927"/>
      </c:scatterChart>
      <c:valAx>
        <c:axId val="1849835487"/>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2626927"/>
        <c:crosses val="autoZero"/>
        <c:crossBetween val="midCat"/>
      </c:valAx>
      <c:valAx>
        <c:axId val="13626269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4983548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 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4 pH4</c:v>
          </c:tx>
          <c:spPr>
            <a:ln w="19050" cap="rnd">
              <a:noFill/>
              <a:round/>
            </a:ln>
            <a:effectLst/>
          </c:spPr>
          <c:marker>
            <c:symbol val="circle"/>
            <c:size val="5"/>
            <c:spPr>
              <a:solidFill>
                <a:schemeClr val="accent1"/>
              </a:solidFill>
              <a:ln w="9525">
                <a:solidFill>
                  <a:schemeClr val="accent1"/>
                </a:solidFill>
              </a:ln>
              <a:effectLst/>
            </c:spPr>
          </c:marker>
          <c:xVal>
            <c:numRef>
              <c:f>'Set 4 IC'!$C$3:$C$16</c:f>
              <c:numCache>
                <c:formatCode>0.00</c:formatCode>
                <c:ptCount val="14"/>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pt idx="13">
                  <c:v>984.35</c:v>
                </c:pt>
              </c:numCache>
            </c:numRef>
          </c:xVal>
          <c:yVal>
            <c:numRef>
              <c:f>'Set 4 IC'!$BK$3:$BK$15</c:f>
              <c:numCache>
                <c:formatCode>0.00</c:formatCode>
                <c:ptCount val="13"/>
                <c:pt idx="0">
                  <c:v>4.4341746031746032</c:v>
                </c:pt>
                <c:pt idx="1">
                  <c:v>4.24252380952381</c:v>
                </c:pt>
                <c:pt idx="2">
                  <c:v>4.2696046662346081</c:v>
                </c:pt>
                <c:pt idx="3">
                  <c:v>4.7169397895256608</c:v>
                </c:pt>
                <c:pt idx="4">
                  <c:v>4.9442644199611152</c:v>
                </c:pt>
                <c:pt idx="5">
                  <c:v>5.1566828478964402</c:v>
                </c:pt>
                <c:pt idx="6">
                  <c:v>5.2230582524271849</c:v>
                </c:pt>
                <c:pt idx="7">
                  <c:v>4.8601428571428578</c:v>
                </c:pt>
                <c:pt idx="8">
                  <c:v>4.7039047619047629</c:v>
                </c:pt>
                <c:pt idx="9">
                  <c:v>4.9739206349206357</c:v>
                </c:pt>
                <c:pt idx="10">
                  <c:v>5.2268672635015037</c:v>
                </c:pt>
                <c:pt idx="11">
                  <c:v>5.1448078601208742</c:v>
                </c:pt>
                <c:pt idx="12">
                  <c:v>4.6440343846949332</c:v>
                </c:pt>
              </c:numCache>
            </c:numRef>
          </c:yVal>
          <c:smooth val="0"/>
          <c:extLst>
            <c:ext xmlns:c16="http://schemas.microsoft.com/office/drawing/2014/chart" uri="{C3380CC4-5D6E-409C-BE32-E72D297353CC}">
              <c16:uniqueId val="{00000000-BA8D-A54F-985B-9F37BE817B26}"/>
            </c:ext>
          </c:extLst>
        </c:ser>
        <c:ser>
          <c:idx val="1"/>
          <c:order val="1"/>
          <c:tx>
            <c:v>pH Neutral (40)</c:v>
          </c:tx>
          <c:spPr>
            <a:ln w="25400" cap="rnd">
              <a:noFill/>
              <a:round/>
            </a:ln>
            <a:effectLst/>
          </c:spPr>
          <c:marker>
            <c:symbol val="circle"/>
            <c:size val="5"/>
            <c:spPr>
              <a:solidFill>
                <a:schemeClr val="accent2"/>
              </a:solidFill>
              <a:ln w="9525">
                <a:solidFill>
                  <a:schemeClr val="accent2"/>
                </a:solidFill>
              </a:ln>
              <a:effectLst/>
            </c:spPr>
          </c:marker>
          <c:xVal>
            <c:numRef>
              <c:f>'Set 4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4 IC'!$AW$3:$AW$15</c:f>
              <c:numCache>
                <c:formatCode>0.00</c:formatCode>
                <c:ptCount val="13"/>
                <c:pt idx="0">
                  <c:v>4.4268253968253966</c:v>
                </c:pt>
                <c:pt idx="1">
                  <c:v>4.2628571428571425</c:v>
                </c:pt>
                <c:pt idx="2">
                  <c:v>4.3151251427336978</c:v>
                </c:pt>
                <c:pt idx="3">
                  <c:v>4.2579082183748413</c:v>
                </c:pt>
                <c:pt idx="4">
                  <c:v>4.1906613585161869</c:v>
                </c:pt>
                <c:pt idx="5">
                  <c:v>4.0682200647249189</c:v>
                </c:pt>
                <c:pt idx="6">
                  <c:v>4.263883495145631</c:v>
                </c:pt>
                <c:pt idx="7">
                  <c:v>3.81</c:v>
                </c:pt>
                <c:pt idx="8">
                  <c:v>3.8075555555555556</c:v>
                </c:pt>
                <c:pt idx="9">
                  <c:v>3.9888888888888894</c:v>
                </c:pt>
                <c:pt idx="10">
                  <c:v>4.1893280760156433</c:v>
                </c:pt>
                <c:pt idx="11">
                  <c:v>3.6560550725574483</c:v>
                </c:pt>
                <c:pt idx="12">
                  <c:v>3.1441959669079629</c:v>
                </c:pt>
              </c:numCache>
            </c:numRef>
          </c:yVal>
          <c:smooth val="0"/>
          <c:extLst>
            <c:ext xmlns:c16="http://schemas.microsoft.com/office/drawing/2014/chart" uri="{C3380CC4-5D6E-409C-BE32-E72D297353CC}">
              <c16:uniqueId val="{00000002-BA8D-A54F-985B-9F37BE817B26}"/>
            </c:ext>
          </c:extLst>
        </c:ser>
        <c:ser>
          <c:idx val="2"/>
          <c:order val="2"/>
          <c:tx>
            <c:v>4Control</c:v>
          </c:tx>
          <c:spPr>
            <a:ln w="25400" cap="rnd">
              <a:noFill/>
              <a:round/>
            </a:ln>
            <a:effectLst/>
          </c:spPr>
          <c:marker>
            <c:symbol val="circle"/>
            <c:size val="5"/>
            <c:spPr>
              <a:solidFill>
                <a:schemeClr val="accent3"/>
              </a:solidFill>
              <a:ln w="9525">
                <a:solidFill>
                  <a:schemeClr val="accent3"/>
                </a:solidFill>
              </a:ln>
              <a:effectLst/>
            </c:spPr>
          </c:marker>
          <c:xVal>
            <c:numRef>
              <c:f>'Set 4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4 IC'!$G$3:$G$15</c:f>
              <c:numCache>
                <c:formatCode>0.00</c:formatCode>
                <c:ptCount val="13"/>
                <c:pt idx="0">
                  <c:v>0.40523809523809523</c:v>
                </c:pt>
                <c:pt idx="1">
                  <c:v>0.56041269841269836</c:v>
                </c:pt>
                <c:pt idx="2">
                  <c:v>0.74625806252507487</c:v>
                </c:pt>
                <c:pt idx="3">
                  <c:v>1.2266765422954664</c:v>
                </c:pt>
                <c:pt idx="4">
                  <c:v>0.5968891769280622</c:v>
                </c:pt>
                <c:pt idx="5">
                  <c:v>0.52430420711974113</c:v>
                </c:pt>
                <c:pt idx="6">
                  <c:v>0.35841423948220064</c:v>
                </c:pt>
                <c:pt idx="7">
                  <c:v>0.42460317460317459</c:v>
                </c:pt>
                <c:pt idx="8">
                  <c:v>0.38507936507936513</c:v>
                </c:pt>
                <c:pt idx="9">
                  <c:v>0.38352380952380954</c:v>
                </c:pt>
                <c:pt idx="10">
                  <c:v>0.458937978733719</c:v>
                </c:pt>
                <c:pt idx="11">
                  <c:v>0.4122038718852008</c:v>
                </c:pt>
                <c:pt idx="12">
                  <c:v>0.23348629782833505</c:v>
                </c:pt>
              </c:numCache>
            </c:numRef>
          </c:yVal>
          <c:smooth val="0"/>
          <c:extLst>
            <c:ext xmlns:c16="http://schemas.microsoft.com/office/drawing/2014/chart" uri="{C3380CC4-5D6E-409C-BE32-E72D297353CC}">
              <c16:uniqueId val="{00000003-BA8D-A54F-985B-9F37BE817B26}"/>
            </c:ext>
          </c:extLst>
        </c:ser>
        <c:dLbls>
          <c:showLegendKey val="0"/>
          <c:showVal val="0"/>
          <c:showCatName val="0"/>
          <c:showSerName val="0"/>
          <c:showPercent val="0"/>
          <c:showBubbleSize val="0"/>
        </c:dLbls>
        <c:axId val="1859685008"/>
        <c:axId val="1860087472"/>
      </c:scatterChart>
      <c:valAx>
        <c:axId val="18596850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0087472"/>
        <c:crosses val="autoZero"/>
        <c:crossBetween val="midCat"/>
      </c:valAx>
      <c:valAx>
        <c:axId val="18600874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96850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5</c:v>
          </c:tx>
          <c:spPr>
            <a:ln w="19050" cap="rnd">
              <a:noFill/>
              <a:round/>
            </a:ln>
            <a:effectLst/>
          </c:spPr>
          <c:marker>
            <c:symbol val="circle"/>
            <c:size val="5"/>
            <c:spPr>
              <a:solidFill>
                <a:schemeClr val="accent1"/>
              </a:solidFill>
              <a:ln w="9525">
                <a:solidFill>
                  <a:schemeClr val="accent1"/>
                </a:solidFill>
              </a:ln>
              <a:effectLst/>
            </c:spPr>
          </c:marker>
          <c:errBars>
            <c:errDir val="x"/>
            <c:errBarType val="both"/>
            <c:errValType val="cust"/>
            <c:noEndCap val="0"/>
            <c:plus>
              <c:numRef>
                <c:f>'Set 5 IC'!$BO$3:$BO$15</c:f>
                <c:numCache>
                  <c:formatCode>General</c:formatCode>
                  <c:ptCount val="13"/>
                  <c:pt idx="0">
                    <c:v>0.14415238095238087</c:v>
                  </c:pt>
                  <c:pt idx="1">
                    <c:v>0.57667777777777662</c:v>
                  </c:pt>
                  <c:pt idx="2">
                    <c:v>0.44548652902509028</c:v>
                  </c:pt>
                  <c:pt idx="3">
                    <c:v>0.65668456624386484</c:v>
                  </c:pt>
                  <c:pt idx="4">
                    <c:v>0.7297379872234061</c:v>
                  </c:pt>
                  <c:pt idx="5">
                    <c:v>7.9529126213592496E-2</c:v>
                  </c:pt>
                  <c:pt idx="6">
                    <c:v>0.42178964401294561</c:v>
                  </c:pt>
                  <c:pt idx="7">
                    <c:v>0.20592222222222212</c:v>
                  </c:pt>
                  <c:pt idx="8">
                    <c:v>0.1292047619047621</c:v>
                  </c:pt>
                  <c:pt idx="9">
                    <c:v>0.18892698412698317</c:v>
                  </c:pt>
                  <c:pt idx="10">
                    <c:v>0.42539995475259346</c:v>
                  </c:pt>
                  <c:pt idx="11">
                    <c:v>0.64532658931514886</c:v>
                  </c:pt>
                  <c:pt idx="12">
                    <c:v>0.23011892450878893</c:v>
                  </c:pt>
                </c:numCache>
              </c:numRef>
            </c:plus>
            <c:minus>
              <c:numRef>
                <c:f>'Set 5 IC'!$BO$3:$BO$15</c:f>
                <c:numCache>
                  <c:formatCode>General</c:formatCode>
                  <c:ptCount val="13"/>
                  <c:pt idx="0">
                    <c:v>0.14415238095238087</c:v>
                  </c:pt>
                  <c:pt idx="1">
                    <c:v>0.57667777777777662</c:v>
                  </c:pt>
                  <c:pt idx="2">
                    <c:v>0.44548652902509028</c:v>
                  </c:pt>
                  <c:pt idx="3">
                    <c:v>0.65668456624386484</c:v>
                  </c:pt>
                  <c:pt idx="4">
                    <c:v>0.7297379872234061</c:v>
                  </c:pt>
                  <c:pt idx="5">
                    <c:v>7.9529126213592496E-2</c:v>
                  </c:pt>
                  <c:pt idx="6">
                    <c:v>0.42178964401294561</c:v>
                  </c:pt>
                  <c:pt idx="7">
                    <c:v>0.20592222222222212</c:v>
                  </c:pt>
                  <c:pt idx="8">
                    <c:v>0.1292047619047621</c:v>
                  </c:pt>
                  <c:pt idx="9">
                    <c:v>0.18892698412698317</c:v>
                  </c:pt>
                  <c:pt idx="10">
                    <c:v>0.42539995475259346</c:v>
                  </c:pt>
                  <c:pt idx="11">
                    <c:v>0.64532658931514886</c:v>
                  </c:pt>
                  <c:pt idx="12">
                    <c:v>0.23011892450878893</c:v>
                  </c:pt>
                </c:numCache>
              </c:numRef>
            </c:minus>
            <c:spPr>
              <a:noFill/>
              <a:ln w="9525" cap="flat" cmpd="sng" algn="ctr">
                <a:solidFill>
                  <a:schemeClr val="tx1">
                    <a:lumMod val="65000"/>
                    <a:lumOff val="35000"/>
                  </a:schemeClr>
                </a:solidFill>
                <a:round/>
              </a:ln>
              <a:effectLst/>
            </c:spPr>
          </c:errBars>
          <c:errBars>
            <c:errDir val="y"/>
            <c:errBarType val="both"/>
            <c:errValType val="stdErr"/>
            <c:noEndCap val="0"/>
            <c:spPr>
              <a:noFill/>
              <a:ln w="9525" cap="flat" cmpd="sng" algn="ctr">
                <a:solidFill>
                  <a:schemeClr val="tx1">
                    <a:lumMod val="65000"/>
                    <a:lumOff val="35000"/>
                  </a:schemeClr>
                </a:solidFill>
                <a:round/>
              </a:ln>
              <a:effectLst/>
            </c:spPr>
          </c:errBars>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IC'!$BK$3:$BK$15</c:f>
              <c:numCache>
                <c:formatCode>0.00</c:formatCode>
                <c:ptCount val="13"/>
                <c:pt idx="0">
                  <c:v>4.4240000000000004</c:v>
                </c:pt>
                <c:pt idx="1">
                  <c:v>3.9750634920634922</c:v>
                </c:pt>
                <c:pt idx="2">
                  <c:v>3.8500756102829983</c:v>
                </c:pt>
                <c:pt idx="3">
                  <c:v>4.0426040798691476</c:v>
                </c:pt>
                <c:pt idx="4">
                  <c:v>3.9903712619201928</c:v>
                </c:pt>
                <c:pt idx="5">
                  <c:v>3.8978802588996766</c:v>
                </c:pt>
                <c:pt idx="6">
                  <c:v>3.8220388349514565</c:v>
                </c:pt>
                <c:pt idx="7">
                  <c:v>3.4046507936507941</c:v>
                </c:pt>
                <c:pt idx="8">
                  <c:v>3.0806507936507939</c:v>
                </c:pt>
                <c:pt idx="9">
                  <c:v>3.3911111111111119</c:v>
                </c:pt>
                <c:pt idx="10">
                  <c:v>3.5207653275589026</c:v>
                </c:pt>
                <c:pt idx="11">
                  <c:v>3.5756601273391295</c:v>
                </c:pt>
                <c:pt idx="12">
                  <c:v>3.2150982419855225</c:v>
                </c:pt>
              </c:numCache>
            </c:numRef>
          </c:yVal>
          <c:smooth val="0"/>
          <c:extLst>
            <c:ext xmlns:c16="http://schemas.microsoft.com/office/drawing/2014/chart" uri="{C3380CC4-5D6E-409C-BE32-E72D297353CC}">
              <c16:uniqueId val="{00000000-A90A-BE4B-8FD1-F4C0762C9D02}"/>
            </c:ext>
          </c:extLst>
        </c:ser>
        <c:ser>
          <c:idx val="1"/>
          <c:order val="1"/>
          <c:tx>
            <c:v>50</c:v>
          </c:tx>
          <c:spPr>
            <a:ln w="25400" cap="rnd">
              <a:noFill/>
              <a:round/>
            </a:ln>
            <a:effectLst/>
          </c:spPr>
          <c:marker>
            <c:symbol val="circle"/>
            <c:size val="5"/>
            <c:spPr>
              <a:solidFill>
                <a:schemeClr val="accent2"/>
              </a:solidFill>
              <a:ln w="9525">
                <a:solidFill>
                  <a:schemeClr val="accent2"/>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IC'!$AW$3:$AW$15</c:f>
              <c:numCache>
                <c:formatCode>0.00</c:formatCode>
                <c:ptCount val="13"/>
                <c:pt idx="0">
                  <c:v>3.9842539682539684</c:v>
                </c:pt>
                <c:pt idx="1">
                  <c:v>4.0055555555555555</c:v>
                </c:pt>
                <c:pt idx="2">
                  <c:v>4.2081905996358362</c:v>
                </c:pt>
                <c:pt idx="3">
                  <c:v>4.189951547696201</c:v>
                </c:pt>
                <c:pt idx="4">
                  <c:v>4.2937690954541248</c:v>
                </c:pt>
                <c:pt idx="5">
                  <c:v>4.4816504854368935</c:v>
                </c:pt>
                <c:pt idx="6">
                  <c:v>4.6179288025889971</c:v>
                </c:pt>
                <c:pt idx="7">
                  <c:v>3.7373333333333338</c:v>
                </c:pt>
                <c:pt idx="8">
                  <c:v>4.0046349206349214</c:v>
                </c:pt>
                <c:pt idx="9">
                  <c:v>3.7979365079365084</c:v>
                </c:pt>
                <c:pt idx="10">
                  <c:v>4.2565204744513752</c:v>
                </c:pt>
                <c:pt idx="11">
                  <c:v>3.823890630554927</c:v>
                </c:pt>
                <c:pt idx="12">
                  <c:v>3.4983841778697005</c:v>
                </c:pt>
              </c:numCache>
            </c:numRef>
          </c:yVal>
          <c:smooth val="0"/>
          <c:extLst>
            <c:ext xmlns:c16="http://schemas.microsoft.com/office/drawing/2014/chart" uri="{C3380CC4-5D6E-409C-BE32-E72D297353CC}">
              <c16:uniqueId val="{00000002-A90A-BE4B-8FD1-F4C0762C9D02}"/>
            </c:ext>
          </c:extLst>
        </c:ser>
        <c:ser>
          <c:idx val="2"/>
          <c:order val="2"/>
          <c:tx>
            <c:v>5Control</c:v>
          </c:tx>
          <c:spPr>
            <a:ln w="25400" cap="rnd">
              <a:noFill/>
              <a:round/>
            </a:ln>
            <a:effectLst/>
          </c:spPr>
          <c:marker>
            <c:symbol val="circle"/>
            <c:size val="5"/>
            <c:spPr>
              <a:solidFill>
                <a:schemeClr val="accent3"/>
              </a:solidFill>
              <a:ln w="9525">
                <a:solidFill>
                  <a:schemeClr val="accent3"/>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IC'!$G$3:$G$15</c:f>
              <c:numCache>
                <c:formatCode>0.00</c:formatCode>
                <c:ptCount val="13"/>
                <c:pt idx="0">
                  <c:v>0.25523809523809526</c:v>
                </c:pt>
                <c:pt idx="1">
                  <c:v>0.47961904761904767</c:v>
                </c:pt>
                <c:pt idx="2">
                  <c:v>0.63944696478721108</c:v>
                </c:pt>
                <c:pt idx="3">
                  <c:v>0.82149800944356999</c:v>
                </c:pt>
                <c:pt idx="4">
                  <c:v>0.70542850970589144</c:v>
                </c:pt>
                <c:pt idx="5">
                  <c:v>0.67644012944983833</c:v>
                </c:pt>
                <c:pt idx="6">
                  <c:v>0.73443365695792884</c:v>
                </c:pt>
                <c:pt idx="7">
                  <c:v>0.63244444444444448</c:v>
                </c:pt>
                <c:pt idx="8">
                  <c:v>0.53968253968253965</c:v>
                </c:pt>
                <c:pt idx="9">
                  <c:v>0.47225396825396826</c:v>
                </c:pt>
                <c:pt idx="10">
                  <c:v>0.70550402378720789</c:v>
                </c:pt>
                <c:pt idx="11">
                  <c:v>0.50082414918716267</c:v>
                </c:pt>
                <c:pt idx="12">
                  <c:v>0.47912357807652534</c:v>
                </c:pt>
              </c:numCache>
            </c:numRef>
          </c:yVal>
          <c:smooth val="0"/>
          <c:extLst>
            <c:ext xmlns:c16="http://schemas.microsoft.com/office/drawing/2014/chart" uri="{C3380CC4-5D6E-409C-BE32-E72D297353CC}">
              <c16:uniqueId val="{00000003-A90A-BE4B-8FD1-F4C0762C9D02}"/>
            </c:ext>
          </c:extLst>
        </c:ser>
        <c:dLbls>
          <c:showLegendKey val="0"/>
          <c:showVal val="0"/>
          <c:showCatName val="0"/>
          <c:showSerName val="0"/>
          <c:showPercent val="0"/>
          <c:showBubbleSize val="0"/>
        </c:dLbls>
        <c:axId val="1406249424"/>
        <c:axId val="1383160944"/>
      </c:scatterChart>
      <c:valAx>
        <c:axId val="140624942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3160944"/>
        <c:crosses val="autoZero"/>
        <c:crossBetween val="midCat"/>
      </c:valAx>
      <c:valAx>
        <c:axId val="13831609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62494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50</c:v>
          </c:tx>
          <c:spPr>
            <a:ln w="19050" cap="rnd">
              <a:noFill/>
              <a:round/>
            </a:ln>
            <a:effectLst/>
          </c:spPr>
          <c:marker>
            <c:symbol val="circle"/>
            <c:size val="5"/>
            <c:spPr>
              <a:solidFill>
                <a:schemeClr val="accent1"/>
              </a:solidFill>
              <a:ln w="9525">
                <a:solidFill>
                  <a:schemeClr val="accent1"/>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IC'!$AW$3:$AW$15</c:f>
              <c:numCache>
                <c:formatCode>0.00</c:formatCode>
                <c:ptCount val="13"/>
                <c:pt idx="0">
                  <c:v>3.9842539682539684</c:v>
                </c:pt>
                <c:pt idx="1">
                  <c:v>4.0055555555555555</c:v>
                </c:pt>
                <c:pt idx="2">
                  <c:v>4.2081905996358362</c:v>
                </c:pt>
                <c:pt idx="3">
                  <c:v>4.189951547696201</c:v>
                </c:pt>
                <c:pt idx="4">
                  <c:v>4.2937690954541248</c:v>
                </c:pt>
                <c:pt idx="5">
                  <c:v>4.4816504854368935</c:v>
                </c:pt>
                <c:pt idx="6">
                  <c:v>4.6179288025889971</c:v>
                </c:pt>
                <c:pt idx="7">
                  <c:v>3.7373333333333338</c:v>
                </c:pt>
                <c:pt idx="8">
                  <c:v>4.0046349206349214</c:v>
                </c:pt>
                <c:pt idx="9">
                  <c:v>3.7979365079365084</c:v>
                </c:pt>
                <c:pt idx="10">
                  <c:v>4.2565204744513752</c:v>
                </c:pt>
                <c:pt idx="11">
                  <c:v>3.823890630554927</c:v>
                </c:pt>
                <c:pt idx="12">
                  <c:v>3.4983841778697005</c:v>
                </c:pt>
              </c:numCache>
            </c:numRef>
          </c:yVal>
          <c:smooth val="0"/>
          <c:extLst>
            <c:ext xmlns:c16="http://schemas.microsoft.com/office/drawing/2014/chart" uri="{C3380CC4-5D6E-409C-BE32-E72D297353CC}">
              <c16:uniqueId val="{00000000-65A7-E941-B912-FFFA50E61BD8}"/>
            </c:ext>
          </c:extLst>
        </c:ser>
        <c:ser>
          <c:idx val="1"/>
          <c:order val="1"/>
          <c:tx>
            <c:v>5A</c:v>
          </c:tx>
          <c:spPr>
            <a:ln w="25400" cap="rnd">
              <a:noFill/>
              <a:round/>
            </a:ln>
            <a:effectLst/>
          </c:spPr>
          <c:marker>
            <c:symbol val="circle"/>
            <c:size val="5"/>
            <c:spPr>
              <a:solidFill>
                <a:schemeClr val="accent2"/>
              </a:solidFill>
              <a:ln w="9525">
                <a:solidFill>
                  <a:schemeClr val="accent2"/>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IC'!$U$3:$U$15</c:f>
              <c:numCache>
                <c:formatCode>0.00</c:formatCode>
                <c:ptCount val="13"/>
                <c:pt idx="0">
                  <c:v>4.3904761904761909</c:v>
                </c:pt>
                <c:pt idx="1">
                  <c:v>3.8409523809523813</c:v>
                </c:pt>
                <c:pt idx="2">
                  <c:v>3.7464740919050703</c:v>
                </c:pt>
                <c:pt idx="3">
                  <c:v>4.1953214208560929</c:v>
                </c:pt>
                <c:pt idx="4">
                  <c:v>3.8206647532635869</c:v>
                </c:pt>
                <c:pt idx="5">
                  <c:v>3.8793851132686084</c:v>
                </c:pt>
                <c:pt idx="6">
                  <c:v>3.7239482200647251</c:v>
                </c:pt>
                <c:pt idx="7">
                  <c:v>3.4525396825396828</c:v>
                </c:pt>
                <c:pt idx="8">
                  <c:v>3.0506031746031748</c:v>
                </c:pt>
                <c:pt idx="9">
                  <c:v>3.3471746031746039</c:v>
                </c:pt>
                <c:pt idx="10">
                  <c:v>3.6196955495943892</c:v>
                </c:pt>
                <c:pt idx="11">
                  <c:v>3.7257360783426523</c:v>
                </c:pt>
                <c:pt idx="12">
                  <c:v>3.1615822130299902</c:v>
                </c:pt>
              </c:numCache>
            </c:numRef>
          </c:yVal>
          <c:smooth val="0"/>
          <c:extLst>
            <c:ext xmlns:c16="http://schemas.microsoft.com/office/drawing/2014/chart" uri="{C3380CC4-5D6E-409C-BE32-E72D297353CC}">
              <c16:uniqueId val="{00000002-65A7-E941-B912-FFFA50E61BD8}"/>
            </c:ext>
          </c:extLst>
        </c:ser>
        <c:ser>
          <c:idx val="2"/>
          <c:order val="2"/>
          <c:tx>
            <c:v>5B</c:v>
          </c:tx>
          <c:spPr>
            <a:ln w="25400" cap="rnd">
              <a:noFill/>
              <a:round/>
            </a:ln>
            <a:effectLst/>
          </c:spPr>
          <c:marker>
            <c:symbol val="circle"/>
            <c:size val="5"/>
            <c:spPr>
              <a:solidFill>
                <a:schemeClr val="accent3"/>
              </a:solidFill>
              <a:ln w="9525">
                <a:solidFill>
                  <a:schemeClr val="accent3"/>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IC'!$AI$3:$AI$15</c:f>
              <c:numCache>
                <c:formatCode>0.00</c:formatCode>
                <c:ptCount val="13"/>
                <c:pt idx="0">
                  <c:v>4.4575238095238099</c:v>
                </c:pt>
                <c:pt idx="1">
                  <c:v>4.109174603174603</c:v>
                </c:pt>
                <c:pt idx="2">
                  <c:v>3.9536771286609262</c:v>
                </c:pt>
                <c:pt idx="3">
                  <c:v>3.8898867388822023</c:v>
                </c:pt>
                <c:pt idx="4">
                  <c:v>4.1600777705767991</c:v>
                </c:pt>
                <c:pt idx="5">
                  <c:v>3.9163754045307444</c:v>
                </c:pt>
                <c:pt idx="6">
                  <c:v>3.9201294498381882</c:v>
                </c:pt>
                <c:pt idx="7">
                  <c:v>3.3567619047619051</c:v>
                </c:pt>
                <c:pt idx="8">
                  <c:v>3.110698412698413</c:v>
                </c:pt>
                <c:pt idx="9">
                  <c:v>3.4350476190476193</c:v>
                </c:pt>
                <c:pt idx="10">
                  <c:v>3.4218351055234155</c:v>
                </c:pt>
                <c:pt idx="11">
                  <c:v>3.4255841763356063</c:v>
                </c:pt>
                <c:pt idx="12">
                  <c:v>3.2686142709410548</c:v>
                </c:pt>
              </c:numCache>
            </c:numRef>
          </c:yVal>
          <c:smooth val="0"/>
          <c:extLst>
            <c:ext xmlns:c16="http://schemas.microsoft.com/office/drawing/2014/chart" uri="{C3380CC4-5D6E-409C-BE32-E72D297353CC}">
              <c16:uniqueId val="{00000003-65A7-E941-B912-FFFA50E61BD8}"/>
            </c:ext>
          </c:extLst>
        </c:ser>
        <c:dLbls>
          <c:showLegendKey val="0"/>
          <c:showVal val="0"/>
          <c:showCatName val="0"/>
          <c:showSerName val="0"/>
          <c:showPercent val="0"/>
          <c:showBubbleSize val="0"/>
        </c:dLbls>
        <c:axId val="840310240"/>
        <c:axId val="414930176"/>
      </c:scatterChart>
      <c:valAx>
        <c:axId val="84031024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4930176"/>
        <c:crosses val="autoZero"/>
        <c:crossBetween val="midCat"/>
      </c:valAx>
      <c:valAx>
        <c:axId val="4149301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03102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Machine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5 0</c:v>
          </c:tx>
          <c:spPr>
            <a:ln w="19050" cap="rnd">
              <a:noFill/>
              <a:round/>
            </a:ln>
            <a:effectLst/>
          </c:spPr>
          <c:marker>
            <c:symbol val="circle"/>
            <c:size val="5"/>
            <c:spPr>
              <a:solidFill>
                <a:schemeClr val="accent1"/>
              </a:solidFill>
              <a:ln w="9525">
                <a:solidFill>
                  <a:schemeClr val="accent1"/>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IC'!$AX$3:$AX$15</c:f>
              <c:numCache>
                <c:formatCode>General</c:formatCode>
                <c:ptCount val="13"/>
                <c:pt idx="0">
                  <c:v>5.2576000000000001</c:v>
                </c:pt>
                <c:pt idx="1">
                  <c:v>5.2827999999999999</c:v>
                </c:pt>
                <c:pt idx="2">
                  <c:v>5.4724000000000004</c:v>
                </c:pt>
                <c:pt idx="3">
                  <c:v>5.4501999999999997</c:v>
                </c:pt>
                <c:pt idx="4">
                  <c:v>5.5766999999999998</c:v>
                </c:pt>
                <c:pt idx="5">
                  <c:v>5.6913</c:v>
                </c:pt>
                <c:pt idx="6">
                  <c:v>5.8495999999999997</c:v>
                </c:pt>
                <c:pt idx="7">
                  <c:v>4.8846999999999996</c:v>
                </c:pt>
                <c:pt idx="8">
                  <c:v>5.2011000000000003</c:v>
                </c:pt>
                <c:pt idx="9">
                  <c:v>4.9564000000000004</c:v>
                </c:pt>
                <c:pt idx="10">
                  <c:v>5.2130000000000001</c:v>
                </c:pt>
                <c:pt idx="11">
                  <c:v>4.71</c:v>
                </c:pt>
                <c:pt idx="12">
                  <c:v>4.4383999999999997</c:v>
                </c:pt>
              </c:numCache>
            </c:numRef>
          </c:yVal>
          <c:smooth val="0"/>
          <c:extLst>
            <c:ext xmlns:c16="http://schemas.microsoft.com/office/drawing/2014/chart" uri="{C3380CC4-5D6E-409C-BE32-E72D297353CC}">
              <c16:uniqueId val="{00000000-88F5-2F48-8754-2889AE27B7BA}"/>
            </c:ext>
          </c:extLst>
        </c:ser>
        <c:ser>
          <c:idx val="1"/>
          <c:order val="1"/>
          <c:tx>
            <c:v>5A</c:v>
          </c:tx>
          <c:spPr>
            <a:ln w="25400" cap="rnd">
              <a:noFill/>
              <a:round/>
            </a:ln>
            <a:effectLst/>
          </c:spPr>
          <c:marker>
            <c:symbol val="circle"/>
            <c:size val="5"/>
            <c:spPr>
              <a:solidFill>
                <a:schemeClr val="accent2"/>
              </a:solidFill>
              <a:ln w="9525">
                <a:solidFill>
                  <a:schemeClr val="accent2"/>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IC'!$V$3:$V$15</c:f>
              <c:numCache>
                <c:formatCode>General</c:formatCode>
                <c:ptCount val="13"/>
                <c:pt idx="0">
                  <c:v>5.7385000000000002</c:v>
                </c:pt>
                <c:pt idx="1">
                  <c:v>5.0879000000000003</c:v>
                </c:pt>
                <c:pt idx="2">
                  <c:v>4.9101999999999997</c:v>
                </c:pt>
                <c:pt idx="3">
                  <c:v>1.3482000000000001</c:v>
                </c:pt>
                <c:pt idx="4">
                  <c:v>5.0004999999999997</c:v>
                </c:pt>
                <c:pt idx="5">
                  <c:v>4.9919000000000002</c:v>
                </c:pt>
                <c:pt idx="6">
                  <c:v>4.8113999999999999</c:v>
                </c:pt>
                <c:pt idx="7">
                  <c:v>4.5475000000000003</c:v>
                </c:pt>
                <c:pt idx="8">
                  <c:v>4.0716999999999999</c:v>
                </c:pt>
                <c:pt idx="9">
                  <c:v>4.4227999999999996</c:v>
                </c:pt>
                <c:pt idx="10">
                  <c:v>4.4725000000000001</c:v>
                </c:pt>
                <c:pt idx="11">
                  <c:v>4.5957999999999997</c:v>
                </c:pt>
                <c:pt idx="12">
                  <c:v>4.0467000000000004</c:v>
                </c:pt>
              </c:numCache>
            </c:numRef>
          </c:yVal>
          <c:smooth val="0"/>
          <c:extLst>
            <c:ext xmlns:c16="http://schemas.microsoft.com/office/drawing/2014/chart" uri="{C3380CC4-5D6E-409C-BE32-E72D297353CC}">
              <c16:uniqueId val="{00000001-88F5-2F48-8754-2889AE27B7BA}"/>
            </c:ext>
          </c:extLst>
        </c:ser>
        <c:ser>
          <c:idx val="2"/>
          <c:order val="2"/>
          <c:tx>
            <c:v>5B</c:v>
          </c:tx>
          <c:spPr>
            <a:ln w="25400" cap="rnd">
              <a:noFill/>
              <a:round/>
            </a:ln>
            <a:effectLst/>
          </c:spPr>
          <c:marker>
            <c:symbol val="circle"/>
            <c:size val="5"/>
            <c:spPr>
              <a:solidFill>
                <a:schemeClr val="accent3"/>
              </a:solidFill>
              <a:ln w="9525">
                <a:solidFill>
                  <a:schemeClr val="accent3"/>
                </a:solidFill>
              </a:ln>
              <a:effectLst/>
            </c:spPr>
          </c:marker>
          <c:xVal>
            <c:numRef>
              <c:f>'Set 5 IC'!$C$3:$C$15</c:f>
              <c:numCache>
                <c:formatCode>0.00</c:formatCode>
                <c:ptCount val="13"/>
                <c:pt idx="0">
                  <c:v>45.216666666666669</c:v>
                </c:pt>
                <c:pt idx="1">
                  <c:v>162.96666666666667</c:v>
                </c:pt>
                <c:pt idx="2">
                  <c:v>210.7</c:v>
                </c:pt>
                <c:pt idx="3">
                  <c:v>330.61666666666667</c:v>
                </c:pt>
                <c:pt idx="4">
                  <c:v>450.9</c:v>
                </c:pt>
                <c:pt idx="5">
                  <c:v>498.5</c:v>
                </c:pt>
                <c:pt idx="6">
                  <c:v>545.95000000000005</c:v>
                </c:pt>
                <c:pt idx="7">
                  <c:v>616.76666666666665</c:v>
                </c:pt>
                <c:pt idx="8">
                  <c:v>665.56666666666672</c:v>
                </c:pt>
                <c:pt idx="9">
                  <c:v>714.1</c:v>
                </c:pt>
                <c:pt idx="10">
                  <c:v>810.25</c:v>
                </c:pt>
                <c:pt idx="11">
                  <c:v>865.73333333333335</c:v>
                </c:pt>
                <c:pt idx="12">
                  <c:v>912.31666666666672</c:v>
                </c:pt>
              </c:numCache>
            </c:numRef>
          </c:xVal>
          <c:yVal>
            <c:numRef>
              <c:f>'Set 5 IC'!$AJ$3:$AJ$15</c:f>
              <c:numCache>
                <c:formatCode>General</c:formatCode>
                <c:ptCount val="13"/>
                <c:pt idx="0">
                  <c:v>5.8178000000000001</c:v>
                </c:pt>
                <c:pt idx="1">
                  <c:v>5.4054000000000002</c:v>
                </c:pt>
                <c:pt idx="2">
                  <c:v>5.1624999999999996</c:v>
                </c:pt>
                <c:pt idx="3">
                  <c:v>5.0848000000000004</c:v>
                </c:pt>
                <c:pt idx="4">
                  <c:v>5.4138999999999999</c:v>
                </c:pt>
                <c:pt idx="5">
                  <c:v>5.0349000000000004</c:v>
                </c:pt>
                <c:pt idx="6">
                  <c:v>5.0392000000000001</c:v>
                </c:pt>
                <c:pt idx="7">
                  <c:v>4.4340999999999999</c:v>
                </c:pt>
                <c:pt idx="8">
                  <c:v>4.1428000000000003</c:v>
                </c:pt>
                <c:pt idx="9">
                  <c:v>4.5267999999999997</c:v>
                </c:pt>
                <c:pt idx="10">
                  <c:v>4.2423999999999999</c:v>
                </c:pt>
                <c:pt idx="11">
                  <c:v>4.2468000000000004</c:v>
                </c:pt>
                <c:pt idx="12">
                  <c:v>4.1711999999999998</c:v>
                </c:pt>
              </c:numCache>
            </c:numRef>
          </c:yVal>
          <c:smooth val="0"/>
          <c:extLst>
            <c:ext xmlns:c16="http://schemas.microsoft.com/office/drawing/2014/chart" uri="{C3380CC4-5D6E-409C-BE32-E72D297353CC}">
              <c16:uniqueId val="{00000002-88F5-2F48-8754-2889AE27B7BA}"/>
            </c:ext>
          </c:extLst>
        </c:ser>
        <c:dLbls>
          <c:showLegendKey val="0"/>
          <c:showVal val="0"/>
          <c:showCatName val="0"/>
          <c:showSerName val="0"/>
          <c:showPercent val="0"/>
          <c:showBubbleSize val="0"/>
        </c:dLbls>
        <c:axId val="488505999"/>
        <c:axId val="488455231"/>
      </c:scatterChart>
      <c:valAx>
        <c:axId val="488505999"/>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455231"/>
        <c:crosses val="autoZero"/>
        <c:crossBetween val="midCat"/>
      </c:valAx>
      <c:valAx>
        <c:axId val="4884552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50599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6</c:v>
          </c:tx>
          <c:spPr>
            <a:ln w="19050" cap="rnd">
              <a:noFill/>
              <a:round/>
            </a:ln>
            <a:effectLst/>
          </c:spPr>
          <c:marker>
            <c:symbol val="circle"/>
            <c:size val="5"/>
            <c:spPr>
              <a:solidFill>
                <a:schemeClr val="accent1"/>
              </a:solidFill>
              <a:ln w="9525">
                <a:solidFill>
                  <a:schemeClr val="accent1"/>
                </a:solidFill>
              </a:ln>
              <a:effectLst/>
            </c:spPr>
          </c:marker>
          <c:xVal>
            <c:numRef>
              <c:f>'Set 6 IC'!$C$3:$C$14</c:f>
              <c:numCache>
                <c:formatCode>0.00</c:formatCode>
                <c:ptCount val="12"/>
                <c:pt idx="0">
                  <c:v>23.666666666666668</c:v>
                </c:pt>
                <c:pt idx="1">
                  <c:v>78.25</c:v>
                </c:pt>
                <c:pt idx="2">
                  <c:v>142.28333333333333</c:v>
                </c:pt>
                <c:pt idx="3">
                  <c:v>215.41666666666666</c:v>
                </c:pt>
                <c:pt idx="4">
                  <c:v>314.46666666666658</c:v>
                </c:pt>
                <c:pt idx="5">
                  <c:v>359.18333333333328</c:v>
                </c:pt>
                <c:pt idx="6">
                  <c:v>406.99999999999994</c:v>
                </c:pt>
                <c:pt idx="7">
                  <c:v>479.24999999999994</c:v>
                </c:pt>
                <c:pt idx="8">
                  <c:v>551.63333333333333</c:v>
                </c:pt>
                <c:pt idx="9">
                  <c:v>651.4666666666667</c:v>
                </c:pt>
                <c:pt idx="10">
                  <c:v>750.51666666666665</c:v>
                </c:pt>
                <c:pt idx="11">
                  <c:v>863.55</c:v>
                </c:pt>
              </c:numCache>
            </c:numRef>
          </c:xVal>
          <c:yVal>
            <c:numRef>
              <c:f>'Set 6 IC'!$CJ$3:$CJ$14</c:f>
              <c:numCache>
                <c:formatCode>0.00</c:formatCode>
                <c:ptCount val="12"/>
                <c:pt idx="0">
                  <c:v>3.2198700753046126</c:v>
                </c:pt>
                <c:pt idx="1">
                  <c:v>2.8652619786280602</c:v>
                </c:pt>
                <c:pt idx="2">
                  <c:v>3.7751009529038977</c:v>
                </c:pt>
                <c:pt idx="3">
                  <c:v>4.0331972042051314</c:v>
                </c:pt>
                <c:pt idx="4">
                  <c:v>4.092910989853233</c:v>
                </c:pt>
                <c:pt idx="5">
                  <c:v>4.0571419310926</c:v>
                </c:pt>
                <c:pt idx="6">
                  <c:v>3.9620026145485574</c:v>
                </c:pt>
                <c:pt idx="7">
                  <c:v>3.1232078998260566</c:v>
                </c:pt>
                <c:pt idx="8">
                  <c:v>2.9477003040109833</c:v>
                </c:pt>
                <c:pt idx="9">
                  <c:v>2.5664607237422774</c:v>
                </c:pt>
                <c:pt idx="10">
                  <c:v>3.3824878188592717</c:v>
                </c:pt>
                <c:pt idx="11">
                  <c:v>1.0614175162756416</c:v>
                </c:pt>
              </c:numCache>
            </c:numRef>
          </c:yVal>
          <c:smooth val="0"/>
          <c:extLst>
            <c:ext xmlns:c16="http://schemas.microsoft.com/office/drawing/2014/chart" uri="{C3380CC4-5D6E-409C-BE32-E72D297353CC}">
              <c16:uniqueId val="{00000000-E0EF-CC4E-9022-435194B2CE56}"/>
            </c:ext>
          </c:extLst>
        </c:ser>
        <c:ser>
          <c:idx val="1"/>
          <c:order val="1"/>
          <c:tx>
            <c:v>6Control</c:v>
          </c:tx>
          <c:spPr>
            <a:ln w="25400" cap="rnd">
              <a:noFill/>
              <a:round/>
            </a:ln>
            <a:effectLst/>
          </c:spPr>
          <c:marker>
            <c:symbol val="circle"/>
            <c:size val="5"/>
            <c:spPr>
              <a:solidFill>
                <a:schemeClr val="accent2"/>
              </a:solidFill>
              <a:ln w="9525">
                <a:solidFill>
                  <a:schemeClr val="accent2"/>
                </a:solidFill>
              </a:ln>
              <a:effectLst/>
            </c:spPr>
          </c:marker>
          <c:xVal>
            <c:numRef>
              <c:f>'Set 6 IC'!$C$3:$C$14</c:f>
              <c:numCache>
                <c:formatCode>0.00</c:formatCode>
                <c:ptCount val="12"/>
                <c:pt idx="0">
                  <c:v>23.666666666666668</c:v>
                </c:pt>
                <c:pt idx="1">
                  <c:v>78.25</c:v>
                </c:pt>
                <c:pt idx="2">
                  <c:v>142.28333333333333</c:v>
                </c:pt>
                <c:pt idx="3">
                  <c:v>215.41666666666666</c:v>
                </c:pt>
                <c:pt idx="4">
                  <c:v>314.46666666666658</c:v>
                </c:pt>
                <c:pt idx="5">
                  <c:v>359.18333333333328</c:v>
                </c:pt>
                <c:pt idx="6">
                  <c:v>406.99999999999994</c:v>
                </c:pt>
                <c:pt idx="7">
                  <c:v>479.24999999999994</c:v>
                </c:pt>
                <c:pt idx="8">
                  <c:v>551.63333333333333</c:v>
                </c:pt>
                <c:pt idx="9">
                  <c:v>651.4666666666667</c:v>
                </c:pt>
                <c:pt idx="10">
                  <c:v>750.51666666666665</c:v>
                </c:pt>
                <c:pt idx="11">
                  <c:v>863.55</c:v>
                </c:pt>
              </c:numCache>
            </c:numRef>
          </c:xVal>
          <c:yVal>
            <c:numRef>
              <c:f>'Set 6 IC'!$G$3:$G$14</c:f>
              <c:numCache>
                <c:formatCode>0.00</c:formatCode>
                <c:ptCount val="12"/>
                <c:pt idx="0">
                  <c:v>0.57228273165056076</c:v>
                </c:pt>
                <c:pt idx="1">
                  <c:v>0.65046535677352635</c:v>
                </c:pt>
                <c:pt idx="2">
                  <c:v>0.44129860324650805</c:v>
                </c:pt>
                <c:pt idx="3">
                  <c:v>0.52644222519647221</c:v>
                </c:pt>
                <c:pt idx="4">
                  <c:v>0.59713785648100492</c:v>
                </c:pt>
                <c:pt idx="5">
                  <c:v>0.73671928175542067</c:v>
                </c:pt>
                <c:pt idx="6">
                  <c:v>0.68709687874760961</c:v>
                </c:pt>
                <c:pt idx="7">
                  <c:v>0.37296211065374518</c:v>
                </c:pt>
                <c:pt idx="8">
                  <c:v>0.14998528979111503</c:v>
                </c:pt>
                <c:pt idx="9">
                  <c:v>0.21800529567519861</c:v>
                </c:pt>
                <c:pt idx="10">
                  <c:v>0</c:v>
                </c:pt>
                <c:pt idx="11">
                  <c:v>0</c:v>
                </c:pt>
              </c:numCache>
            </c:numRef>
          </c:yVal>
          <c:smooth val="0"/>
          <c:extLst>
            <c:ext xmlns:c16="http://schemas.microsoft.com/office/drawing/2014/chart" uri="{C3380CC4-5D6E-409C-BE32-E72D297353CC}">
              <c16:uniqueId val="{00000002-E0EF-CC4E-9022-435194B2CE56}"/>
            </c:ext>
          </c:extLst>
        </c:ser>
        <c:ser>
          <c:idx val="2"/>
          <c:order val="2"/>
          <c:tx>
            <c:v>60</c:v>
          </c:tx>
          <c:spPr>
            <a:ln w="25400" cap="rnd">
              <a:noFill/>
              <a:round/>
            </a:ln>
            <a:effectLst/>
          </c:spPr>
          <c:marker>
            <c:symbol val="circle"/>
            <c:size val="5"/>
            <c:spPr>
              <a:solidFill>
                <a:schemeClr val="accent3"/>
              </a:solidFill>
              <a:ln w="9525">
                <a:solidFill>
                  <a:schemeClr val="accent3"/>
                </a:solidFill>
              </a:ln>
              <a:effectLst/>
            </c:spPr>
          </c:marker>
          <c:xVal>
            <c:numRef>
              <c:f>'Set 6 IC'!$C$3:$C$14</c:f>
              <c:numCache>
                <c:formatCode>0.00</c:formatCode>
                <c:ptCount val="12"/>
                <c:pt idx="0">
                  <c:v>23.666666666666668</c:v>
                </c:pt>
                <c:pt idx="1">
                  <c:v>78.25</c:v>
                </c:pt>
                <c:pt idx="2">
                  <c:v>142.28333333333333</c:v>
                </c:pt>
                <c:pt idx="3">
                  <c:v>215.41666666666666</c:v>
                </c:pt>
                <c:pt idx="4">
                  <c:v>314.46666666666658</c:v>
                </c:pt>
                <c:pt idx="5">
                  <c:v>359.18333333333328</c:v>
                </c:pt>
                <c:pt idx="6">
                  <c:v>406.99999999999994</c:v>
                </c:pt>
                <c:pt idx="7">
                  <c:v>479.24999999999994</c:v>
                </c:pt>
                <c:pt idx="8">
                  <c:v>551.63333333333333</c:v>
                </c:pt>
                <c:pt idx="9">
                  <c:v>651.4666666666667</c:v>
                </c:pt>
                <c:pt idx="10">
                  <c:v>750.51666666666665</c:v>
                </c:pt>
                <c:pt idx="11">
                  <c:v>863.55</c:v>
                </c:pt>
              </c:numCache>
            </c:numRef>
          </c:xVal>
          <c:yVal>
            <c:numRef>
              <c:f>'Set 6 IC'!$BW$3:$BW$14</c:f>
              <c:numCache>
                <c:formatCode>0.00</c:formatCode>
                <c:ptCount val="12"/>
                <c:pt idx="0">
                  <c:v>3.1309589218189458</c:v>
                </c:pt>
                <c:pt idx="1">
                  <c:v>3.3147944674250263</c:v>
                </c:pt>
                <c:pt idx="2">
                  <c:v>3.8049692851504853</c:v>
                </c:pt>
                <c:pt idx="3">
                  <c:v>4.2893716325199902</c:v>
                </c:pt>
                <c:pt idx="4">
                  <c:v>4.119633480901884</c:v>
                </c:pt>
                <c:pt idx="5">
                  <c:v>4.1886688490584376</c:v>
                </c:pt>
                <c:pt idx="6">
                  <c:v>4.0449875214727893</c:v>
                </c:pt>
                <c:pt idx="7">
                  <c:v>4.1909376721874692</c:v>
                </c:pt>
                <c:pt idx="8">
                  <c:v>3.8234186525448659</c:v>
                </c:pt>
                <c:pt idx="9">
                  <c:v>3.7033833480435421</c:v>
                </c:pt>
                <c:pt idx="10">
                  <c:v>4.2173258813413579</c:v>
                </c:pt>
                <c:pt idx="11">
                  <c:v>3.7448716373909838</c:v>
                </c:pt>
              </c:numCache>
            </c:numRef>
          </c:yVal>
          <c:smooth val="0"/>
          <c:extLst>
            <c:ext xmlns:c16="http://schemas.microsoft.com/office/drawing/2014/chart" uri="{C3380CC4-5D6E-409C-BE32-E72D297353CC}">
              <c16:uniqueId val="{00000003-E0EF-CC4E-9022-435194B2CE56}"/>
            </c:ext>
          </c:extLst>
        </c:ser>
        <c:dLbls>
          <c:showLegendKey val="0"/>
          <c:showVal val="0"/>
          <c:showCatName val="0"/>
          <c:showSerName val="0"/>
          <c:showPercent val="0"/>
          <c:showBubbleSize val="0"/>
        </c:dLbls>
        <c:axId val="1656448383"/>
        <c:axId val="1656589919"/>
      </c:scatterChart>
      <c:valAx>
        <c:axId val="1656448383"/>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589919"/>
        <c:crosses val="autoZero"/>
        <c:crossBetween val="midCat"/>
      </c:valAx>
      <c:valAx>
        <c:axId val="1656589919"/>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644838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A</c:v>
          </c:tx>
          <c:spPr>
            <a:ln w="19050" cap="rnd">
              <a:noFill/>
              <a:round/>
            </a:ln>
            <a:effectLst/>
          </c:spPr>
          <c:marker>
            <c:symbol val="circle"/>
            <c:size val="5"/>
            <c:spPr>
              <a:solidFill>
                <a:schemeClr val="accent1"/>
              </a:solidFill>
              <a:ln w="9525">
                <a:solidFill>
                  <a:schemeClr val="accent1"/>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IC'!$EF$3:$EF$13</c:f>
              <c:numCache>
                <c:formatCode>0.00</c:formatCode>
                <c:ptCount val="11"/>
                <c:pt idx="0">
                  <c:v>4.4842618924508795</c:v>
                </c:pt>
                <c:pt idx="1">
                  <c:v>4.1485980987679749</c:v>
                </c:pt>
                <c:pt idx="2">
                  <c:v>4.4338686983081095</c:v>
                </c:pt>
                <c:pt idx="3">
                  <c:v>4.0145681046020796</c:v>
                </c:pt>
                <c:pt idx="4">
                  <c:v>3.6359835348264351</c:v>
                </c:pt>
                <c:pt idx="5">
                  <c:v>3.7549508961851354</c:v>
                </c:pt>
                <c:pt idx="6">
                  <c:v>3.6442971510063851</c:v>
                </c:pt>
                <c:pt idx="7">
                  <c:v>3.006899087967049</c:v>
                </c:pt>
                <c:pt idx="8">
                  <c:v>2.913871726978523</c:v>
                </c:pt>
                <c:pt idx="9">
                  <c:v>2.0354225525119762</c:v>
                </c:pt>
                <c:pt idx="10">
                  <c:v>3.5999416533595379</c:v>
                </c:pt>
              </c:numCache>
            </c:numRef>
          </c:yVal>
          <c:smooth val="0"/>
          <c:extLst>
            <c:ext xmlns:c16="http://schemas.microsoft.com/office/drawing/2014/chart" uri="{C3380CC4-5D6E-409C-BE32-E72D297353CC}">
              <c16:uniqueId val="{00000000-ACB6-3C4C-8AFF-A320AFD24692}"/>
            </c:ext>
          </c:extLst>
        </c:ser>
        <c:ser>
          <c:idx val="1"/>
          <c:order val="1"/>
          <c:tx>
            <c:v>A0</c:v>
          </c:tx>
          <c:spPr>
            <a:ln w="25400" cap="rnd">
              <a:noFill/>
              <a:round/>
            </a:ln>
            <a:effectLst/>
          </c:spPr>
          <c:marker>
            <c:symbol val="circle"/>
            <c:size val="5"/>
            <c:spPr>
              <a:solidFill>
                <a:schemeClr val="accent2"/>
              </a:solidFill>
              <a:ln w="9525">
                <a:solidFill>
                  <a:schemeClr val="accent2"/>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IC'!$BF$3:$BF$13</c:f>
              <c:numCache>
                <c:formatCode>0.00</c:formatCode>
                <c:ptCount val="11"/>
                <c:pt idx="0">
                  <c:v>3.9717231127197521</c:v>
                </c:pt>
                <c:pt idx="1">
                  <c:v>3.800988366107279</c:v>
                </c:pt>
                <c:pt idx="2">
                  <c:v>3.8708946772366928</c:v>
                </c:pt>
                <c:pt idx="3">
                  <c:v>4.20247777892172</c:v>
                </c:pt>
                <c:pt idx="4">
                  <c:v>4.1800149094091337</c:v>
                </c:pt>
                <c:pt idx="5">
                  <c:v>3.8090947395715165</c:v>
                </c:pt>
                <c:pt idx="6">
                  <c:v>3.8700288464654973</c:v>
                </c:pt>
                <c:pt idx="7">
                  <c:v>3.3705501618122979</c:v>
                </c:pt>
                <c:pt idx="8">
                  <c:v>3.5777875845837008</c:v>
                </c:pt>
                <c:pt idx="9">
                  <c:v>3.7584141997297631</c:v>
                </c:pt>
                <c:pt idx="10">
                  <c:v>3.3785468615649177</c:v>
                </c:pt>
              </c:numCache>
            </c:numRef>
          </c:yVal>
          <c:smooth val="0"/>
          <c:extLst>
            <c:ext xmlns:c16="http://schemas.microsoft.com/office/drawing/2014/chart" uri="{C3380CC4-5D6E-409C-BE32-E72D297353CC}">
              <c16:uniqueId val="{00000002-ACB6-3C4C-8AFF-A320AFD24692}"/>
            </c:ext>
          </c:extLst>
        </c:ser>
        <c:dLbls>
          <c:showLegendKey val="0"/>
          <c:showVal val="0"/>
          <c:showCatName val="0"/>
          <c:showSerName val="0"/>
          <c:showPercent val="0"/>
          <c:showBubbleSize val="0"/>
        </c:dLbls>
        <c:axId val="557684880"/>
        <c:axId val="557200816"/>
      </c:scatterChart>
      <c:valAx>
        <c:axId val="557684880"/>
        <c:scaling>
          <c:orientation val="minMax"/>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200816"/>
        <c:crosses val="autoZero"/>
        <c:crossBetween val="midCat"/>
      </c:valAx>
      <c:valAx>
        <c:axId val="557200816"/>
        <c:scaling>
          <c:orientation val="minMax"/>
        </c:scaling>
        <c:delete val="0"/>
        <c:axPos val="l"/>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6848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B</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B</c:v>
          </c:tx>
          <c:spPr>
            <a:ln w="19050" cap="rnd">
              <a:noFill/>
              <a:round/>
            </a:ln>
            <a:effectLst/>
          </c:spPr>
          <c:marker>
            <c:symbol val="circle"/>
            <c:size val="5"/>
            <c:spPr>
              <a:solidFill>
                <a:schemeClr val="accent1"/>
              </a:solidFill>
              <a:ln w="9525">
                <a:solidFill>
                  <a:schemeClr val="accent1"/>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IC'!$EH$3:$EH$13</c:f>
              <c:numCache>
                <c:formatCode>0.00</c:formatCode>
                <c:ptCount val="11"/>
                <c:pt idx="0">
                  <c:v>3.3610877714581182</c:v>
                </c:pt>
                <c:pt idx="1">
                  <c:v>3.3527574728027729</c:v>
                </c:pt>
                <c:pt idx="2">
                  <c:v>3.6199595044442159</c:v>
                </c:pt>
                <c:pt idx="3">
                  <c:v>3.6383369367514327</c:v>
                </c:pt>
                <c:pt idx="4">
                  <c:v>3.310472239328428</c:v>
                </c:pt>
                <c:pt idx="5">
                  <c:v>3.1797232035782579</c:v>
                </c:pt>
                <c:pt idx="6">
                  <c:v>3.3853271967069647</c:v>
                </c:pt>
                <c:pt idx="7">
                  <c:v>2.9491468078846719</c:v>
                </c:pt>
                <c:pt idx="8">
                  <c:v>2.758208296557811</c:v>
                </c:pt>
                <c:pt idx="9">
                  <c:v>4.8734799164721794E-2</c:v>
                </c:pt>
                <c:pt idx="10">
                  <c:v>3.2796032428448596</c:v>
                </c:pt>
              </c:numCache>
            </c:numRef>
          </c:yVal>
          <c:smooth val="0"/>
          <c:extLst>
            <c:ext xmlns:c16="http://schemas.microsoft.com/office/drawing/2014/chart" uri="{C3380CC4-5D6E-409C-BE32-E72D297353CC}">
              <c16:uniqueId val="{00000000-A050-9C48-A309-4E519EBD692C}"/>
            </c:ext>
          </c:extLst>
        </c:ser>
        <c:ser>
          <c:idx val="1"/>
          <c:order val="1"/>
          <c:tx>
            <c:v>B0</c:v>
          </c:tx>
          <c:spPr>
            <a:ln w="25400" cap="rnd">
              <a:noFill/>
              <a:round/>
            </a:ln>
            <a:effectLst/>
          </c:spPr>
          <c:marker>
            <c:symbol val="circle"/>
            <c:size val="5"/>
            <c:spPr>
              <a:solidFill>
                <a:schemeClr val="accent2"/>
              </a:solidFill>
              <a:ln w="9525">
                <a:solidFill>
                  <a:schemeClr val="accent2"/>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IC'!$DS$3:$DS$13</c:f>
              <c:numCache>
                <c:formatCode>0.00</c:formatCode>
                <c:ptCount val="11"/>
                <c:pt idx="0">
                  <c:v>4.3156993278179936</c:v>
                </c:pt>
                <c:pt idx="1">
                  <c:v>3.6456638868869895</c:v>
                </c:pt>
                <c:pt idx="2">
                  <c:v>4.1478430968804689</c:v>
                </c:pt>
                <c:pt idx="3">
                  <c:v>4.503380349359964</c:v>
                </c:pt>
                <c:pt idx="4">
                  <c:v>4.5343078468868496</c:v>
                </c:pt>
                <c:pt idx="5">
                  <c:v>4.6372800051858807</c:v>
                </c:pt>
                <c:pt idx="6">
                  <c:v>4.5002754999513819</c:v>
                </c:pt>
                <c:pt idx="7">
                  <c:v>3.9761106207708146</c:v>
                </c:pt>
                <c:pt idx="8">
                  <c:v>4.3127096204766104</c:v>
                </c:pt>
                <c:pt idx="9">
                  <c:v>3.8325144331163243</c:v>
                </c:pt>
                <c:pt idx="10">
                  <c:v>3.6770359906645376</c:v>
                </c:pt>
              </c:numCache>
            </c:numRef>
          </c:yVal>
          <c:smooth val="0"/>
          <c:extLst>
            <c:ext xmlns:c16="http://schemas.microsoft.com/office/drawing/2014/chart" uri="{C3380CC4-5D6E-409C-BE32-E72D297353CC}">
              <c16:uniqueId val="{00000002-A050-9C48-A309-4E519EBD692C}"/>
            </c:ext>
          </c:extLst>
        </c:ser>
        <c:dLbls>
          <c:showLegendKey val="0"/>
          <c:showVal val="0"/>
          <c:showCatName val="0"/>
          <c:showSerName val="0"/>
          <c:showPercent val="0"/>
          <c:showBubbleSize val="0"/>
        </c:dLbls>
        <c:axId val="158762624"/>
        <c:axId val="97325088"/>
      </c:scatterChart>
      <c:valAx>
        <c:axId val="158762624"/>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25088"/>
        <c:crosses val="autoZero"/>
        <c:crossBetween val="midCat"/>
      </c:valAx>
      <c:valAx>
        <c:axId val="973250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87626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v>Set A</c:v>
          </c:tx>
          <c:spPr>
            <a:ln w="25400" cap="rnd">
              <a:noFill/>
              <a:round/>
            </a:ln>
            <a:effectLst/>
          </c:spPr>
          <c:marker>
            <c:symbol val="triangle"/>
            <c:size val="8"/>
            <c:spPr>
              <a:solidFill>
                <a:schemeClr val="accent4"/>
              </a:solidFill>
              <a:ln w="9525">
                <a:solidFill>
                  <a:srgbClr val="FFC000"/>
                </a:solidFill>
              </a:ln>
              <a:effectLst/>
            </c:spPr>
          </c:marker>
          <c:xVal>
            <c:numRef>
              <c:f>'A &amp; B IC'!$C$3:$C$11</c:f>
              <c:numCache>
                <c:formatCode>0.00</c:formatCode>
                <c:ptCount val="9"/>
                <c:pt idx="0">
                  <c:v>3.85</c:v>
                </c:pt>
                <c:pt idx="1">
                  <c:v>67.849999999999994</c:v>
                </c:pt>
                <c:pt idx="2">
                  <c:v>140.98333333333332</c:v>
                </c:pt>
                <c:pt idx="3">
                  <c:v>240.03333333333333</c:v>
                </c:pt>
                <c:pt idx="4">
                  <c:v>284.75</c:v>
                </c:pt>
                <c:pt idx="5">
                  <c:v>332.56666666666666</c:v>
                </c:pt>
                <c:pt idx="6">
                  <c:v>404.81666666666666</c:v>
                </c:pt>
                <c:pt idx="7">
                  <c:v>477.2</c:v>
                </c:pt>
                <c:pt idx="8">
                  <c:v>577.0333333333333</c:v>
                </c:pt>
              </c:numCache>
            </c:numRef>
          </c:xVal>
          <c:yVal>
            <c:numRef>
              <c:f>'A &amp; B IC'!$EF$3:$EF$11</c:f>
              <c:numCache>
                <c:formatCode>0.00</c:formatCode>
                <c:ptCount val="9"/>
                <c:pt idx="0">
                  <c:v>4.4842618924508795</c:v>
                </c:pt>
                <c:pt idx="1">
                  <c:v>4.1485980987679749</c:v>
                </c:pt>
                <c:pt idx="2">
                  <c:v>4.4338686983081095</c:v>
                </c:pt>
                <c:pt idx="3">
                  <c:v>4.0145681046020796</c:v>
                </c:pt>
                <c:pt idx="4">
                  <c:v>3.6359835348264351</c:v>
                </c:pt>
                <c:pt idx="5">
                  <c:v>3.7549508961851354</c:v>
                </c:pt>
                <c:pt idx="6">
                  <c:v>3.6442971510063851</c:v>
                </c:pt>
                <c:pt idx="7">
                  <c:v>3.006899087967049</c:v>
                </c:pt>
                <c:pt idx="8">
                  <c:v>2.913871726978523</c:v>
                </c:pt>
              </c:numCache>
            </c:numRef>
          </c:yVal>
          <c:smooth val="0"/>
          <c:extLst>
            <c:ext xmlns:c16="http://schemas.microsoft.com/office/drawing/2014/chart" uri="{C3380CC4-5D6E-409C-BE32-E72D297353CC}">
              <c16:uniqueId val="{00000002-6E9B-BA45-BC0B-5073E44AB8EF}"/>
            </c:ext>
          </c:extLst>
        </c:ser>
        <c:ser>
          <c:idx val="2"/>
          <c:order val="1"/>
          <c:tx>
            <c:v>Set B</c:v>
          </c:tx>
          <c:spPr>
            <a:ln w="25400" cap="rnd">
              <a:noFill/>
              <a:round/>
            </a:ln>
            <a:effectLst/>
          </c:spPr>
          <c:marker>
            <c:symbol val="square"/>
            <c:size val="5"/>
            <c:spPr>
              <a:solidFill>
                <a:schemeClr val="accent2">
                  <a:lumMod val="75000"/>
                </a:schemeClr>
              </a:solidFill>
              <a:ln w="9525">
                <a:solidFill>
                  <a:schemeClr val="accent2">
                    <a:lumMod val="75000"/>
                  </a:schemeClr>
                </a:solidFill>
              </a:ln>
              <a:effectLst/>
            </c:spPr>
          </c:marker>
          <c:xVal>
            <c:numRef>
              <c:f>'A &amp; B IC'!$C$3:$C$11</c:f>
              <c:numCache>
                <c:formatCode>0.00</c:formatCode>
                <c:ptCount val="9"/>
                <c:pt idx="0">
                  <c:v>3.85</c:v>
                </c:pt>
                <c:pt idx="1">
                  <c:v>67.849999999999994</c:v>
                </c:pt>
                <c:pt idx="2">
                  <c:v>140.98333333333332</c:v>
                </c:pt>
                <c:pt idx="3">
                  <c:v>240.03333333333333</c:v>
                </c:pt>
                <c:pt idx="4">
                  <c:v>284.75</c:v>
                </c:pt>
                <c:pt idx="5">
                  <c:v>332.56666666666666</c:v>
                </c:pt>
                <c:pt idx="6">
                  <c:v>404.81666666666666</c:v>
                </c:pt>
                <c:pt idx="7">
                  <c:v>477.2</c:v>
                </c:pt>
                <c:pt idx="8">
                  <c:v>577.0333333333333</c:v>
                </c:pt>
              </c:numCache>
            </c:numRef>
          </c:xVal>
          <c:yVal>
            <c:numRef>
              <c:f>'A &amp; B IC'!$EH$3:$EH$11</c:f>
              <c:numCache>
                <c:formatCode>0.00</c:formatCode>
                <c:ptCount val="9"/>
                <c:pt idx="0">
                  <c:v>3.3610877714581182</c:v>
                </c:pt>
                <c:pt idx="1">
                  <c:v>3.3527574728027729</c:v>
                </c:pt>
                <c:pt idx="2">
                  <c:v>3.6199595044442159</c:v>
                </c:pt>
                <c:pt idx="3">
                  <c:v>3.6383369367514327</c:v>
                </c:pt>
                <c:pt idx="4">
                  <c:v>3.310472239328428</c:v>
                </c:pt>
                <c:pt idx="5">
                  <c:v>3.1797232035782579</c:v>
                </c:pt>
                <c:pt idx="6">
                  <c:v>3.3853271967069647</c:v>
                </c:pt>
                <c:pt idx="7">
                  <c:v>2.9491468078846719</c:v>
                </c:pt>
                <c:pt idx="8">
                  <c:v>2.758208296557811</c:v>
                </c:pt>
              </c:numCache>
            </c:numRef>
          </c:yVal>
          <c:smooth val="0"/>
          <c:extLst>
            <c:ext xmlns:c16="http://schemas.microsoft.com/office/drawing/2014/chart" uri="{C3380CC4-5D6E-409C-BE32-E72D297353CC}">
              <c16:uniqueId val="{00000003-6E9B-BA45-BC0B-5073E44AB8EF}"/>
            </c:ext>
          </c:extLst>
        </c:ser>
        <c:ser>
          <c:idx val="0"/>
          <c:order val="2"/>
          <c:tx>
            <c:v>B 0 (High Alk Only)</c:v>
          </c:tx>
          <c:spPr>
            <a:ln w="25400" cap="rnd">
              <a:noFill/>
              <a:round/>
            </a:ln>
            <a:effectLst/>
          </c:spPr>
          <c:marker>
            <c:symbol val="square"/>
            <c:size val="5"/>
            <c:spPr>
              <a:noFill/>
              <a:ln w="9525">
                <a:solidFill>
                  <a:schemeClr val="accent2">
                    <a:lumMod val="75000"/>
                  </a:schemeClr>
                </a:solidFill>
              </a:ln>
              <a:effectLst/>
            </c:spPr>
          </c:marker>
          <c:xVal>
            <c:numRef>
              <c:f>'A &amp; B IC'!$C$3:$C$11</c:f>
              <c:numCache>
                <c:formatCode>0.00</c:formatCode>
                <c:ptCount val="9"/>
                <c:pt idx="0">
                  <c:v>3.85</c:v>
                </c:pt>
                <c:pt idx="1">
                  <c:v>67.849999999999994</c:v>
                </c:pt>
                <c:pt idx="2">
                  <c:v>140.98333333333332</c:v>
                </c:pt>
                <c:pt idx="3">
                  <c:v>240.03333333333333</c:v>
                </c:pt>
                <c:pt idx="4">
                  <c:v>284.75</c:v>
                </c:pt>
                <c:pt idx="5">
                  <c:v>332.56666666666666</c:v>
                </c:pt>
                <c:pt idx="6">
                  <c:v>404.81666666666666</c:v>
                </c:pt>
                <c:pt idx="7">
                  <c:v>477.2</c:v>
                </c:pt>
                <c:pt idx="8">
                  <c:v>577.0333333333333</c:v>
                </c:pt>
              </c:numCache>
            </c:numRef>
          </c:xVal>
          <c:yVal>
            <c:numRef>
              <c:f>'A &amp; B IC'!$DS$3:$DS$11</c:f>
              <c:numCache>
                <c:formatCode>0.00</c:formatCode>
                <c:ptCount val="9"/>
                <c:pt idx="0">
                  <c:v>4.3156993278179936</c:v>
                </c:pt>
                <c:pt idx="1">
                  <c:v>3.6456638868869895</c:v>
                </c:pt>
                <c:pt idx="2">
                  <c:v>4.1478430968804689</c:v>
                </c:pt>
                <c:pt idx="3">
                  <c:v>4.503380349359964</c:v>
                </c:pt>
                <c:pt idx="4">
                  <c:v>4.5343078468868496</c:v>
                </c:pt>
                <c:pt idx="5">
                  <c:v>4.6372800051858807</c:v>
                </c:pt>
                <c:pt idx="6">
                  <c:v>4.5002754999513819</c:v>
                </c:pt>
                <c:pt idx="7">
                  <c:v>3.9761106207708146</c:v>
                </c:pt>
                <c:pt idx="8">
                  <c:v>4.3127096204766104</c:v>
                </c:pt>
              </c:numCache>
            </c:numRef>
          </c:yVal>
          <c:smooth val="0"/>
          <c:extLst>
            <c:ext xmlns:c16="http://schemas.microsoft.com/office/drawing/2014/chart" uri="{C3380CC4-5D6E-409C-BE32-E72D297353CC}">
              <c16:uniqueId val="{00000004-6E9B-BA45-BC0B-5073E44AB8EF}"/>
            </c:ext>
          </c:extLst>
        </c:ser>
        <c:ser>
          <c:idx val="3"/>
          <c:order val="3"/>
          <c:tx>
            <c:v>A 0 (DI only)</c:v>
          </c:tx>
          <c:spPr>
            <a:ln w="25400" cap="rnd">
              <a:noFill/>
              <a:round/>
            </a:ln>
            <a:effectLst/>
          </c:spPr>
          <c:marker>
            <c:symbol val="triangle"/>
            <c:size val="9"/>
            <c:spPr>
              <a:noFill/>
              <a:ln w="9525">
                <a:solidFill>
                  <a:schemeClr val="accent4"/>
                </a:solidFill>
              </a:ln>
              <a:effectLst/>
            </c:spPr>
          </c:marker>
          <c:xVal>
            <c:numRef>
              <c:f>'A &amp; B IC'!$C$3:$C$11</c:f>
              <c:numCache>
                <c:formatCode>0.00</c:formatCode>
                <c:ptCount val="9"/>
                <c:pt idx="0">
                  <c:v>3.85</c:v>
                </c:pt>
                <c:pt idx="1">
                  <c:v>67.849999999999994</c:v>
                </c:pt>
                <c:pt idx="2">
                  <c:v>140.98333333333332</c:v>
                </c:pt>
                <c:pt idx="3">
                  <c:v>240.03333333333333</c:v>
                </c:pt>
                <c:pt idx="4">
                  <c:v>284.75</c:v>
                </c:pt>
                <c:pt idx="5">
                  <c:v>332.56666666666666</c:v>
                </c:pt>
                <c:pt idx="6">
                  <c:v>404.81666666666666</c:v>
                </c:pt>
                <c:pt idx="7">
                  <c:v>477.2</c:v>
                </c:pt>
                <c:pt idx="8">
                  <c:v>577.0333333333333</c:v>
                </c:pt>
              </c:numCache>
            </c:numRef>
          </c:xVal>
          <c:yVal>
            <c:numRef>
              <c:f>'A &amp; B IC'!$BF$3:$BF$11</c:f>
              <c:numCache>
                <c:formatCode>0.00</c:formatCode>
                <c:ptCount val="9"/>
                <c:pt idx="0">
                  <c:v>3.9717231127197521</c:v>
                </c:pt>
                <c:pt idx="1">
                  <c:v>3.800988366107279</c:v>
                </c:pt>
                <c:pt idx="2">
                  <c:v>3.8708946772366928</c:v>
                </c:pt>
                <c:pt idx="3">
                  <c:v>4.20247777892172</c:v>
                </c:pt>
                <c:pt idx="4">
                  <c:v>4.1800149094091337</c:v>
                </c:pt>
                <c:pt idx="5">
                  <c:v>3.8090947395715165</c:v>
                </c:pt>
                <c:pt idx="6">
                  <c:v>3.8700288464654973</c:v>
                </c:pt>
                <c:pt idx="7">
                  <c:v>3.3705501618122979</c:v>
                </c:pt>
                <c:pt idx="8">
                  <c:v>3.5777875845837008</c:v>
                </c:pt>
              </c:numCache>
            </c:numRef>
          </c:yVal>
          <c:smooth val="0"/>
          <c:extLst>
            <c:ext xmlns:c16="http://schemas.microsoft.com/office/drawing/2014/chart" uri="{C3380CC4-5D6E-409C-BE32-E72D297353CC}">
              <c16:uniqueId val="{00000005-6E9B-BA45-BC0B-5073E44AB8EF}"/>
            </c:ext>
          </c:extLst>
        </c:ser>
        <c:dLbls>
          <c:showLegendKey val="0"/>
          <c:showVal val="0"/>
          <c:showCatName val="0"/>
          <c:showSerName val="0"/>
          <c:showPercent val="0"/>
          <c:showBubbleSize val="0"/>
        </c:dLbls>
        <c:axId val="98398768"/>
        <c:axId val="98443680"/>
      </c:scatterChart>
      <c:valAx>
        <c:axId val="98398768"/>
        <c:scaling>
          <c:orientation val="minMax"/>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443680"/>
        <c:crosses val="autoZero"/>
        <c:crossBetween val="midCat"/>
      </c:valAx>
      <c:valAx>
        <c:axId val="98443680"/>
        <c:scaling>
          <c:orientation val="minMax"/>
        </c:scaling>
        <c:delete val="0"/>
        <c:axPos val="l"/>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3987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A0</c:v>
          </c:tx>
          <c:spPr>
            <a:ln w="19050" cap="rnd">
              <a:noFill/>
              <a:round/>
            </a:ln>
            <a:effectLst/>
          </c:spPr>
          <c:marker>
            <c:symbol val="circle"/>
            <c:size val="5"/>
            <c:spPr>
              <a:solidFill>
                <a:schemeClr val="accent1"/>
              </a:solidFill>
              <a:ln w="9525">
                <a:solidFill>
                  <a:schemeClr val="accent1"/>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IC'!$BF$3:$BF$13</c:f>
              <c:numCache>
                <c:formatCode>0.00</c:formatCode>
                <c:ptCount val="11"/>
                <c:pt idx="0">
                  <c:v>3.9717231127197521</c:v>
                </c:pt>
                <c:pt idx="1">
                  <c:v>3.800988366107279</c:v>
                </c:pt>
                <c:pt idx="2">
                  <c:v>3.8708946772366928</c:v>
                </c:pt>
                <c:pt idx="3">
                  <c:v>4.20247777892172</c:v>
                </c:pt>
                <c:pt idx="4">
                  <c:v>4.1800149094091337</c:v>
                </c:pt>
                <c:pt idx="5">
                  <c:v>3.8090947395715165</c:v>
                </c:pt>
                <c:pt idx="6">
                  <c:v>3.8700288464654973</c:v>
                </c:pt>
                <c:pt idx="7">
                  <c:v>3.3705501618122979</c:v>
                </c:pt>
                <c:pt idx="8">
                  <c:v>3.5777875845837008</c:v>
                </c:pt>
                <c:pt idx="9">
                  <c:v>3.7584141997297631</c:v>
                </c:pt>
                <c:pt idx="10">
                  <c:v>3.3785468615649177</c:v>
                </c:pt>
              </c:numCache>
            </c:numRef>
          </c:yVal>
          <c:smooth val="0"/>
          <c:extLst>
            <c:ext xmlns:c16="http://schemas.microsoft.com/office/drawing/2014/chart" uri="{C3380CC4-5D6E-409C-BE32-E72D297353CC}">
              <c16:uniqueId val="{00000000-5299-0640-90F8-BA32CD9946BF}"/>
            </c:ext>
          </c:extLst>
        </c:ser>
        <c:ser>
          <c:idx val="1"/>
          <c:order val="1"/>
          <c:tx>
            <c:v>AA</c:v>
          </c:tx>
          <c:spPr>
            <a:ln w="25400" cap="rnd">
              <a:noFill/>
              <a:round/>
            </a:ln>
            <a:effectLst/>
          </c:spPr>
          <c:marker>
            <c:symbol val="circle"/>
            <c:size val="5"/>
            <c:spPr>
              <a:solidFill>
                <a:schemeClr val="accent2"/>
              </a:solidFill>
              <a:ln w="9525">
                <a:solidFill>
                  <a:schemeClr val="accent2"/>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IC'!$X$4:$X$13</c:f>
              <c:numCache>
                <c:formatCode>0.00</c:formatCode>
                <c:ptCount val="10"/>
                <c:pt idx="0">
                  <c:v>4.0783486049624216</c:v>
                </c:pt>
                <c:pt idx="1">
                  <c:v>4.3334019698685609</c:v>
                </c:pt>
                <c:pt idx="2">
                  <c:v>4.0713133601015823</c:v>
                </c:pt>
                <c:pt idx="3">
                  <c:v>3.7004505234499074</c:v>
                </c:pt>
                <c:pt idx="4">
                  <c:v>3.8534988493825555</c:v>
                </c:pt>
                <c:pt idx="5">
                  <c:v>3.6984409943927656</c:v>
                </c:pt>
                <c:pt idx="6">
                  <c:v>3.2852603706972636</c:v>
                </c:pt>
                <c:pt idx="7">
                  <c:v>2.9510738452486023</c:v>
                </c:pt>
                <c:pt idx="8">
                  <c:v>0.11816730131433485</c:v>
                </c:pt>
                <c:pt idx="9">
                  <c:v>4.2496622036604839</c:v>
                </c:pt>
              </c:numCache>
            </c:numRef>
          </c:yVal>
          <c:smooth val="0"/>
          <c:extLst>
            <c:ext xmlns:c16="http://schemas.microsoft.com/office/drawing/2014/chart" uri="{C3380CC4-5D6E-409C-BE32-E72D297353CC}">
              <c16:uniqueId val="{00000002-5299-0640-90F8-BA32CD9946BF}"/>
            </c:ext>
          </c:extLst>
        </c:ser>
        <c:ser>
          <c:idx val="2"/>
          <c:order val="2"/>
          <c:tx>
            <c:v>AB</c:v>
          </c:tx>
          <c:spPr>
            <a:ln w="25400" cap="rnd">
              <a:noFill/>
              <a:round/>
            </a:ln>
            <a:effectLst/>
          </c:spPr>
          <c:marker>
            <c:symbol val="circle"/>
            <c:size val="5"/>
            <c:spPr>
              <a:solidFill>
                <a:schemeClr val="accent3"/>
              </a:solidFill>
              <a:ln w="9525">
                <a:solidFill>
                  <a:schemeClr val="accent3"/>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IC'!$AO$3:$AO$13</c:f>
              <c:numCache>
                <c:formatCode>0.00</c:formatCode>
                <c:ptCount val="11"/>
                <c:pt idx="0">
                  <c:v>4.9818058428128236</c:v>
                </c:pt>
                <c:pt idx="1">
                  <c:v>4.2188475925735274</c:v>
                </c:pt>
                <c:pt idx="2">
                  <c:v>4.5343354267476581</c:v>
                </c:pt>
                <c:pt idx="3">
                  <c:v>3.9578228491025773</c:v>
                </c:pt>
                <c:pt idx="4">
                  <c:v>3.5715165462029623</c:v>
                </c:pt>
                <c:pt idx="5">
                  <c:v>3.6564029429877154</c:v>
                </c:pt>
                <c:pt idx="6">
                  <c:v>3.5901533076200041</c:v>
                </c:pt>
                <c:pt idx="7">
                  <c:v>2.7285378052368343</c:v>
                </c:pt>
                <c:pt idx="8">
                  <c:v>2.8766696087084438</c:v>
                </c:pt>
                <c:pt idx="9">
                  <c:v>3.952677803709618</c:v>
                </c:pt>
                <c:pt idx="10">
                  <c:v>2.9502211030585919</c:v>
                </c:pt>
              </c:numCache>
            </c:numRef>
          </c:yVal>
          <c:smooth val="0"/>
          <c:extLst>
            <c:ext xmlns:c16="http://schemas.microsoft.com/office/drawing/2014/chart" uri="{C3380CC4-5D6E-409C-BE32-E72D297353CC}">
              <c16:uniqueId val="{00000003-5299-0640-90F8-BA32CD9946BF}"/>
            </c:ext>
          </c:extLst>
        </c:ser>
        <c:dLbls>
          <c:showLegendKey val="0"/>
          <c:showVal val="0"/>
          <c:showCatName val="0"/>
          <c:showSerName val="0"/>
          <c:showPercent val="0"/>
          <c:showBubbleSize val="0"/>
        </c:dLbls>
        <c:axId val="880166416"/>
        <c:axId val="904011536"/>
      </c:scatterChart>
      <c:valAx>
        <c:axId val="88016641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011536"/>
        <c:crosses val="autoZero"/>
        <c:crossBetween val="midCat"/>
      </c:valAx>
      <c:valAx>
        <c:axId val="904011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01664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a:t>
            </a:r>
            <a:r>
              <a:rPr lang="en-US" baseline="0"/>
              <a:t> Standards 9/28/21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F</c:v>
          </c:tx>
          <c:spPr>
            <a:ln w="19050"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inear"/>
            <c:dispRSqr val="1"/>
            <c:dispEq val="1"/>
            <c:trendlineLbl>
              <c:layout>
                <c:manualLayout>
                  <c:x val="-0.21943941382327209"/>
                  <c:y val="2.736111111111111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Runs'!$C$124:$C$131</c:f>
              <c:numCache>
                <c:formatCode>General</c:formatCode>
                <c:ptCount val="8"/>
                <c:pt idx="0">
                  <c:v>0.5</c:v>
                </c:pt>
                <c:pt idx="1">
                  <c:v>1</c:v>
                </c:pt>
                <c:pt idx="2">
                  <c:v>1.5</c:v>
                </c:pt>
                <c:pt idx="3">
                  <c:v>2</c:v>
                </c:pt>
                <c:pt idx="4">
                  <c:v>2.5</c:v>
                </c:pt>
                <c:pt idx="5">
                  <c:v>3</c:v>
                </c:pt>
                <c:pt idx="6">
                  <c:v>5</c:v>
                </c:pt>
                <c:pt idx="7">
                  <c:v>0.5</c:v>
                </c:pt>
              </c:numCache>
            </c:numRef>
          </c:xVal>
          <c:yVal>
            <c:numRef>
              <c:f>'Standards All Runs'!$E$124:$E$131</c:f>
              <c:numCache>
                <c:formatCode>General</c:formatCode>
                <c:ptCount val="8"/>
                <c:pt idx="0">
                  <c:v>1.6426000000000001</c:v>
                </c:pt>
                <c:pt idx="1">
                  <c:v>3.3161</c:v>
                </c:pt>
                <c:pt idx="2">
                  <c:v>5.0258000000000003</c:v>
                </c:pt>
                <c:pt idx="3">
                  <c:v>6.6891999999999996</c:v>
                </c:pt>
                <c:pt idx="4">
                  <c:v>8.4304000000000006</c:v>
                </c:pt>
                <c:pt idx="5">
                  <c:v>10.170299999999999</c:v>
                </c:pt>
                <c:pt idx="6">
                  <c:v>16.628</c:v>
                </c:pt>
                <c:pt idx="7">
                  <c:v>1.6105</c:v>
                </c:pt>
              </c:numCache>
            </c:numRef>
          </c:yVal>
          <c:smooth val="0"/>
          <c:extLst>
            <c:ext xmlns:c16="http://schemas.microsoft.com/office/drawing/2014/chart" uri="{C3380CC4-5D6E-409C-BE32-E72D297353CC}">
              <c16:uniqueId val="{00000000-9945-6B4E-9873-A46126303B49}"/>
            </c:ext>
          </c:extLst>
        </c:ser>
        <c:ser>
          <c:idx val="1"/>
          <c:order val="1"/>
          <c:tx>
            <c:v>F in Ac</c:v>
          </c:tx>
          <c:spPr>
            <a:ln w="25400" cap="rnd">
              <a:noFill/>
              <a:round/>
            </a:ln>
            <a:effectLst/>
          </c:spPr>
          <c:marker>
            <c:symbol val="circle"/>
            <c:size val="5"/>
            <c:spPr>
              <a:solidFill>
                <a:schemeClr val="accent2"/>
              </a:solidFill>
              <a:ln w="9525">
                <a:solidFill>
                  <a:schemeClr val="accent2"/>
                </a:solidFill>
              </a:ln>
              <a:effectLst/>
            </c:spPr>
          </c:marker>
          <c:xVal>
            <c:numRef>
              <c:f>'Standards All Runs'!$C$136:$C$138</c:f>
              <c:numCache>
                <c:formatCode>General</c:formatCode>
                <c:ptCount val="3"/>
                <c:pt idx="0">
                  <c:v>1.5</c:v>
                </c:pt>
                <c:pt idx="1">
                  <c:v>2.5</c:v>
                </c:pt>
                <c:pt idx="2">
                  <c:v>3</c:v>
                </c:pt>
              </c:numCache>
            </c:numRef>
          </c:xVal>
          <c:yVal>
            <c:numRef>
              <c:f>'Standards All Runs'!$E$136:$E$138</c:f>
              <c:numCache>
                <c:formatCode>General</c:formatCode>
                <c:ptCount val="3"/>
                <c:pt idx="0">
                  <c:v>4.7271999999999998</c:v>
                </c:pt>
                <c:pt idx="1">
                  <c:v>8.0109999999999992</c:v>
                </c:pt>
                <c:pt idx="2">
                  <c:v>9.8884000000000007</c:v>
                </c:pt>
              </c:numCache>
            </c:numRef>
          </c:yVal>
          <c:smooth val="0"/>
          <c:extLst>
            <c:ext xmlns:c16="http://schemas.microsoft.com/office/drawing/2014/chart" uri="{C3380CC4-5D6E-409C-BE32-E72D297353CC}">
              <c16:uniqueId val="{00000002-9945-6B4E-9873-A46126303B49}"/>
            </c:ext>
          </c:extLst>
        </c:ser>
        <c:ser>
          <c:idx val="2"/>
          <c:order val="2"/>
          <c:tx>
            <c:v>H</c:v>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'Standards All Runs'!$C$123:$C$131</c:f>
              <c:numCache>
                <c:formatCode>General</c:formatCode>
                <c:ptCount val="9"/>
                <c:pt idx="0">
                  <c:v>0</c:v>
                </c:pt>
                <c:pt idx="1">
                  <c:v>0.5</c:v>
                </c:pt>
                <c:pt idx="2">
                  <c:v>1</c:v>
                </c:pt>
                <c:pt idx="3">
                  <c:v>1.5</c:v>
                </c:pt>
                <c:pt idx="4">
                  <c:v>2</c:v>
                </c:pt>
                <c:pt idx="5">
                  <c:v>2.5</c:v>
                </c:pt>
                <c:pt idx="6">
                  <c:v>3</c:v>
                </c:pt>
                <c:pt idx="7">
                  <c:v>5</c:v>
                </c:pt>
                <c:pt idx="8">
                  <c:v>0.5</c:v>
                </c:pt>
              </c:numCache>
            </c:numRef>
          </c:xVal>
          <c:yVal>
            <c:numRef>
              <c:f>'Standards All Runs'!$F$123:$F$131</c:f>
              <c:numCache>
                <c:formatCode>General</c:formatCode>
                <c:ptCount val="9"/>
                <c:pt idx="0">
                  <c:v>0</c:v>
                </c:pt>
                <c:pt idx="1">
                  <c:v>10.552300000000001</c:v>
                </c:pt>
                <c:pt idx="2">
                  <c:v>22.162099999999999</c:v>
                </c:pt>
                <c:pt idx="3">
                  <c:v>33.596800000000002</c:v>
                </c:pt>
                <c:pt idx="4">
                  <c:v>44.479799999999997</c:v>
                </c:pt>
                <c:pt idx="5">
                  <c:v>54.349200000000003</c:v>
                </c:pt>
                <c:pt idx="6">
                  <c:v>64.785300000000007</c:v>
                </c:pt>
                <c:pt idx="7">
                  <c:v>96.683700000000002</c:v>
                </c:pt>
                <c:pt idx="8">
                  <c:v>10.194699999999999</c:v>
                </c:pt>
              </c:numCache>
            </c:numRef>
          </c:yVal>
          <c:smooth val="0"/>
          <c:extLst>
            <c:ext xmlns:c16="http://schemas.microsoft.com/office/drawing/2014/chart" uri="{C3380CC4-5D6E-409C-BE32-E72D297353CC}">
              <c16:uniqueId val="{00000002-2262-7C40-A3B3-75E627DC41B3}"/>
            </c:ext>
          </c:extLst>
        </c:ser>
        <c:dLbls>
          <c:showLegendKey val="0"/>
          <c:showVal val="0"/>
          <c:showCatName val="0"/>
          <c:showSerName val="0"/>
          <c:showPercent val="0"/>
          <c:showBubbleSize val="0"/>
        </c:dLbls>
        <c:axId val="957293695"/>
        <c:axId val="956902527"/>
      </c:scatterChart>
      <c:valAx>
        <c:axId val="9572936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902527"/>
        <c:crosses val="autoZero"/>
        <c:crossBetween val="midCat"/>
      </c:valAx>
      <c:valAx>
        <c:axId val="9569025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2936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B0</c:v>
          </c:tx>
          <c:spPr>
            <a:ln w="19050" cap="rnd">
              <a:noFill/>
              <a:round/>
            </a:ln>
            <a:effectLst/>
          </c:spPr>
          <c:marker>
            <c:symbol val="circle"/>
            <c:size val="5"/>
            <c:spPr>
              <a:solidFill>
                <a:schemeClr val="accent1"/>
              </a:solidFill>
              <a:ln w="9525">
                <a:solidFill>
                  <a:schemeClr val="accent1"/>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IC'!$DS$3:$DS$13</c:f>
              <c:numCache>
                <c:formatCode>0.00</c:formatCode>
                <c:ptCount val="11"/>
                <c:pt idx="0">
                  <c:v>4.3156993278179936</c:v>
                </c:pt>
                <c:pt idx="1">
                  <c:v>3.6456638868869895</c:v>
                </c:pt>
                <c:pt idx="2">
                  <c:v>4.1478430968804689</c:v>
                </c:pt>
                <c:pt idx="3">
                  <c:v>4.503380349359964</c:v>
                </c:pt>
                <c:pt idx="4">
                  <c:v>4.5343078468868496</c:v>
                </c:pt>
                <c:pt idx="5">
                  <c:v>4.6372800051858807</c:v>
                </c:pt>
                <c:pt idx="6">
                  <c:v>4.5002754999513819</c:v>
                </c:pt>
                <c:pt idx="7">
                  <c:v>3.9761106207708146</c:v>
                </c:pt>
                <c:pt idx="8">
                  <c:v>4.3127096204766104</c:v>
                </c:pt>
                <c:pt idx="9">
                  <c:v>3.8325144331163243</c:v>
                </c:pt>
                <c:pt idx="10">
                  <c:v>3.6770359906645376</c:v>
                </c:pt>
              </c:numCache>
            </c:numRef>
          </c:yVal>
          <c:smooth val="0"/>
          <c:extLst>
            <c:ext xmlns:c16="http://schemas.microsoft.com/office/drawing/2014/chart" uri="{C3380CC4-5D6E-409C-BE32-E72D297353CC}">
              <c16:uniqueId val="{00000000-593F-2441-B35D-42CEE47C24AB}"/>
            </c:ext>
          </c:extLst>
        </c:ser>
        <c:ser>
          <c:idx val="1"/>
          <c:order val="1"/>
          <c:tx>
            <c:v>BA</c:v>
          </c:tx>
          <c:spPr>
            <a:ln w="25400" cap="rnd">
              <a:noFill/>
              <a:round/>
            </a:ln>
            <a:effectLst/>
          </c:spPr>
          <c:marker>
            <c:symbol val="circle"/>
            <c:size val="5"/>
            <c:spPr>
              <a:solidFill>
                <a:schemeClr val="accent2"/>
              </a:solidFill>
              <a:ln w="9525">
                <a:solidFill>
                  <a:schemeClr val="accent2"/>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IC'!$CK$3:$CK$13</c:f>
              <c:numCache>
                <c:formatCode>0.00</c:formatCode>
                <c:ptCount val="11"/>
                <c:pt idx="0">
                  <c:v>3.299605739400207</c:v>
                </c:pt>
                <c:pt idx="1">
                  <c:v>3.3538899756340301</c:v>
                </c:pt>
                <c:pt idx="2">
                  <c:v>3.4820343869041492</c:v>
                </c:pt>
                <c:pt idx="3">
                  <c:v>3.5187892515185832</c:v>
                </c:pt>
                <c:pt idx="4">
                  <c:v>3.2870061258224479</c:v>
                </c:pt>
                <c:pt idx="5">
                  <c:v>3.0843678086409745</c:v>
                </c:pt>
                <c:pt idx="6">
                  <c:v>3.2063980812238677</c:v>
                </c:pt>
                <c:pt idx="7">
                  <c:v>3.0895851721094441</c:v>
                </c:pt>
                <c:pt idx="8">
                  <c:v>2.6942630185348633</c:v>
                </c:pt>
                <c:pt idx="9">
                  <c:v>4.8581255374032704E-2</c:v>
                </c:pt>
                <c:pt idx="10">
                  <c:v>3.7537157597346766</c:v>
                </c:pt>
              </c:numCache>
            </c:numRef>
          </c:yVal>
          <c:smooth val="0"/>
          <c:extLst>
            <c:ext xmlns:c16="http://schemas.microsoft.com/office/drawing/2014/chart" uri="{C3380CC4-5D6E-409C-BE32-E72D297353CC}">
              <c16:uniqueId val="{00000002-593F-2441-B35D-42CEE47C24AB}"/>
            </c:ext>
          </c:extLst>
        </c:ser>
        <c:ser>
          <c:idx val="2"/>
          <c:order val="2"/>
          <c:tx>
            <c:v>BB</c:v>
          </c:tx>
          <c:spPr>
            <a:ln w="25400" cap="rnd">
              <a:noFill/>
              <a:round/>
            </a:ln>
            <a:effectLst/>
          </c:spPr>
          <c:marker>
            <c:symbol val="circle"/>
            <c:size val="5"/>
            <c:spPr>
              <a:solidFill>
                <a:schemeClr val="accent3"/>
              </a:solidFill>
              <a:ln w="9525">
                <a:solidFill>
                  <a:schemeClr val="accent3"/>
                </a:solidFill>
              </a:ln>
              <a:effectLst/>
            </c:spPr>
          </c:marker>
          <c:xVal>
            <c:numRef>
              <c:f>'A &amp; B IC'!$C$3:$C$13</c:f>
              <c:numCache>
                <c:formatCode>0.00</c:formatCode>
                <c:ptCount val="11"/>
                <c:pt idx="0">
                  <c:v>3.85</c:v>
                </c:pt>
                <c:pt idx="1">
                  <c:v>67.849999999999994</c:v>
                </c:pt>
                <c:pt idx="2">
                  <c:v>140.98333333333332</c:v>
                </c:pt>
                <c:pt idx="3">
                  <c:v>240.03333333333333</c:v>
                </c:pt>
                <c:pt idx="4">
                  <c:v>284.75</c:v>
                </c:pt>
                <c:pt idx="5">
                  <c:v>332.56666666666666</c:v>
                </c:pt>
                <c:pt idx="6">
                  <c:v>404.81666666666666</c:v>
                </c:pt>
                <c:pt idx="7">
                  <c:v>477.2</c:v>
                </c:pt>
                <c:pt idx="8">
                  <c:v>577.0333333333333</c:v>
                </c:pt>
                <c:pt idx="9">
                  <c:v>676.08333333333337</c:v>
                </c:pt>
                <c:pt idx="10">
                  <c:v>789.11666666666667</c:v>
                </c:pt>
              </c:numCache>
            </c:numRef>
          </c:xVal>
          <c:yVal>
            <c:numRef>
              <c:f>'A &amp; B IC'!$DB$3:$DB$13</c:f>
              <c:numCache>
                <c:formatCode>0.00</c:formatCode>
                <c:ptCount val="11"/>
                <c:pt idx="0">
                  <c:v>3.422569803516029</c:v>
                </c:pt>
                <c:pt idx="1">
                  <c:v>3.3516249699715157</c:v>
                </c:pt>
                <c:pt idx="2">
                  <c:v>3.7578846219842821</c:v>
                </c:pt>
                <c:pt idx="3">
                  <c:v>3.7578846219842821</c:v>
                </c:pt>
                <c:pt idx="4">
                  <c:v>3.3339383528344078</c:v>
                </c:pt>
                <c:pt idx="5">
                  <c:v>3.2750785985155413</c:v>
                </c:pt>
                <c:pt idx="6">
                  <c:v>3.5642563121900621</c:v>
                </c:pt>
                <c:pt idx="7">
                  <c:v>2.8087084436598997</c:v>
                </c:pt>
                <c:pt idx="8">
                  <c:v>2.8221535745807587</c:v>
                </c:pt>
                <c:pt idx="9">
                  <c:v>4.8888342955410884E-2</c:v>
                </c:pt>
                <c:pt idx="10">
                  <c:v>2.8054907259550421</c:v>
                </c:pt>
              </c:numCache>
            </c:numRef>
          </c:yVal>
          <c:smooth val="0"/>
          <c:extLst>
            <c:ext xmlns:c16="http://schemas.microsoft.com/office/drawing/2014/chart" uri="{C3380CC4-5D6E-409C-BE32-E72D297353CC}">
              <c16:uniqueId val="{00000003-593F-2441-B35D-42CEE47C24AB}"/>
            </c:ext>
          </c:extLst>
        </c:ser>
        <c:dLbls>
          <c:showLegendKey val="0"/>
          <c:showVal val="0"/>
          <c:showCatName val="0"/>
          <c:showSerName val="0"/>
          <c:showPercent val="0"/>
          <c:showBubbleSize val="0"/>
        </c:dLbls>
        <c:axId val="423225808"/>
        <c:axId val="422616240"/>
      </c:scatterChart>
      <c:valAx>
        <c:axId val="423225808"/>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2616240"/>
        <c:crosses val="autoZero"/>
        <c:crossBetween val="midCat"/>
      </c:valAx>
      <c:valAx>
        <c:axId val="4226162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3225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7</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7</c:v>
          </c:tx>
          <c:spPr>
            <a:ln w="19050" cap="rnd">
              <a:noFill/>
              <a:round/>
            </a:ln>
            <a:effectLst/>
          </c:spPr>
          <c:marker>
            <c:symbol val="circle"/>
            <c:size val="5"/>
            <c:spPr>
              <a:solidFill>
                <a:schemeClr val="accent1"/>
              </a:solidFill>
              <a:ln w="9525">
                <a:solidFill>
                  <a:schemeClr val="accent1"/>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10'!$NO$3:$NO$9</c:f>
              <c:numCache>
                <c:formatCode>0.00</c:formatCode>
                <c:ptCount val="7"/>
                <c:pt idx="0">
                  <c:v>2.2855999753793128</c:v>
                </c:pt>
                <c:pt idx="1">
                  <c:v>2.6958319227731096</c:v>
                </c:pt>
                <c:pt idx="2">
                  <c:v>2.5803506922070567</c:v>
                </c:pt>
                <c:pt idx="3">
                  <c:v>2.5002050260676003</c:v>
                </c:pt>
                <c:pt idx="4">
                  <c:v>2.7766916476593893</c:v>
                </c:pt>
                <c:pt idx="5">
                  <c:v>2.3054197892907573</c:v>
                </c:pt>
                <c:pt idx="6">
                  <c:v>1.96229186598247</c:v>
                </c:pt>
              </c:numCache>
            </c:numRef>
          </c:yVal>
          <c:smooth val="0"/>
          <c:extLst>
            <c:ext xmlns:c16="http://schemas.microsoft.com/office/drawing/2014/chart" uri="{C3380CC4-5D6E-409C-BE32-E72D297353CC}">
              <c16:uniqueId val="{00000000-E483-B449-A1B7-872C2C572B76}"/>
            </c:ext>
          </c:extLst>
        </c:ser>
        <c:ser>
          <c:idx val="1"/>
          <c:order val="1"/>
          <c:tx>
            <c:v>70</c:v>
          </c:tx>
          <c:spPr>
            <a:ln w="25400" cap="rnd">
              <a:noFill/>
              <a:round/>
            </a:ln>
            <a:effectLst/>
          </c:spPr>
          <c:marker>
            <c:symbol val="circle"/>
            <c:size val="5"/>
            <c:spPr>
              <a:solidFill>
                <a:schemeClr val="accent2"/>
              </a:solidFill>
              <a:ln w="9525">
                <a:solidFill>
                  <a:schemeClr val="accent2"/>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10'!$JU$3:$JU$9</c:f>
              <c:numCache>
                <c:formatCode>0.00</c:formatCode>
                <c:ptCount val="7"/>
                <c:pt idx="0">
                  <c:v>2.2455298064198446</c:v>
                </c:pt>
                <c:pt idx="1">
                  <c:v>2.8214692395285139</c:v>
                </c:pt>
                <c:pt idx="2">
                  <c:v>3.1680627965555619</c:v>
                </c:pt>
                <c:pt idx="3">
                  <c:v>3.3033214222951202</c:v>
                </c:pt>
                <c:pt idx="4">
                  <c:v>3.5740306288693384</c:v>
                </c:pt>
                <c:pt idx="5">
                  <c:v>3.443499511241447</c:v>
                </c:pt>
                <c:pt idx="6">
                  <c:v>2.9646884875192066</c:v>
                </c:pt>
              </c:numCache>
            </c:numRef>
          </c:yVal>
          <c:smooth val="0"/>
          <c:extLst>
            <c:ext xmlns:c16="http://schemas.microsoft.com/office/drawing/2014/chart" uri="{C3380CC4-5D6E-409C-BE32-E72D297353CC}">
              <c16:uniqueId val="{00000001-E483-B449-A1B7-872C2C572B76}"/>
            </c:ext>
          </c:extLst>
        </c:ser>
        <c:ser>
          <c:idx val="2"/>
          <c:order val="2"/>
          <c:tx>
            <c:v>7Control</c:v>
          </c:tx>
          <c:spPr>
            <a:ln w="25400" cap="rnd">
              <a:noFill/>
              <a:round/>
            </a:ln>
            <a:effectLst/>
          </c:spPr>
          <c:marker>
            <c:symbol val="circle"/>
            <c:size val="5"/>
            <c:spPr>
              <a:solidFill>
                <a:schemeClr val="accent3"/>
              </a:solidFill>
              <a:ln w="9525">
                <a:solidFill>
                  <a:schemeClr val="accent3"/>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10'!$CZ$3:$CZ$9</c:f>
              <c:numCache>
                <c:formatCode>0.00</c:formatCode>
                <c:ptCount val="7"/>
                <c:pt idx="0">
                  <c:v>0</c:v>
                </c:pt>
                <c:pt idx="1">
                  <c:v>0</c:v>
                </c:pt>
                <c:pt idx="2">
                  <c:v>0.57298928006560834</c:v>
                </c:pt>
                <c:pt idx="3">
                  <c:v>0.83559838322300972</c:v>
                </c:pt>
                <c:pt idx="4">
                  <c:v>0.44066471163245352</c:v>
                </c:pt>
                <c:pt idx="5">
                  <c:v>0.36014988595633762</c:v>
                </c:pt>
                <c:pt idx="6">
                  <c:v>0.3848027135940626</c:v>
                </c:pt>
              </c:numCache>
            </c:numRef>
          </c:yVal>
          <c:smooth val="0"/>
          <c:extLst>
            <c:ext xmlns:c16="http://schemas.microsoft.com/office/drawing/2014/chart" uri="{C3380CC4-5D6E-409C-BE32-E72D297353CC}">
              <c16:uniqueId val="{00000002-E483-B449-A1B7-872C2C572B76}"/>
            </c:ext>
          </c:extLst>
        </c:ser>
        <c:dLbls>
          <c:showLegendKey val="0"/>
          <c:showVal val="0"/>
          <c:showCatName val="0"/>
          <c:showSerName val="0"/>
          <c:showPercent val="0"/>
          <c:showBubbleSize val="0"/>
        </c:dLbls>
        <c:axId val="525213119"/>
        <c:axId val="525099343"/>
      </c:scatterChart>
      <c:valAx>
        <c:axId val="525213119"/>
        <c:scaling>
          <c:orientation val="minMax"/>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099343"/>
        <c:crosses val="autoZero"/>
        <c:crossBetween val="midCat"/>
      </c:valAx>
      <c:valAx>
        <c:axId val="525099343"/>
        <c:scaling>
          <c:orientation val="minMax"/>
        </c:scaling>
        <c:delete val="0"/>
        <c:axPos val="l"/>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521311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8</c:v>
          </c:tx>
          <c:spPr>
            <a:ln w="19050" cap="rnd">
              <a:noFill/>
              <a:round/>
            </a:ln>
            <a:effectLst/>
          </c:spPr>
          <c:marker>
            <c:symbol val="circle"/>
            <c:size val="5"/>
            <c:spPr>
              <a:solidFill>
                <a:schemeClr val="accent1"/>
              </a:solidFill>
              <a:ln w="9525">
                <a:solidFill>
                  <a:schemeClr val="accent1"/>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10'!$NP$3:$NP$9</c:f>
              <c:numCache>
                <c:formatCode>0.00</c:formatCode>
                <c:ptCount val="7"/>
                <c:pt idx="0">
                  <c:v>2.7087372664881668</c:v>
                </c:pt>
                <c:pt idx="1">
                  <c:v>3.8162065675683996</c:v>
                </c:pt>
                <c:pt idx="2">
                  <c:v>2.9458731181535938</c:v>
                </c:pt>
                <c:pt idx="3">
                  <c:v>2.9842276375139125</c:v>
                </c:pt>
                <c:pt idx="4">
                  <c:v>3.1915933528836757</c:v>
                </c:pt>
                <c:pt idx="5">
                  <c:v>5.0274356467904857</c:v>
                </c:pt>
                <c:pt idx="6">
                  <c:v>3.9169976516974456</c:v>
                </c:pt>
              </c:numCache>
            </c:numRef>
          </c:yVal>
          <c:smooth val="0"/>
          <c:extLst>
            <c:ext xmlns:c16="http://schemas.microsoft.com/office/drawing/2014/chart" uri="{C3380CC4-5D6E-409C-BE32-E72D297353CC}">
              <c16:uniqueId val="{00000000-3326-154E-83B6-3FFB6056BEB4}"/>
            </c:ext>
          </c:extLst>
        </c:ser>
        <c:ser>
          <c:idx val="1"/>
          <c:order val="1"/>
          <c:tx>
            <c:v>80</c:v>
          </c:tx>
          <c:spPr>
            <a:ln w="25400" cap="rnd">
              <a:noFill/>
              <a:round/>
            </a:ln>
            <a:effectLst/>
          </c:spPr>
          <c:marker>
            <c:symbol val="circle"/>
            <c:size val="5"/>
            <c:spPr>
              <a:solidFill>
                <a:schemeClr val="accent2"/>
              </a:solidFill>
              <a:ln w="9525">
                <a:solidFill>
                  <a:schemeClr val="accent2"/>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10'!$KL$3:$KL$9</c:f>
              <c:numCache>
                <c:formatCode>0.00</c:formatCode>
                <c:ptCount val="7"/>
                <c:pt idx="0">
                  <c:v>2.5413165912658111</c:v>
                </c:pt>
                <c:pt idx="1">
                  <c:v>3.4193826362601176</c:v>
                </c:pt>
                <c:pt idx="2">
                  <c:v>3.3775408587663289</c:v>
                </c:pt>
                <c:pt idx="3">
                  <c:v>3.4322828188155352</c:v>
                </c:pt>
                <c:pt idx="4">
                  <c:v>3.6101987618116653</c:v>
                </c:pt>
                <c:pt idx="5">
                  <c:v>3.5894428152492668</c:v>
                </c:pt>
                <c:pt idx="6">
                  <c:v>3.1214449308555356</c:v>
                </c:pt>
              </c:numCache>
            </c:numRef>
          </c:yVal>
          <c:smooth val="0"/>
          <c:extLst>
            <c:ext xmlns:c16="http://schemas.microsoft.com/office/drawing/2014/chart" uri="{C3380CC4-5D6E-409C-BE32-E72D297353CC}">
              <c16:uniqueId val="{00000001-3326-154E-83B6-3FFB6056BEB4}"/>
            </c:ext>
          </c:extLst>
        </c:ser>
        <c:ser>
          <c:idx val="2"/>
          <c:order val="2"/>
          <c:tx>
            <c:v>8Control</c:v>
          </c:tx>
          <c:spPr>
            <a:ln w="25400" cap="rnd">
              <a:noFill/>
              <a:round/>
            </a:ln>
            <a:effectLst/>
          </c:spPr>
          <c:marker>
            <c:symbol val="circle"/>
            <c:size val="5"/>
            <c:spPr>
              <a:solidFill>
                <a:schemeClr val="accent3"/>
              </a:solidFill>
              <a:ln w="9525">
                <a:solidFill>
                  <a:schemeClr val="accent3"/>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10'!$FY$3:$FY$9</c:f>
              <c:numCache>
                <c:formatCode>0.00</c:formatCode>
                <c:ptCount val="7"/>
                <c:pt idx="0">
                  <c:v>0.33758040193272404</c:v>
                </c:pt>
                <c:pt idx="1">
                  <c:v>0</c:v>
                </c:pt>
                <c:pt idx="2">
                  <c:v>5.2691699373206002E-2</c:v>
                </c:pt>
                <c:pt idx="3">
                  <c:v>0</c:v>
                </c:pt>
                <c:pt idx="4">
                  <c:v>0</c:v>
                </c:pt>
                <c:pt idx="5">
                  <c:v>0</c:v>
                </c:pt>
                <c:pt idx="6">
                  <c:v>0</c:v>
                </c:pt>
              </c:numCache>
            </c:numRef>
          </c:yVal>
          <c:smooth val="0"/>
          <c:extLst>
            <c:ext xmlns:c16="http://schemas.microsoft.com/office/drawing/2014/chart" uri="{C3380CC4-5D6E-409C-BE32-E72D297353CC}">
              <c16:uniqueId val="{00000002-3326-154E-83B6-3FFB6056BEB4}"/>
            </c:ext>
          </c:extLst>
        </c:ser>
        <c:dLbls>
          <c:showLegendKey val="0"/>
          <c:showVal val="0"/>
          <c:showCatName val="0"/>
          <c:showSerName val="0"/>
          <c:showPercent val="0"/>
          <c:showBubbleSize val="0"/>
        </c:dLbls>
        <c:axId val="526434575"/>
        <c:axId val="526602095"/>
      </c:scatterChart>
      <c:valAx>
        <c:axId val="526434575"/>
        <c:scaling>
          <c:orientation val="minMax"/>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602095"/>
        <c:crosses val="autoZero"/>
        <c:crossBetween val="midCat"/>
      </c:valAx>
      <c:valAx>
        <c:axId val="526602095"/>
        <c:scaling>
          <c:orientation val="minMax"/>
        </c:scaling>
        <c:delete val="0"/>
        <c:axPos val="l"/>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43457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9</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9 All</c:v>
          </c:tx>
          <c:spPr>
            <a:ln w="19050" cap="rnd">
              <a:noFill/>
              <a:round/>
            </a:ln>
            <a:effectLst/>
          </c:spPr>
          <c:marker>
            <c:symbol val="circle"/>
            <c:size val="5"/>
            <c:spPr>
              <a:solidFill>
                <a:schemeClr val="accent1"/>
              </a:solidFill>
              <a:ln w="9525">
                <a:solidFill>
                  <a:schemeClr val="accent1"/>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10'!$NQ$3:$NQ$9</c:f>
              <c:numCache>
                <c:formatCode>0.00</c:formatCode>
                <c:ptCount val="7"/>
                <c:pt idx="0">
                  <c:v>2.675253131443696</c:v>
                </c:pt>
                <c:pt idx="1">
                  <c:v>4.281157993003621</c:v>
                </c:pt>
                <c:pt idx="2">
                  <c:v>3.8228379513014272</c:v>
                </c:pt>
                <c:pt idx="3">
                  <c:v>3.6960342100638512</c:v>
                </c:pt>
                <c:pt idx="4">
                  <c:v>3.0973281199087652</c:v>
                </c:pt>
                <c:pt idx="5">
                  <c:v>4.0467904855001633</c:v>
                </c:pt>
                <c:pt idx="6">
                  <c:v>3.3312846084712837</c:v>
                </c:pt>
              </c:numCache>
            </c:numRef>
          </c:yVal>
          <c:smooth val="0"/>
          <c:extLst>
            <c:ext xmlns:c16="http://schemas.microsoft.com/office/drawing/2014/chart" uri="{C3380CC4-5D6E-409C-BE32-E72D297353CC}">
              <c16:uniqueId val="{00000000-6AB4-F945-BAB7-78CCB246B07C}"/>
            </c:ext>
          </c:extLst>
        </c:ser>
        <c:ser>
          <c:idx val="1"/>
          <c:order val="1"/>
          <c:tx>
            <c:v>Set 9 DOM only</c:v>
          </c:tx>
          <c:spPr>
            <a:ln w="25400" cap="rnd">
              <a:noFill/>
              <a:round/>
            </a:ln>
            <a:effectLst/>
          </c:spPr>
          <c:marker>
            <c:symbol val="circle"/>
            <c:size val="5"/>
            <c:spPr>
              <a:solidFill>
                <a:schemeClr val="accent2"/>
              </a:solidFill>
              <a:ln w="9525">
                <a:solidFill>
                  <a:schemeClr val="accent2"/>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10'!$NR$3:$NR$9</c:f>
              <c:numCache>
                <c:formatCode>0.00</c:formatCode>
                <c:ptCount val="7"/>
                <c:pt idx="0">
                  <c:v>2.3387652725202352</c:v>
                </c:pt>
                <c:pt idx="1">
                  <c:v>3.0622749515280212</c:v>
                </c:pt>
                <c:pt idx="2">
                  <c:v>2.9403081248901648</c:v>
                </c:pt>
                <c:pt idx="3">
                  <c:v>2.7917081600374907</c:v>
                </c:pt>
                <c:pt idx="4">
                  <c:v>2.6446073639622023</c:v>
                </c:pt>
                <c:pt idx="5">
                  <c:v>2.8618116650374716</c:v>
                </c:pt>
                <c:pt idx="6">
                  <c:v>2.3358652480213378</c:v>
                </c:pt>
              </c:numCache>
            </c:numRef>
          </c:yVal>
          <c:smooth val="0"/>
          <c:extLst>
            <c:ext xmlns:c16="http://schemas.microsoft.com/office/drawing/2014/chart" uri="{C3380CC4-5D6E-409C-BE32-E72D297353CC}">
              <c16:uniqueId val="{00000001-6AB4-F945-BAB7-78CCB246B07C}"/>
            </c:ext>
          </c:extLst>
        </c:ser>
        <c:ser>
          <c:idx val="2"/>
          <c:order val="2"/>
          <c:tx>
            <c:v>9 0</c:v>
          </c:tx>
          <c:spPr>
            <a:ln w="25400" cap="rnd">
              <a:noFill/>
              <a:round/>
            </a:ln>
            <a:effectLst/>
          </c:spPr>
          <c:marker>
            <c:symbol val="circle"/>
            <c:size val="5"/>
            <c:spPr>
              <a:solidFill>
                <a:schemeClr val="accent3"/>
              </a:solidFill>
              <a:ln w="9525">
                <a:solidFill>
                  <a:schemeClr val="accent3"/>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10'!$NS$3:$NS$9</c:f>
              <c:numCache>
                <c:formatCode>0.00</c:formatCode>
                <c:ptCount val="7"/>
                <c:pt idx="0">
                  <c:v>2.5174345243590928</c:v>
                </c:pt>
                <c:pt idx="1">
                  <c:v>2.9210599205982826</c:v>
                </c:pt>
                <c:pt idx="2">
                  <c:v>3.0937847812078965</c:v>
                </c:pt>
                <c:pt idx="3">
                  <c:v>3.0486790463358915</c:v>
                </c:pt>
                <c:pt idx="4">
                  <c:v>3.3630009775171068</c:v>
                </c:pt>
                <c:pt idx="5">
                  <c:v>3.3119908765070054</c:v>
                </c:pt>
                <c:pt idx="6">
                  <c:v>2.9092714463804246</c:v>
                </c:pt>
              </c:numCache>
            </c:numRef>
          </c:yVal>
          <c:smooth val="0"/>
          <c:extLst>
            <c:ext xmlns:c16="http://schemas.microsoft.com/office/drawing/2014/chart" uri="{C3380CC4-5D6E-409C-BE32-E72D297353CC}">
              <c16:uniqueId val="{00000002-6AB4-F945-BAB7-78CCB246B07C}"/>
            </c:ext>
          </c:extLst>
        </c:ser>
        <c:dLbls>
          <c:showLegendKey val="0"/>
          <c:showVal val="0"/>
          <c:showCatName val="0"/>
          <c:showSerName val="0"/>
          <c:showPercent val="0"/>
          <c:showBubbleSize val="0"/>
        </c:dLbls>
        <c:axId val="528525439"/>
        <c:axId val="526777679"/>
      </c:scatterChart>
      <c:valAx>
        <c:axId val="528525439"/>
        <c:scaling>
          <c:orientation val="minMax"/>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777679"/>
        <c:crosses val="autoZero"/>
        <c:crossBetween val="midCat"/>
      </c:valAx>
      <c:valAx>
        <c:axId val="526777679"/>
        <c:scaling>
          <c:orientation val="minMax"/>
        </c:scaling>
        <c:delete val="0"/>
        <c:axPos val="l"/>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52543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Experimental</a:t>
            </a:r>
            <a:r>
              <a:rPr lang="en-US" baseline="0"/>
              <a:t> Set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Set 7</c:v>
          </c:tx>
          <c:spPr>
            <a:ln w="19050" cap="rnd">
              <a:noFill/>
              <a:round/>
            </a:ln>
            <a:effectLst/>
          </c:spPr>
          <c:marker>
            <c:symbol val="circle"/>
            <c:size val="5"/>
            <c:spPr>
              <a:solidFill>
                <a:schemeClr val="accent1"/>
              </a:solidFill>
              <a:ln w="9525">
                <a:solidFill>
                  <a:schemeClr val="accent1"/>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10'!$NO$3:$NO$9</c:f>
              <c:numCache>
                <c:formatCode>0.00</c:formatCode>
                <c:ptCount val="7"/>
                <c:pt idx="0">
                  <c:v>2.2855999753793128</c:v>
                </c:pt>
                <c:pt idx="1">
                  <c:v>2.6958319227731096</c:v>
                </c:pt>
                <c:pt idx="2">
                  <c:v>2.5803506922070567</c:v>
                </c:pt>
                <c:pt idx="3">
                  <c:v>2.5002050260676003</c:v>
                </c:pt>
                <c:pt idx="4">
                  <c:v>2.7766916476593893</c:v>
                </c:pt>
                <c:pt idx="5">
                  <c:v>2.3054197892907573</c:v>
                </c:pt>
                <c:pt idx="6">
                  <c:v>1.96229186598247</c:v>
                </c:pt>
              </c:numCache>
            </c:numRef>
          </c:yVal>
          <c:smooth val="0"/>
          <c:extLst>
            <c:ext xmlns:c16="http://schemas.microsoft.com/office/drawing/2014/chart" uri="{C3380CC4-5D6E-409C-BE32-E72D297353CC}">
              <c16:uniqueId val="{00000000-E6A3-FE45-A5AB-0CB35C53B998}"/>
            </c:ext>
          </c:extLst>
        </c:ser>
        <c:ser>
          <c:idx val="1"/>
          <c:order val="1"/>
          <c:tx>
            <c:v>Set 8</c:v>
          </c:tx>
          <c:spPr>
            <a:ln w="25400" cap="rnd">
              <a:noFill/>
              <a:round/>
            </a:ln>
            <a:effectLst/>
          </c:spPr>
          <c:marker>
            <c:symbol val="circle"/>
            <c:size val="5"/>
            <c:spPr>
              <a:solidFill>
                <a:schemeClr val="accent2"/>
              </a:solidFill>
              <a:ln w="9525">
                <a:solidFill>
                  <a:schemeClr val="accent2"/>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10'!$NP$3:$NP$9</c:f>
              <c:numCache>
                <c:formatCode>0.00</c:formatCode>
                <c:ptCount val="7"/>
                <c:pt idx="0">
                  <c:v>2.7087372664881668</c:v>
                </c:pt>
                <c:pt idx="1">
                  <c:v>3.8162065675683996</c:v>
                </c:pt>
                <c:pt idx="2">
                  <c:v>2.9458731181535938</c:v>
                </c:pt>
                <c:pt idx="3">
                  <c:v>2.9842276375139125</c:v>
                </c:pt>
                <c:pt idx="4">
                  <c:v>3.1915933528836757</c:v>
                </c:pt>
                <c:pt idx="5">
                  <c:v>5.0274356467904857</c:v>
                </c:pt>
                <c:pt idx="6">
                  <c:v>3.9169976516974456</c:v>
                </c:pt>
              </c:numCache>
            </c:numRef>
          </c:yVal>
          <c:smooth val="0"/>
          <c:extLst>
            <c:ext xmlns:c16="http://schemas.microsoft.com/office/drawing/2014/chart" uri="{C3380CC4-5D6E-409C-BE32-E72D297353CC}">
              <c16:uniqueId val="{00000001-E6A3-FE45-A5AB-0CB35C53B998}"/>
            </c:ext>
          </c:extLst>
        </c:ser>
        <c:ser>
          <c:idx val="2"/>
          <c:order val="2"/>
          <c:tx>
            <c:v>Set 9 All</c:v>
          </c:tx>
          <c:spPr>
            <a:ln w="25400" cap="rnd">
              <a:noFill/>
              <a:round/>
            </a:ln>
            <a:effectLst/>
          </c:spPr>
          <c:marker>
            <c:symbol val="circle"/>
            <c:size val="5"/>
            <c:spPr>
              <a:solidFill>
                <a:schemeClr val="accent3"/>
              </a:solidFill>
              <a:ln w="9525">
                <a:solidFill>
                  <a:schemeClr val="accent3"/>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10'!$NQ$3:$NQ$9</c:f>
              <c:numCache>
                <c:formatCode>0.00</c:formatCode>
                <c:ptCount val="7"/>
                <c:pt idx="0">
                  <c:v>2.675253131443696</c:v>
                </c:pt>
                <c:pt idx="1">
                  <c:v>4.281157993003621</c:v>
                </c:pt>
                <c:pt idx="2">
                  <c:v>3.8228379513014272</c:v>
                </c:pt>
                <c:pt idx="3">
                  <c:v>3.6960342100638512</c:v>
                </c:pt>
                <c:pt idx="4">
                  <c:v>3.0973281199087652</c:v>
                </c:pt>
                <c:pt idx="5">
                  <c:v>4.0467904855001633</c:v>
                </c:pt>
                <c:pt idx="6">
                  <c:v>3.3312846084712837</c:v>
                </c:pt>
              </c:numCache>
            </c:numRef>
          </c:yVal>
          <c:smooth val="0"/>
          <c:extLst>
            <c:ext xmlns:c16="http://schemas.microsoft.com/office/drawing/2014/chart" uri="{C3380CC4-5D6E-409C-BE32-E72D297353CC}">
              <c16:uniqueId val="{00000002-E6A3-FE45-A5AB-0CB35C53B998}"/>
            </c:ext>
          </c:extLst>
        </c:ser>
        <c:ser>
          <c:idx val="3"/>
          <c:order val="3"/>
          <c:tx>
            <c:v>Set 9 DOM only</c:v>
          </c:tx>
          <c:spPr>
            <a:ln w="25400" cap="rnd">
              <a:noFill/>
              <a:round/>
            </a:ln>
            <a:effectLst/>
          </c:spPr>
          <c:marker>
            <c:symbol val="circle"/>
            <c:size val="5"/>
            <c:spPr>
              <a:solidFill>
                <a:schemeClr val="accent4"/>
              </a:solidFill>
              <a:ln w="9525">
                <a:solidFill>
                  <a:schemeClr val="accent4"/>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10'!$NR$3:$NR$9</c:f>
              <c:numCache>
                <c:formatCode>0.00</c:formatCode>
                <c:ptCount val="7"/>
                <c:pt idx="0">
                  <c:v>2.3387652725202352</c:v>
                </c:pt>
                <c:pt idx="1">
                  <c:v>3.0622749515280212</c:v>
                </c:pt>
                <c:pt idx="2">
                  <c:v>2.9403081248901648</c:v>
                </c:pt>
                <c:pt idx="3">
                  <c:v>2.7917081600374907</c:v>
                </c:pt>
                <c:pt idx="4">
                  <c:v>2.6446073639622023</c:v>
                </c:pt>
                <c:pt idx="5">
                  <c:v>2.8618116650374716</c:v>
                </c:pt>
                <c:pt idx="6">
                  <c:v>2.3358652480213378</c:v>
                </c:pt>
              </c:numCache>
            </c:numRef>
          </c:yVal>
          <c:smooth val="0"/>
          <c:extLst>
            <c:ext xmlns:c16="http://schemas.microsoft.com/office/drawing/2014/chart" uri="{C3380CC4-5D6E-409C-BE32-E72D297353CC}">
              <c16:uniqueId val="{00000003-E6A3-FE45-A5AB-0CB35C53B998}"/>
            </c:ext>
          </c:extLst>
        </c:ser>
        <c:dLbls>
          <c:showLegendKey val="0"/>
          <c:showVal val="0"/>
          <c:showCatName val="0"/>
          <c:showSerName val="0"/>
          <c:showPercent val="0"/>
          <c:showBubbleSize val="0"/>
        </c:dLbls>
        <c:axId val="524641231"/>
        <c:axId val="488507791"/>
      </c:scatterChart>
      <c:valAx>
        <c:axId val="524641231"/>
        <c:scaling>
          <c:orientation val="minMax"/>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507791"/>
        <c:crosses val="autoZero"/>
        <c:crossBetween val="midCat"/>
      </c:valAx>
      <c:valAx>
        <c:axId val="488507791"/>
        <c:scaling>
          <c:orientation val="minMax"/>
        </c:scaling>
        <c:delete val="0"/>
        <c:axPos val="l"/>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64123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0's</a:t>
            </a:r>
            <a:r>
              <a:rPr lang="en-US" baseline="0"/>
              <a:t> Environmetnal Comparison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7 0</c:v>
          </c:tx>
          <c:spPr>
            <a:ln w="19050" cap="rnd">
              <a:noFill/>
              <a:round/>
            </a:ln>
            <a:effectLst/>
          </c:spPr>
          <c:marker>
            <c:symbol val="circle"/>
            <c:size val="5"/>
            <c:spPr>
              <a:solidFill>
                <a:schemeClr val="accent1"/>
              </a:solidFill>
              <a:ln w="9525">
                <a:solidFill>
                  <a:schemeClr val="accent1"/>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10'!$JU$3:$JU$9</c:f>
              <c:numCache>
                <c:formatCode>0.00</c:formatCode>
                <c:ptCount val="7"/>
                <c:pt idx="0">
                  <c:v>2.2455298064198446</c:v>
                </c:pt>
                <c:pt idx="1">
                  <c:v>2.8214692395285139</c:v>
                </c:pt>
                <c:pt idx="2">
                  <c:v>3.1680627965555619</c:v>
                </c:pt>
                <c:pt idx="3">
                  <c:v>3.3033214222951202</c:v>
                </c:pt>
                <c:pt idx="4">
                  <c:v>3.5740306288693384</c:v>
                </c:pt>
                <c:pt idx="5">
                  <c:v>3.443499511241447</c:v>
                </c:pt>
                <c:pt idx="6">
                  <c:v>2.9646884875192066</c:v>
                </c:pt>
              </c:numCache>
            </c:numRef>
          </c:yVal>
          <c:smooth val="0"/>
          <c:extLst>
            <c:ext xmlns:c16="http://schemas.microsoft.com/office/drawing/2014/chart" uri="{C3380CC4-5D6E-409C-BE32-E72D297353CC}">
              <c16:uniqueId val="{00000000-CFD8-284B-AFDF-B844B7A6D017}"/>
            </c:ext>
          </c:extLst>
        </c:ser>
        <c:ser>
          <c:idx val="1"/>
          <c:order val="1"/>
          <c:tx>
            <c:v>8 0</c:v>
          </c:tx>
          <c:spPr>
            <a:ln w="25400" cap="rnd">
              <a:noFill/>
              <a:round/>
            </a:ln>
            <a:effectLst/>
          </c:spPr>
          <c:marker>
            <c:symbol val="circle"/>
            <c:size val="5"/>
            <c:spPr>
              <a:solidFill>
                <a:schemeClr val="accent2"/>
              </a:solidFill>
              <a:ln w="9525">
                <a:solidFill>
                  <a:schemeClr val="accent2"/>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10'!$KL$3:$KL$9</c:f>
              <c:numCache>
                <c:formatCode>0.00</c:formatCode>
                <c:ptCount val="7"/>
                <c:pt idx="0">
                  <c:v>2.5413165912658111</c:v>
                </c:pt>
                <c:pt idx="1">
                  <c:v>3.4193826362601176</c:v>
                </c:pt>
                <c:pt idx="2">
                  <c:v>3.3775408587663289</c:v>
                </c:pt>
                <c:pt idx="3">
                  <c:v>3.4322828188155352</c:v>
                </c:pt>
                <c:pt idx="4">
                  <c:v>3.6101987618116653</c:v>
                </c:pt>
                <c:pt idx="5">
                  <c:v>3.5894428152492668</c:v>
                </c:pt>
                <c:pt idx="6">
                  <c:v>3.1214449308555356</c:v>
                </c:pt>
              </c:numCache>
            </c:numRef>
          </c:yVal>
          <c:smooth val="0"/>
          <c:extLst>
            <c:ext xmlns:c16="http://schemas.microsoft.com/office/drawing/2014/chart" uri="{C3380CC4-5D6E-409C-BE32-E72D297353CC}">
              <c16:uniqueId val="{00000001-CFD8-284B-AFDF-B844B7A6D017}"/>
            </c:ext>
          </c:extLst>
        </c:ser>
        <c:ser>
          <c:idx val="2"/>
          <c:order val="2"/>
          <c:tx>
            <c:v>9 0</c:v>
          </c:tx>
          <c:spPr>
            <a:ln w="25400" cap="rnd">
              <a:noFill/>
              <a:round/>
            </a:ln>
            <a:effectLst/>
          </c:spPr>
          <c:marker>
            <c:symbol val="circle"/>
            <c:size val="5"/>
            <c:spPr>
              <a:solidFill>
                <a:schemeClr val="accent3"/>
              </a:solidFill>
              <a:ln w="9525">
                <a:solidFill>
                  <a:schemeClr val="accent3"/>
                </a:solidFill>
              </a:ln>
              <a:effectLst/>
            </c:spPr>
          </c:marker>
          <c:xVal>
            <c:numRef>
              <c:f>'Set 7, 8, 9, 10'!$C$3:$C$9</c:f>
              <c:numCache>
                <c:formatCode>0.00</c:formatCode>
                <c:ptCount val="7"/>
                <c:pt idx="0">
                  <c:v>42.1</c:v>
                </c:pt>
                <c:pt idx="1">
                  <c:v>134</c:v>
                </c:pt>
                <c:pt idx="2">
                  <c:v>210.15</c:v>
                </c:pt>
                <c:pt idx="3">
                  <c:v>276.48333333333335</c:v>
                </c:pt>
                <c:pt idx="4">
                  <c:v>375.95</c:v>
                </c:pt>
                <c:pt idx="5">
                  <c:v>420.95</c:v>
                </c:pt>
                <c:pt idx="6">
                  <c:v>570.43333333333328</c:v>
                </c:pt>
              </c:numCache>
            </c:numRef>
          </c:xVal>
          <c:yVal>
            <c:numRef>
              <c:f>'Set 7, 8, 9, 10'!$NS$3:$NS$9</c:f>
              <c:numCache>
                <c:formatCode>0.00</c:formatCode>
                <c:ptCount val="7"/>
                <c:pt idx="0">
                  <c:v>2.5174345243590928</c:v>
                </c:pt>
                <c:pt idx="1">
                  <c:v>2.9210599205982826</c:v>
                </c:pt>
                <c:pt idx="2">
                  <c:v>3.0937847812078965</c:v>
                </c:pt>
                <c:pt idx="3">
                  <c:v>3.0486790463358915</c:v>
                </c:pt>
                <c:pt idx="4">
                  <c:v>3.3630009775171068</c:v>
                </c:pt>
                <c:pt idx="5">
                  <c:v>3.3119908765070054</c:v>
                </c:pt>
                <c:pt idx="6">
                  <c:v>2.9092714463804246</c:v>
                </c:pt>
              </c:numCache>
            </c:numRef>
          </c:yVal>
          <c:smooth val="0"/>
          <c:extLst>
            <c:ext xmlns:c16="http://schemas.microsoft.com/office/drawing/2014/chart" uri="{C3380CC4-5D6E-409C-BE32-E72D297353CC}">
              <c16:uniqueId val="{00000002-CFD8-284B-AFDF-B844B7A6D017}"/>
            </c:ext>
          </c:extLst>
        </c:ser>
        <c:dLbls>
          <c:showLegendKey val="0"/>
          <c:showVal val="0"/>
          <c:showCatName val="0"/>
          <c:showSerName val="0"/>
          <c:showPercent val="0"/>
          <c:showBubbleSize val="0"/>
        </c:dLbls>
        <c:axId val="461590015"/>
        <c:axId val="468072767"/>
      </c:scatterChart>
      <c:valAx>
        <c:axId val="461590015"/>
        <c:scaling>
          <c:orientation val="minMax"/>
        </c:scaling>
        <c:delete val="0"/>
        <c:axPos val="b"/>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8072767"/>
        <c:crosses val="autoZero"/>
        <c:crossBetween val="midCat"/>
      </c:valAx>
      <c:valAx>
        <c:axId val="468072767"/>
        <c:scaling>
          <c:orientation val="minMax"/>
        </c:scaling>
        <c:delete val="0"/>
        <c:axPos val="l"/>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159001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Control</c:v>
          </c:tx>
          <c:spPr>
            <a:ln w="19050" cap="rnd">
              <a:noFill/>
              <a:round/>
            </a:ln>
            <a:effectLst/>
          </c:spPr>
          <c:marker>
            <c:symbol val="circle"/>
            <c:size val="5"/>
            <c:spPr>
              <a:solidFill>
                <a:schemeClr val="accent1"/>
              </a:solidFill>
              <a:ln w="9525">
                <a:solidFill>
                  <a:schemeClr val="accent1"/>
                </a:solidFill>
              </a:ln>
              <a:effectLst/>
            </c:spPr>
          </c:marker>
          <c:xVal>
            <c:numRef>
              <c:f>'Set 2 Alkalinity'!$A$3:$A$43</c:f>
              <c:numCache>
                <c:formatCode>m/d/yyyy</c:formatCode>
                <c:ptCount val="41"/>
                <c:pt idx="0">
                  <c:v>44441</c:v>
                </c:pt>
                <c:pt idx="1">
                  <c:v>44442</c:v>
                </c:pt>
                <c:pt idx="2">
                  <c:v>44446</c:v>
                </c:pt>
                <c:pt idx="3">
                  <c:v>44447</c:v>
                </c:pt>
                <c:pt idx="4">
                  <c:v>44448</c:v>
                </c:pt>
                <c:pt idx="5">
                  <c:v>44449</c:v>
                </c:pt>
                <c:pt idx="6">
                  <c:v>44452</c:v>
                </c:pt>
                <c:pt idx="7">
                  <c:v>44454</c:v>
                </c:pt>
                <c:pt idx="8">
                  <c:v>44455</c:v>
                </c:pt>
                <c:pt idx="9">
                  <c:v>44456</c:v>
                </c:pt>
                <c:pt idx="10">
                  <c:v>44459</c:v>
                </c:pt>
                <c:pt idx="11">
                  <c:v>44460</c:v>
                </c:pt>
                <c:pt idx="12">
                  <c:v>44461</c:v>
                </c:pt>
                <c:pt idx="13">
                  <c:v>44462</c:v>
                </c:pt>
                <c:pt idx="14">
                  <c:v>44463</c:v>
                </c:pt>
                <c:pt idx="15">
                  <c:v>44466</c:v>
                </c:pt>
                <c:pt idx="16">
                  <c:v>44467</c:v>
                </c:pt>
                <c:pt idx="17">
                  <c:v>44468</c:v>
                </c:pt>
                <c:pt idx="18">
                  <c:v>44470</c:v>
                </c:pt>
                <c:pt idx="19">
                  <c:v>44473</c:v>
                </c:pt>
                <c:pt idx="20">
                  <c:v>44475</c:v>
                </c:pt>
                <c:pt idx="21">
                  <c:v>44477</c:v>
                </c:pt>
                <c:pt idx="22">
                  <c:v>44480</c:v>
                </c:pt>
                <c:pt idx="23">
                  <c:v>44482</c:v>
                </c:pt>
                <c:pt idx="24">
                  <c:v>44483</c:v>
                </c:pt>
                <c:pt idx="25">
                  <c:v>44487</c:v>
                </c:pt>
                <c:pt idx="26">
                  <c:v>44489</c:v>
                </c:pt>
                <c:pt idx="27">
                  <c:v>44490</c:v>
                </c:pt>
                <c:pt idx="28">
                  <c:v>44491</c:v>
                </c:pt>
                <c:pt idx="29">
                  <c:v>44494</c:v>
                </c:pt>
                <c:pt idx="30">
                  <c:v>44503</c:v>
                </c:pt>
                <c:pt idx="31">
                  <c:v>44504</c:v>
                </c:pt>
                <c:pt idx="32">
                  <c:v>44505</c:v>
                </c:pt>
                <c:pt idx="33">
                  <c:v>44510</c:v>
                </c:pt>
                <c:pt idx="34">
                  <c:v>44512</c:v>
                </c:pt>
                <c:pt idx="35">
                  <c:v>44515</c:v>
                </c:pt>
                <c:pt idx="36">
                  <c:v>44517</c:v>
                </c:pt>
                <c:pt idx="37">
                  <c:v>44519</c:v>
                </c:pt>
                <c:pt idx="38">
                  <c:v>44522</c:v>
                </c:pt>
                <c:pt idx="39">
                  <c:v>44524</c:v>
                </c:pt>
                <c:pt idx="40">
                  <c:v>44529</c:v>
                </c:pt>
              </c:numCache>
            </c:numRef>
          </c:xVal>
          <c:yVal>
            <c:numRef>
              <c:f>'Set 2 Alkalinity'!$BD$3:$BD$42</c:f>
              <c:numCache>
                <c:formatCode>General</c:formatCode>
                <c:ptCount val="40"/>
                <c:pt idx="0">
                  <c:v>50.400000000000034</c:v>
                </c:pt>
                <c:pt idx="1">
                  <c:v>0</c:v>
                </c:pt>
                <c:pt idx="2">
                  <c:v>41.999999999999773</c:v>
                </c:pt>
                <c:pt idx="3">
                  <c:v>50.400000000000091</c:v>
                </c:pt>
                <c:pt idx="4">
                  <c:v>16.799999999999955</c:v>
                </c:pt>
                <c:pt idx="5">
                  <c:v>33.599999999999852</c:v>
                </c:pt>
                <c:pt idx="6">
                  <c:v>8.3999999999998067</c:v>
                </c:pt>
                <c:pt idx="7">
                  <c:v>16.799999999999955</c:v>
                </c:pt>
                <c:pt idx="8">
                  <c:v>-8.4000000000000909</c:v>
                </c:pt>
                <c:pt idx="9">
                  <c:v>0</c:v>
                </c:pt>
                <c:pt idx="10">
                  <c:v>-41.999999999999716</c:v>
                </c:pt>
                <c:pt idx="11">
                  <c:v>-25.200000000000045</c:v>
                </c:pt>
                <c:pt idx="12">
                  <c:v>-50.399999999999523</c:v>
                </c:pt>
                <c:pt idx="13">
                  <c:v>50.400000000000148</c:v>
                </c:pt>
                <c:pt idx="14">
                  <c:v>50.400000000000091</c:v>
                </c:pt>
                <c:pt idx="15">
                  <c:v>-25.200000000000045</c:v>
                </c:pt>
                <c:pt idx="16">
                  <c:v>58.79999999999967</c:v>
                </c:pt>
                <c:pt idx="17">
                  <c:v>-8.4000000000000909</c:v>
                </c:pt>
                <c:pt idx="18">
                  <c:v>8.3999999999998067</c:v>
                </c:pt>
                <c:pt idx="19">
                  <c:v>-50.399999999999523</c:v>
                </c:pt>
                <c:pt idx="20">
                  <c:v>-8.4000000000000909</c:v>
                </c:pt>
                <c:pt idx="21">
                  <c:v>-16.800000000000239</c:v>
                </c:pt>
                <c:pt idx="22">
                  <c:v>8.4000000000003752</c:v>
                </c:pt>
                <c:pt idx="23">
                  <c:v>0</c:v>
                </c:pt>
                <c:pt idx="24">
                  <c:v>0</c:v>
                </c:pt>
                <c:pt idx="25">
                  <c:v>-50.399999999999864</c:v>
                </c:pt>
                <c:pt idx="26">
                  <c:v>8.400000000000432</c:v>
                </c:pt>
                <c:pt idx="27">
                  <c:v>33.600000000000193</c:v>
                </c:pt>
                <c:pt idx="28">
                  <c:v>-25.200000000000045</c:v>
                </c:pt>
                <c:pt idx="29">
                  <c:v>-16.799999999999955</c:v>
                </c:pt>
                <c:pt idx="30">
                  <c:v>0</c:v>
                </c:pt>
                <c:pt idx="31">
                  <c:v>856.8</c:v>
                </c:pt>
                <c:pt idx="32">
                  <c:v>142.79999999999998</c:v>
                </c:pt>
                <c:pt idx="33">
                  <c:v>0</c:v>
                </c:pt>
                <c:pt idx="34">
                  <c:v>50.400000000000091</c:v>
                </c:pt>
                <c:pt idx="35">
                  <c:v>8.3999999999999773</c:v>
                </c:pt>
                <c:pt idx="36">
                  <c:v>-16.799999999999955</c:v>
                </c:pt>
                <c:pt idx="37">
                  <c:v>0</c:v>
                </c:pt>
                <c:pt idx="38">
                  <c:v>92.399999999999636</c:v>
                </c:pt>
                <c:pt idx="39">
                  <c:v>50.400000000000034</c:v>
                </c:pt>
              </c:numCache>
            </c:numRef>
          </c:yVal>
          <c:smooth val="0"/>
          <c:extLst>
            <c:ext xmlns:c16="http://schemas.microsoft.com/office/drawing/2014/chart" uri="{C3380CC4-5D6E-409C-BE32-E72D297353CC}">
              <c16:uniqueId val="{00000000-4592-1145-B45D-042103E45B90}"/>
            </c:ext>
          </c:extLst>
        </c:ser>
        <c:ser>
          <c:idx val="1"/>
          <c:order val="1"/>
          <c:tx>
            <c:v>Experimental</c:v>
          </c:tx>
          <c:spPr>
            <a:ln w="25400" cap="rnd">
              <a:noFill/>
              <a:round/>
            </a:ln>
            <a:effectLst/>
          </c:spPr>
          <c:marker>
            <c:symbol val="circle"/>
            <c:size val="5"/>
            <c:spPr>
              <a:solidFill>
                <a:schemeClr val="accent2"/>
              </a:solidFill>
              <a:ln w="9525">
                <a:solidFill>
                  <a:schemeClr val="accent2"/>
                </a:solidFill>
              </a:ln>
              <a:effectLst/>
            </c:spPr>
          </c:marker>
          <c:xVal>
            <c:numRef>
              <c:f>'Set 2 Alkalinity'!$A$3:$A$43</c:f>
              <c:numCache>
                <c:formatCode>m/d/yyyy</c:formatCode>
                <c:ptCount val="41"/>
                <c:pt idx="0">
                  <c:v>44441</c:v>
                </c:pt>
                <c:pt idx="1">
                  <c:v>44442</c:v>
                </c:pt>
                <c:pt idx="2">
                  <c:v>44446</c:v>
                </c:pt>
                <c:pt idx="3">
                  <c:v>44447</c:v>
                </c:pt>
                <c:pt idx="4">
                  <c:v>44448</c:v>
                </c:pt>
                <c:pt idx="5">
                  <c:v>44449</c:v>
                </c:pt>
                <c:pt idx="6">
                  <c:v>44452</c:v>
                </c:pt>
                <c:pt idx="7">
                  <c:v>44454</c:v>
                </c:pt>
                <c:pt idx="8">
                  <c:v>44455</c:v>
                </c:pt>
                <c:pt idx="9">
                  <c:v>44456</c:v>
                </c:pt>
                <c:pt idx="10">
                  <c:v>44459</c:v>
                </c:pt>
                <c:pt idx="11">
                  <c:v>44460</c:v>
                </c:pt>
                <c:pt idx="12">
                  <c:v>44461</c:v>
                </c:pt>
                <c:pt idx="13">
                  <c:v>44462</c:v>
                </c:pt>
                <c:pt idx="14">
                  <c:v>44463</c:v>
                </c:pt>
                <c:pt idx="15">
                  <c:v>44466</c:v>
                </c:pt>
                <c:pt idx="16">
                  <c:v>44467</c:v>
                </c:pt>
                <c:pt idx="17">
                  <c:v>44468</c:v>
                </c:pt>
                <c:pt idx="18">
                  <c:v>44470</c:v>
                </c:pt>
                <c:pt idx="19">
                  <c:v>44473</c:v>
                </c:pt>
                <c:pt idx="20">
                  <c:v>44475</c:v>
                </c:pt>
                <c:pt idx="21">
                  <c:v>44477</c:v>
                </c:pt>
                <c:pt idx="22">
                  <c:v>44480</c:v>
                </c:pt>
                <c:pt idx="23">
                  <c:v>44482</c:v>
                </c:pt>
                <c:pt idx="24">
                  <c:v>44483</c:v>
                </c:pt>
                <c:pt idx="25">
                  <c:v>44487</c:v>
                </c:pt>
                <c:pt idx="26">
                  <c:v>44489</c:v>
                </c:pt>
                <c:pt idx="27">
                  <c:v>44490</c:v>
                </c:pt>
                <c:pt idx="28">
                  <c:v>44491</c:v>
                </c:pt>
                <c:pt idx="29">
                  <c:v>44494</c:v>
                </c:pt>
                <c:pt idx="30">
                  <c:v>44503</c:v>
                </c:pt>
                <c:pt idx="31">
                  <c:v>44504</c:v>
                </c:pt>
                <c:pt idx="32">
                  <c:v>44505</c:v>
                </c:pt>
                <c:pt idx="33">
                  <c:v>44510</c:v>
                </c:pt>
                <c:pt idx="34">
                  <c:v>44512</c:v>
                </c:pt>
                <c:pt idx="35">
                  <c:v>44515</c:v>
                </c:pt>
                <c:pt idx="36">
                  <c:v>44517</c:v>
                </c:pt>
                <c:pt idx="37">
                  <c:v>44519</c:v>
                </c:pt>
                <c:pt idx="38">
                  <c:v>44522</c:v>
                </c:pt>
                <c:pt idx="39">
                  <c:v>44524</c:v>
                </c:pt>
                <c:pt idx="40">
                  <c:v>44529</c:v>
                </c:pt>
              </c:numCache>
            </c:numRef>
          </c:xVal>
          <c:yVal>
            <c:numRef>
              <c:f>'Set 2 Alkalinity'!$BH$3:$BH$42</c:f>
              <c:numCache>
                <c:formatCode>General</c:formatCode>
                <c:ptCount val="40"/>
                <c:pt idx="0">
                  <c:v>123.20000000000005</c:v>
                </c:pt>
                <c:pt idx="1">
                  <c:v>0</c:v>
                </c:pt>
                <c:pt idx="2">
                  <c:v>30.799999999999915</c:v>
                </c:pt>
                <c:pt idx="3">
                  <c:v>27.999999999999961</c:v>
                </c:pt>
                <c:pt idx="4">
                  <c:v>16.800000000000143</c:v>
                </c:pt>
                <c:pt idx="5">
                  <c:v>27.999999999999886</c:v>
                </c:pt>
                <c:pt idx="6">
                  <c:v>-19.600000000000097</c:v>
                </c:pt>
                <c:pt idx="7">
                  <c:v>12.60000000000008</c:v>
                </c:pt>
                <c:pt idx="8">
                  <c:v>-25.19999999999995</c:v>
                </c:pt>
                <c:pt idx="9">
                  <c:v>-8.4000000000001283</c:v>
                </c:pt>
                <c:pt idx="10">
                  <c:v>-8.3999999999999204</c:v>
                </c:pt>
                <c:pt idx="11">
                  <c:v>-8.3999999999999009</c:v>
                </c:pt>
                <c:pt idx="12">
                  <c:v>-22.400000000000016</c:v>
                </c:pt>
                <c:pt idx="13">
                  <c:v>16.800000000000164</c:v>
                </c:pt>
                <c:pt idx="14">
                  <c:v>16.800000000000143</c:v>
                </c:pt>
                <c:pt idx="15">
                  <c:v>-67.199999999999861</c:v>
                </c:pt>
                <c:pt idx="16">
                  <c:v>16.80000000000005</c:v>
                </c:pt>
                <c:pt idx="17">
                  <c:v>16.800000000000068</c:v>
                </c:pt>
                <c:pt idx="18">
                  <c:v>-2.7999999999999354</c:v>
                </c:pt>
                <c:pt idx="19">
                  <c:v>-11.200000000000045</c:v>
                </c:pt>
                <c:pt idx="20">
                  <c:v>-25.199999999999971</c:v>
                </c:pt>
                <c:pt idx="21">
                  <c:v>-36.400000000000226</c:v>
                </c:pt>
                <c:pt idx="22">
                  <c:v>-22.39999999999975</c:v>
                </c:pt>
                <c:pt idx="23">
                  <c:v>39.200000000000351</c:v>
                </c:pt>
                <c:pt idx="24">
                  <c:v>-1.8947806286936006E-13</c:v>
                </c:pt>
                <c:pt idx="25">
                  <c:v>-8.399999999999844</c:v>
                </c:pt>
                <c:pt idx="26">
                  <c:v>19.600000000000176</c:v>
                </c:pt>
                <c:pt idx="27">
                  <c:v>27.999999999999982</c:v>
                </c:pt>
                <c:pt idx="28">
                  <c:v>-14.000000000000208</c:v>
                </c:pt>
                <c:pt idx="29">
                  <c:v>-36.400000000000148</c:v>
                </c:pt>
                <c:pt idx="30">
                  <c:v>0</c:v>
                </c:pt>
                <c:pt idx="31">
                  <c:v>658</c:v>
                </c:pt>
                <c:pt idx="32">
                  <c:v>64.399999999999906</c:v>
                </c:pt>
                <c:pt idx="33">
                  <c:v>-19.599999999999927</c:v>
                </c:pt>
                <c:pt idx="34">
                  <c:v>-19.600000000000041</c:v>
                </c:pt>
                <c:pt idx="35">
                  <c:v>-30.80000000000005</c:v>
                </c:pt>
                <c:pt idx="36">
                  <c:v>5.6000000000000796</c:v>
                </c:pt>
                <c:pt idx="37">
                  <c:v>14.000000000000057</c:v>
                </c:pt>
                <c:pt idx="38">
                  <c:v>98.000000000000057</c:v>
                </c:pt>
                <c:pt idx="39">
                  <c:v>36.399999999999956</c:v>
                </c:pt>
              </c:numCache>
            </c:numRef>
          </c:yVal>
          <c:smooth val="0"/>
          <c:extLst>
            <c:ext xmlns:c16="http://schemas.microsoft.com/office/drawing/2014/chart" uri="{C3380CC4-5D6E-409C-BE32-E72D297353CC}">
              <c16:uniqueId val="{00000002-4592-1145-B45D-042103E45B90}"/>
            </c:ext>
          </c:extLst>
        </c:ser>
        <c:dLbls>
          <c:showLegendKey val="0"/>
          <c:showVal val="0"/>
          <c:showCatName val="0"/>
          <c:showSerName val="0"/>
          <c:showPercent val="0"/>
          <c:showBubbleSize val="0"/>
        </c:dLbls>
        <c:axId val="1615412016"/>
        <c:axId val="1615416000"/>
      </c:scatterChart>
      <c:valAx>
        <c:axId val="1615412016"/>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416000"/>
        <c:crosses val="autoZero"/>
        <c:crossBetween val="midCat"/>
      </c:valAx>
      <c:valAx>
        <c:axId val="16154160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54120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xVal>
            <c:numRef>
              <c:f>'Set 2 Alkalinity'!$A$3:$A$47</c:f>
              <c:numCache>
                <c:formatCode>m/d/yyyy</c:formatCode>
                <c:ptCount val="45"/>
                <c:pt idx="0">
                  <c:v>44441</c:v>
                </c:pt>
                <c:pt idx="1">
                  <c:v>44442</c:v>
                </c:pt>
                <c:pt idx="2">
                  <c:v>44446</c:v>
                </c:pt>
                <c:pt idx="3">
                  <c:v>44447</c:v>
                </c:pt>
                <c:pt idx="4">
                  <c:v>44448</c:v>
                </c:pt>
                <c:pt idx="5">
                  <c:v>44449</c:v>
                </c:pt>
                <c:pt idx="6">
                  <c:v>44452</c:v>
                </c:pt>
                <c:pt idx="7">
                  <c:v>44454</c:v>
                </c:pt>
                <c:pt idx="8">
                  <c:v>44455</c:v>
                </c:pt>
                <c:pt idx="9">
                  <c:v>44456</c:v>
                </c:pt>
                <c:pt idx="10">
                  <c:v>44459</c:v>
                </c:pt>
                <c:pt idx="11">
                  <c:v>44460</c:v>
                </c:pt>
                <c:pt idx="12">
                  <c:v>44461</c:v>
                </c:pt>
                <c:pt idx="13">
                  <c:v>44462</c:v>
                </c:pt>
                <c:pt idx="14">
                  <c:v>44463</c:v>
                </c:pt>
                <c:pt idx="15">
                  <c:v>44466</c:v>
                </c:pt>
                <c:pt idx="16">
                  <c:v>44467</c:v>
                </c:pt>
                <c:pt idx="17">
                  <c:v>44468</c:v>
                </c:pt>
                <c:pt idx="18">
                  <c:v>44470</c:v>
                </c:pt>
                <c:pt idx="19">
                  <c:v>44473</c:v>
                </c:pt>
                <c:pt idx="20">
                  <c:v>44475</c:v>
                </c:pt>
                <c:pt idx="21">
                  <c:v>44477</c:v>
                </c:pt>
                <c:pt idx="22">
                  <c:v>44480</c:v>
                </c:pt>
                <c:pt idx="23">
                  <c:v>44482</c:v>
                </c:pt>
                <c:pt idx="24">
                  <c:v>44483</c:v>
                </c:pt>
                <c:pt idx="25">
                  <c:v>44487</c:v>
                </c:pt>
                <c:pt idx="26">
                  <c:v>44489</c:v>
                </c:pt>
                <c:pt idx="27">
                  <c:v>44490</c:v>
                </c:pt>
                <c:pt idx="28">
                  <c:v>44491</c:v>
                </c:pt>
                <c:pt idx="29">
                  <c:v>44494</c:v>
                </c:pt>
                <c:pt idx="30">
                  <c:v>44503</c:v>
                </c:pt>
                <c:pt idx="31">
                  <c:v>44504</c:v>
                </c:pt>
                <c:pt idx="32">
                  <c:v>44505</c:v>
                </c:pt>
                <c:pt idx="33">
                  <c:v>44510</c:v>
                </c:pt>
                <c:pt idx="34">
                  <c:v>44512</c:v>
                </c:pt>
                <c:pt idx="35">
                  <c:v>44515</c:v>
                </c:pt>
                <c:pt idx="36">
                  <c:v>44517</c:v>
                </c:pt>
                <c:pt idx="37">
                  <c:v>44519</c:v>
                </c:pt>
                <c:pt idx="38">
                  <c:v>44522</c:v>
                </c:pt>
                <c:pt idx="39">
                  <c:v>44524</c:v>
                </c:pt>
                <c:pt idx="40">
                  <c:v>44529</c:v>
                </c:pt>
                <c:pt idx="41">
                  <c:v>44533</c:v>
                </c:pt>
                <c:pt idx="42">
                  <c:v>44536</c:v>
                </c:pt>
                <c:pt idx="43">
                  <c:v>44538</c:v>
                </c:pt>
                <c:pt idx="44">
                  <c:v>44543</c:v>
                </c:pt>
              </c:numCache>
            </c:numRef>
          </c:xVal>
          <c:yVal>
            <c:numRef>
              <c:f>'Set 2 Alkalinity'!$DZ$3:$DZ$47</c:f>
              <c:numCache>
                <c:formatCode>General</c:formatCode>
                <c:ptCount val="45"/>
                <c:pt idx="0">
                  <c:v>83.36666666666676</c:v>
                </c:pt>
                <c:pt idx="1">
                  <c:v>0</c:v>
                </c:pt>
                <c:pt idx="2">
                  <c:v>46.766666666666545</c:v>
                </c:pt>
                <c:pt idx="3">
                  <c:v>28.466666666666629</c:v>
                </c:pt>
                <c:pt idx="4">
                  <c:v>9.1500000000001389</c:v>
                </c:pt>
                <c:pt idx="5">
                  <c:v>20.333333333333247</c:v>
                </c:pt>
                <c:pt idx="6">
                  <c:v>-22.366666666666692</c:v>
                </c:pt>
                <c:pt idx="7">
                  <c:v>10.166666666666666</c:v>
                </c:pt>
                <c:pt idx="8">
                  <c:v>-32.53333333333331</c:v>
                </c:pt>
                <c:pt idx="9">
                  <c:v>-24.399999999999903</c:v>
                </c:pt>
                <c:pt idx="10">
                  <c:v>-22.366666666666646</c:v>
                </c:pt>
                <c:pt idx="11">
                  <c:v>-18.299999999999926</c:v>
                </c:pt>
                <c:pt idx="12">
                  <c:v>-34.566666666666634</c:v>
                </c:pt>
                <c:pt idx="13">
                  <c:v>8.1333333333334394</c:v>
                </c:pt>
                <c:pt idx="14">
                  <c:v>20.333333333333609</c:v>
                </c:pt>
                <c:pt idx="15">
                  <c:v>-65.066666666666492</c:v>
                </c:pt>
                <c:pt idx="16">
                  <c:v>10.166666666666515</c:v>
                </c:pt>
                <c:pt idx="17">
                  <c:v>12.200000000000054</c:v>
                </c:pt>
                <c:pt idx="18">
                  <c:v>-10.166666666666496</c:v>
                </c:pt>
                <c:pt idx="19">
                  <c:v>-1.8947806286936004E-14</c:v>
                </c:pt>
                <c:pt idx="20">
                  <c:v>-28.466666666666509</c:v>
                </c:pt>
                <c:pt idx="21">
                  <c:v>-14.233333333333633</c:v>
                </c:pt>
                <c:pt idx="22">
                  <c:v>-26.433333333333042</c:v>
                </c:pt>
                <c:pt idx="23">
                  <c:v>18.300000000000352</c:v>
                </c:pt>
                <c:pt idx="24">
                  <c:v>-6.1000000000002119</c:v>
                </c:pt>
                <c:pt idx="25">
                  <c:v>-12.199999999999799</c:v>
                </c:pt>
                <c:pt idx="26">
                  <c:v>4.0666666666668334</c:v>
                </c:pt>
                <c:pt idx="27">
                  <c:v>20.3333333333334</c:v>
                </c:pt>
                <c:pt idx="28">
                  <c:v>-22.366666666666912</c:v>
                </c:pt>
                <c:pt idx="29">
                  <c:v>-30.50000000000016</c:v>
                </c:pt>
                <c:pt idx="30">
                  <c:v>0</c:v>
                </c:pt>
                <c:pt idx="31">
                  <c:v>390.39999999999992</c:v>
                </c:pt>
                <c:pt idx="32">
                  <c:v>36.599999999999874</c:v>
                </c:pt>
                <c:pt idx="33">
                  <c:v>-24.399999999999817</c:v>
                </c:pt>
                <c:pt idx="34">
                  <c:v>-2.0333333333333123</c:v>
                </c:pt>
                <c:pt idx="35">
                  <c:v>-14.233333333333462</c:v>
                </c:pt>
                <c:pt idx="36">
                  <c:v>16.26666666666684</c:v>
                </c:pt>
                <c:pt idx="37">
                  <c:v>6.1000000000001178</c:v>
                </c:pt>
                <c:pt idx="38">
                  <c:v>91.500000000000057</c:v>
                </c:pt>
                <c:pt idx="39">
                  <c:v>32.533333333333303</c:v>
                </c:pt>
                <c:pt idx="40">
                  <c:v>0</c:v>
                </c:pt>
                <c:pt idx="41">
                  <c:v>56.933333333333167</c:v>
                </c:pt>
                <c:pt idx="42">
                  <c:v>44.73333333333327</c:v>
                </c:pt>
                <c:pt idx="43">
                  <c:v>12.199999999999989</c:v>
                </c:pt>
                <c:pt idx="44">
                  <c:v>-38.633333333333411</c:v>
                </c:pt>
              </c:numCache>
            </c:numRef>
          </c:yVal>
          <c:smooth val="0"/>
          <c:extLst>
            <c:ext xmlns:c16="http://schemas.microsoft.com/office/drawing/2014/chart" uri="{C3380CC4-5D6E-409C-BE32-E72D297353CC}">
              <c16:uniqueId val="{00000000-2FCE-0B4D-8AC3-09B9D40C69A3}"/>
            </c:ext>
          </c:extLst>
        </c:ser>
        <c:dLbls>
          <c:showLegendKey val="0"/>
          <c:showVal val="0"/>
          <c:showCatName val="0"/>
          <c:showSerName val="0"/>
          <c:showPercent val="0"/>
          <c:showBubbleSize val="0"/>
        </c:dLbls>
        <c:axId val="368414895"/>
        <c:axId val="368416543"/>
      </c:scatterChart>
      <c:valAx>
        <c:axId val="368414895"/>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16543"/>
        <c:crosses val="autoZero"/>
        <c:crossBetween val="midCat"/>
      </c:valAx>
      <c:valAx>
        <c:axId val="368416543"/>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1489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Control</c:v>
          </c:tx>
          <c:spPr>
            <a:ln w="19050" cap="rnd">
              <a:noFill/>
              <a:round/>
            </a:ln>
            <a:effectLst/>
          </c:spPr>
          <c:marker>
            <c:symbol val="circle"/>
            <c:size val="5"/>
            <c:spPr>
              <a:solidFill>
                <a:schemeClr val="accent1"/>
              </a:solidFill>
              <a:ln w="9525">
                <a:solidFill>
                  <a:schemeClr val="accent1"/>
                </a:solidFill>
              </a:ln>
              <a:effectLst/>
            </c:spPr>
          </c:marker>
          <c:xVal>
            <c:numRef>
              <c:f>'Set 3 Salt'!$B$40:$B$83</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Salt'!$G$40:$G$83</c:f>
              <c:numCache>
                <c:formatCode>0.00</c:formatCode>
                <c:ptCount val="44"/>
                <c:pt idx="0">
                  <c:v>555.56135725535853</c:v>
                </c:pt>
                <c:pt idx="1">
                  <c:v>564.47288228446223</c:v>
                </c:pt>
                <c:pt idx="2">
                  <c:v>113.17400534136823</c:v>
                </c:pt>
                <c:pt idx="3">
                  <c:v>226.51835239334383</c:v>
                </c:pt>
                <c:pt idx="4">
                  <c:v>237.15760460179416</c:v>
                </c:pt>
                <c:pt idx="5">
                  <c:v>286.89036499349447</c:v>
                </c:pt>
                <c:pt idx="6">
                  <c:v>274.47168390056839</c:v>
                </c:pt>
                <c:pt idx="7">
                  <c:v>284.03033623228106</c:v>
                </c:pt>
                <c:pt idx="8">
                  <c:v>216.98315414640831</c:v>
                </c:pt>
                <c:pt idx="9">
                  <c:v>241.3118879682257</c:v>
                </c:pt>
                <c:pt idx="10">
                  <c:v>216.54694240909404</c:v>
                </c:pt>
                <c:pt idx="11">
                  <c:v>307.43717044442923</c:v>
                </c:pt>
                <c:pt idx="12">
                  <c:v>333.25463945764568</c:v>
                </c:pt>
                <c:pt idx="13">
                  <c:v>320.08388687256047</c:v>
                </c:pt>
                <c:pt idx="14">
                  <c:v>339.04454564130663</c:v>
                </c:pt>
                <c:pt idx="15">
                  <c:v>278.57631993426014</c:v>
                </c:pt>
                <c:pt idx="16">
                  <c:v>330.19242621379169</c:v>
                </c:pt>
                <c:pt idx="17">
                  <c:v>269.36023419845236</c:v>
                </c:pt>
                <c:pt idx="18">
                  <c:v>333.51383277408752</c:v>
                </c:pt>
                <c:pt idx="19">
                  <c:v>313.4003286995823</c:v>
                </c:pt>
                <c:pt idx="20">
                  <c:v>383.42806272683697</c:v>
                </c:pt>
                <c:pt idx="21">
                  <c:v>345.16674655892621</c:v>
                </c:pt>
                <c:pt idx="22">
                  <c:v>348.20927206738338</c:v>
                </c:pt>
                <c:pt idx="23">
                  <c:v>262.49007053345207</c:v>
                </c:pt>
                <c:pt idx="24">
                  <c:v>260.62624118331848</c:v>
                </c:pt>
                <c:pt idx="25">
                  <c:v>273.88892693282207</c:v>
                </c:pt>
                <c:pt idx="26">
                  <c:v>282.07063617064989</c:v>
                </c:pt>
                <c:pt idx="27">
                  <c:v>183.92556324043005</c:v>
                </c:pt>
                <c:pt idx="28">
                  <c:v>195.91128535232485</c:v>
                </c:pt>
                <c:pt idx="29">
                  <c:v>246.56474696980075</c:v>
                </c:pt>
                <c:pt idx="30">
                  <c:v>255.85838526330207</c:v>
                </c:pt>
                <c:pt idx="31">
                  <c:v>270.70139697322469</c:v>
                </c:pt>
                <c:pt idx="32">
                  <c:v>269.35475587208111</c:v>
                </c:pt>
                <c:pt idx="33">
                  <c:v>304.89214544956519</c:v>
                </c:pt>
                <c:pt idx="34">
                  <c:v>286.32558378415399</c:v>
                </c:pt>
                <c:pt idx="35">
                  <c:v>316.44644935972065</c:v>
                </c:pt>
                <c:pt idx="36">
                  <c:v>132.57293021981786</c:v>
                </c:pt>
                <c:pt idx="37">
                  <c:v>130.99431623638981</c:v>
                </c:pt>
                <c:pt idx="38">
                  <c:v>231.46425392042732</c:v>
                </c:pt>
                <c:pt idx="39">
                  <c:v>249.66941724303226</c:v>
                </c:pt>
                <c:pt idx="40">
                  <c:v>260.27648428405126</c:v>
                </c:pt>
                <c:pt idx="41">
                  <c:v>285.68016845853595</c:v>
                </c:pt>
                <c:pt idx="42">
                  <c:v>226.30658083955353</c:v>
                </c:pt>
                <c:pt idx="43">
                  <c:v>291.28620831336025</c:v>
                </c:pt>
              </c:numCache>
            </c:numRef>
          </c:yVal>
          <c:smooth val="0"/>
          <c:extLst>
            <c:ext xmlns:c16="http://schemas.microsoft.com/office/drawing/2014/chart" uri="{C3380CC4-5D6E-409C-BE32-E72D297353CC}">
              <c16:uniqueId val="{00000000-73BF-C74C-8D78-A494923804F9}"/>
            </c:ext>
          </c:extLst>
        </c:ser>
        <c:ser>
          <c:idx val="1"/>
          <c:order val="1"/>
          <c:tx>
            <c:v>A</c:v>
          </c:tx>
          <c:spPr>
            <a:ln w="25400" cap="rnd">
              <a:noFill/>
              <a:round/>
            </a:ln>
            <a:effectLst/>
          </c:spPr>
          <c:marker>
            <c:symbol val="circle"/>
            <c:size val="5"/>
            <c:spPr>
              <a:solidFill>
                <a:schemeClr val="accent2"/>
              </a:solidFill>
              <a:ln w="9525">
                <a:solidFill>
                  <a:schemeClr val="accent2"/>
                </a:solidFill>
              </a:ln>
              <a:effectLst/>
            </c:spPr>
          </c:marker>
          <c:xVal>
            <c:numRef>
              <c:f>'Set 3 Salt'!$B$40:$B$83</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Salt'!$K$40:$K$83</c:f>
              <c:numCache>
                <c:formatCode>0.00</c:formatCode>
                <c:ptCount val="44"/>
                <c:pt idx="0">
                  <c:v>565.45538587961391</c:v>
                </c:pt>
                <c:pt idx="1">
                  <c:v>420.89519276860921</c:v>
                </c:pt>
                <c:pt idx="2">
                  <c:v>102.48288023008971</c:v>
                </c:pt>
                <c:pt idx="3">
                  <c:v>233.94336780113679</c:v>
                </c:pt>
                <c:pt idx="4">
                  <c:v>232.46541806478123</c:v>
                </c:pt>
                <c:pt idx="5">
                  <c:v>274.96370608779017</c:v>
                </c:pt>
                <c:pt idx="6">
                  <c:v>291.41392179689103</c:v>
                </c:pt>
                <c:pt idx="7">
                  <c:v>283.54704512771349</c:v>
                </c:pt>
                <c:pt idx="8">
                  <c:v>213.30702595357121</c:v>
                </c:pt>
                <c:pt idx="9">
                  <c:v>243.47000616311718</c:v>
                </c:pt>
                <c:pt idx="10">
                  <c:v>242.86482229678836</c:v>
                </c:pt>
                <c:pt idx="11">
                  <c:v>306.97647743614328</c:v>
                </c:pt>
                <c:pt idx="12">
                  <c:v>326.06690406080941</c:v>
                </c:pt>
                <c:pt idx="13">
                  <c:v>320.37406697253994</c:v>
                </c:pt>
                <c:pt idx="14">
                  <c:v>336.80904608642061</c:v>
                </c:pt>
                <c:pt idx="15">
                  <c:v>286.50225980962819</c:v>
                </c:pt>
                <c:pt idx="16">
                  <c:v>320.55878928987198</c:v>
                </c:pt>
                <c:pt idx="17">
                  <c:v>282.00489625419436</c:v>
                </c:pt>
                <c:pt idx="18">
                  <c:v>325.11607203999182</c:v>
                </c:pt>
                <c:pt idx="19">
                  <c:v>326.79346709580221</c:v>
                </c:pt>
                <c:pt idx="20">
                  <c:v>373.3255153050743</c:v>
                </c:pt>
                <c:pt idx="21">
                  <c:v>395.07566938300351</c:v>
                </c:pt>
                <c:pt idx="22">
                  <c:v>339.41450386906803</c:v>
                </c:pt>
                <c:pt idx="23">
                  <c:v>260.74830514277886</c:v>
                </c:pt>
                <c:pt idx="24">
                  <c:v>264.5709785660481</c:v>
                </c:pt>
                <c:pt idx="25">
                  <c:v>357.68626309662403</c:v>
                </c:pt>
                <c:pt idx="26">
                  <c:v>276.26566458946792</c:v>
                </c:pt>
                <c:pt idx="27">
                  <c:v>180.24087516263785</c:v>
                </c:pt>
                <c:pt idx="28">
                  <c:v>210.74984592207079</c:v>
                </c:pt>
                <c:pt idx="29">
                  <c:v>253.11237416969121</c:v>
                </c:pt>
                <c:pt idx="30">
                  <c:v>260.62435800862835</c:v>
                </c:pt>
                <c:pt idx="31">
                  <c:v>288.39176881462714</c:v>
                </c:pt>
                <c:pt idx="32">
                  <c:v>282.63867013627339</c:v>
                </c:pt>
                <c:pt idx="33">
                  <c:v>285.158015476272</c:v>
                </c:pt>
                <c:pt idx="34">
                  <c:v>296.77189618571526</c:v>
                </c:pt>
                <c:pt idx="35">
                  <c:v>314.66102855577623</c:v>
                </c:pt>
                <c:pt idx="36">
                  <c:v>128.99763747175237</c:v>
                </c:pt>
                <c:pt idx="37">
                  <c:v>132.75183181538043</c:v>
                </c:pt>
                <c:pt idx="38">
                  <c:v>227.4221050469082</c:v>
                </c:pt>
                <c:pt idx="39">
                  <c:v>264.98236663699242</c:v>
                </c:pt>
                <c:pt idx="40">
                  <c:v>290.98267479285079</c:v>
                </c:pt>
                <c:pt idx="41">
                  <c:v>284.97021160035609</c:v>
                </c:pt>
                <c:pt idx="42">
                  <c:v>263.24864753817712</c:v>
                </c:pt>
                <c:pt idx="43">
                  <c:v>292.16291173046636</c:v>
                </c:pt>
              </c:numCache>
            </c:numRef>
          </c:yVal>
          <c:smooth val="0"/>
          <c:extLst>
            <c:ext xmlns:c16="http://schemas.microsoft.com/office/drawing/2014/chart" uri="{C3380CC4-5D6E-409C-BE32-E72D297353CC}">
              <c16:uniqueId val="{00000002-73BF-C74C-8D78-A494923804F9}"/>
            </c:ext>
          </c:extLst>
        </c:ser>
        <c:ser>
          <c:idx val="2"/>
          <c:order val="2"/>
          <c:tx>
            <c:v>B</c:v>
          </c:tx>
          <c:spPr>
            <a:ln w="25400" cap="rnd">
              <a:noFill/>
              <a:round/>
            </a:ln>
            <a:effectLst/>
          </c:spPr>
          <c:marker>
            <c:symbol val="circle"/>
            <c:size val="5"/>
            <c:spPr>
              <a:solidFill>
                <a:schemeClr val="accent3"/>
              </a:solidFill>
              <a:ln w="9525">
                <a:solidFill>
                  <a:schemeClr val="accent3"/>
                </a:solidFill>
              </a:ln>
              <a:effectLst/>
            </c:spPr>
          </c:marker>
          <c:xVal>
            <c:numRef>
              <c:f>'Set 3 Salt'!$B$40:$B$83</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Salt'!$O$41:$O$83</c:f>
              <c:numCache>
                <c:formatCode>0.00</c:formatCode>
                <c:ptCount val="43"/>
                <c:pt idx="0">
                  <c:v>554.72950763541735</c:v>
                </c:pt>
                <c:pt idx="1">
                  <c:v>106.50671094980483</c:v>
                </c:pt>
                <c:pt idx="2">
                  <c:v>240.24857905909749</c:v>
                </c:pt>
                <c:pt idx="3">
                  <c:v>231.0633089091283</c:v>
                </c:pt>
                <c:pt idx="4">
                  <c:v>293.7110525234541</c:v>
                </c:pt>
                <c:pt idx="5">
                  <c:v>273.29726768472233</c:v>
                </c:pt>
                <c:pt idx="6">
                  <c:v>272.17609395329725</c:v>
                </c:pt>
                <c:pt idx="7">
                  <c:v>206.43206875299597</c:v>
                </c:pt>
                <c:pt idx="8">
                  <c:v>234.35835102376228</c:v>
                </c:pt>
                <c:pt idx="9">
                  <c:v>237.88776278846814</c:v>
                </c:pt>
                <c:pt idx="10">
                  <c:v>308.26747928507842</c:v>
                </c:pt>
                <c:pt idx="11">
                  <c:v>334.48109977401907</c:v>
                </c:pt>
                <c:pt idx="12">
                  <c:v>333.72235157159486</c:v>
                </c:pt>
                <c:pt idx="13">
                  <c:v>344.26607546394575</c:v>
                </c:pt>
                <c:pt idx="14">
                  <c:v>265.57368348969391</c:v>
                </c:pt>
                <c:pt idx="15">
                  <c:v>312.49965760460179</c:v>
                </c:pt>
                <c:pt idx="16">
                  <c:v>258.24830514277892</c:v>
                </c:pt>
                <c:pt idx="17">
                  <c:v>331.21481887283437</c:v>
                </c:pt>
                <c:pt idx="18">
                  <c:v>308.53317811408618</c:v>
                </c:pt>
                <c:pt idx="19">
                  <c:v>352.95607067041021</c:v>
                </c:pt>
                <c:pt idx="20">
                  <c:v>462.99424775731018</c:v>
                </c:pt>
                <c:pt idx="21">
                  <c:v>336.39457645689242</c:v>
                </c:pt>
                <c:pt idx="22">
                  <c:v>257.93295898103133</c:v>
                </c:pt>
                <c:pt idx="23">
                  <c:v>256.99291241525714</c:v>
                </c:pt>
                <c:pt idx="24">
                  <c:v>1718.824043004862</c:v>
                </c:pt>
                <c:pt idx="25">
                  <c:v>270.40522495377661</c:v>
                </c:pt>
                <c:pt idx="26">
                  <c:v>174.44720262959666</c:v>
                </c:pt>
                <c:pt idx="27">
                  <c:v>200.24070396493872</c:v>
                </c:pt>
                <c:pt idx="28">
                  <c:v>231.45586523317127</c:v>
                </c:pt>
                <c:pt idx="29">
                  <c:v>513.96596589741841</c:v>
                </c:pt>
                <c:pt idx="30">
                  <c:v>264.93973840991578</c:v>
                </c:pt>
                <c:pt idx="31">
                  <c:v>278.15294802437859</c:v>
                </c:pt>
                <c:pt idx="32">
                  <c:v>317.53372594672328</c:v>
                </c:pt>
                <c:pt idx="33">
                  <c:v>277.84650414298437</c:v>
                </c:pt>
                <c:pt idx="34">
                  <c:v>297.66931452441275</c:v>
                </c:pt>
                <c:pt idx="35">
                  <c:v>125.4264534684654</c:v>
                </c:pt>
                <c:pt idx="36">
                  <c:v>119.04865438608508</c:v>
                </c:pt>
                <c:pt idx="37">
                  <c:v>229.06680134218999</c:v>
                </c:pt>
                <c:pt idx="38">
                  <c:v>276.45911798945423</c:v>
                </c:pt>
                <c:pt idx="39">
                  <c:v>326.7898719441211</c:v>
                </c:pt>
                <c:pt idx="40">
                  <c:v>272.373484900363</c:v>
                </c:pt>
                <c:pt idx="41">
                  <c:v>279.63740327330004</c:v>
                </c:pt>
                <c:pt idx="42">
                  <c:v>283.38064096418543</c:v>
                </c:pt>
              </c:numCache>
            </c:numRef>
          </c:yVal>
          <c:smooth val="0"/>
          <c:extLst>
            <c:ext xmlns:c16="http://schemas.microsoft.com/office/drawing/2014/chart" uri="{C3380CC4-5D6E-409C-BE32-E72D297353CC}">
              <c16:uniqueId val="{00000003-73BF-C74C-8D78-A494923804F9}"/>
            </c:ext>
          </c:extLst>
        </c:ser>
        <c:ser>
          <c:idx val="3"/>
          <c:order val="3"/>
          <c:tx>
            <c:v>C</c:v>
          </c:tx>
          <c:spPr>
            <a:ln w="25400" cap="rnd">
              <a:noFill/>
              <a:round/>
            </a:ln>
            <a:effectLst/>
          </c:spPr>
          <c:marker>
            <c:symbol val="circle"/>
            <c:size val="5"/>
            <c:spPr>
              <a:solidFill>
                <a:schemeClr val="accent4"/>
              </a:solidFill>
              <a:ln w="9525">
                <a:solidFill>
                  <a:schemeClr val="accent4"/>
                </a:solidFill>
              </a:ln>
              <a:effectLst/>
            </c:spPr>
          </c:marker>
          <c:xVal>
            <c:numRef>
              <c:f>'Set 3 Salt'!$B$40:$B$83</c:f>
              <c:numCache>
                <c:formatCode>0.00</c:formatCode>
                <c:ptCount val="44"/>
                <c:pt idx="0">
                  <c:v>0.98333333333333328</c:v>
                </c:pt>
                <c:pt idx="1">
                  <c:v>19.600000000000001</c:v>
                </c:pt>
                <c:pt idx="2">
                  <c:v>90.816666666666663</c:v>
                </c:pt>
                <c:pt idx="3">
                  <c:v>114.95</c:v>
                </c:pt>
                <c:pt idx="4">
                  <c:v>138.43333333333334</c:v>
                </c:pt>
                <c:pt idx="5">
                  <c:v>190.9</c:v>
                </c:pt>
                <c:pt idx="6">
                  <c:v>258.45</c:v>
                </c:pt>
                <c:pt idx="7">
                  <c:v>306.97000000000003</c:v>
                </c:pt>
                <c:pt idx="8">
                  <c:v>354.78</c:v>
                </c:pt>
                <c:pt idx="9">
                  <c:v>427.75</c:v>
                </c:pt>
                <c:pt idx="10">
                  <c:v>474.26666666666665</c:v>
                </c:pt>
                <c:pt idx="11">
                  <c:v>497.58333333333331</c:v>
                </c:pt>
                <c:pt idx="12">
                  <c:v>598.85</c:v>
                </c:pt>
                <c:pt idx="13">
                  <c:v>643.25</c:v>
                </c:pt>
                <c:pt idx="14">
                  <c:v>667.73333333333335</c:v>
                </c:pt>
                <c:pt idx="15">
                  <c:v>691.86666666666667</c:v>
                </c:pt>
                <c:pt idx="16">
                  <c:v>715.85</c:v>
                </c:pt>
                <c:pt idx="17">
                  <c:v>934.7833333333333</c:v>
                </c:pt>
                <c:pt idx="18">
                  <c:v>954.58333333333337</c:v>
                </c:pt>
                <c:pt idx="19">
                  <c:v>979.75</c:v>
                </c:pt>
                <c:pt idx="20">
                  <c:v>1099.45</c:v>
                </c:pt>
                <c:pt idx="21">
                  <c:v>1147.6166666666666</c:v>
                </c:pt>
                <c:pt idx="22">
                  <c:v>1219.55</c:v>
                </c:pt>
                <c:pt idx="23">
                  <c:v>1267.7166666666667</c:v>
                </c:pt>
                <c:pt idx="24">
                  <c:v>1313.85</c:v>
                </c:pt>
                <c:pt idx="25">
                  <c:v>1393</c:v>
                </c:pt>
                <c:pt idx="26">
                  <c:v>1441</c:v>
                </c:pt>
                <c:pt idx="27">
                  <c:v>1558.2833333333333</c:v>
                </c:pt>
                <c:pt idx="28">
                  <c:v>1650.9166666666667</c:v>
                </c:pt>
                <c:pt idx="29">
                  <c:v>1722.3</c:v>
                </c:pt>
                <c:pt idx="30">
                  <c:v>1770.7</c:v>
                </c:pt>
                <c:pt idx="31">
                  <c:v>1890.85</c:v>
                </c:pt>
                <c:pt idx="32">
                  <c:v>1961.7166666666667</c:v>
                </c:pt>
                <c:pt idx="33">
                  <c:v>2013.0333333333333</c:v>
                </c:pt>
                <c:pt idx="34">
                  <c:v>2061.3333333333335</c:v>
                </c:pt>
                <c:pt idx="35">
                  <c:v>2129.7833333333338</c:v>
                </c:pt>
                <c:pt idx="36">
                  <c:v>2178.1500000000005</c:v>
                </c:pt>
                <c:pt idx="37">
                  <c:v>2227.9666666666672</c:v>
                </c:pt>
                <c:pt idx="38">
                  <c:v>2345.7166666666672</c:v>
                </c:pt>
                <c:pt idx="39">
                  <c:v>2393.4500000000003</c:v>
                </c:pt>
                <c:pt idx="40">
                  <c:v>2513.4666666666672</c:v>
                </c:pt>
                <c:pt idx="41">
                  <c:v>2633.7166666666672</c:v>
                </c:pt>
                <c:pt idx="42">
                  <c:v>2681.2500000000005</c:v>
                </c:pt>
                <c:pt idx="43">
                  <c:v>2728.7000000000003</c:v>
                </c:pt>
              </c:numCache>
            </c:numRef>
          </c:xVal>
          <c:yVal>
            <c:numRef>
              <c:f>'Set 3 Salt'!$S$40:$S$83</c:f>
              <c:numCache>
                <c:formatCode>0.00</c:formatCode>
                <c:ptCount val="44"/>
                <c:pt idx="0">
                  <c:v>1896.1447990139013</c:v>
                </c:pt>
                <c:pt idx="1">
                  <c:v>571.77086899952064</c:v>
                </c:pt>
                <c:pt idx="2">
                  <c:v>118.62802163938917</c:v>
                </c:pt>
                <c:pt idx="3">
                  <c:v>217.06532904197769</c:v>
                </c:pt>
                <c:pt idx="4">
                  <c:v>234.49154283366437</c:v>
                </c:pt>
                <c:pt idx="5">
                  <c:v>293.61141546257619</c:v>
                </c:pt>
                <c:pt idx="6">
                  <c:v>293.36951311374378</c:v>
                </c:pt>
                <c:pt idx="7">
                  <c:v>267.45052386495922</c:v>
                </c:pt>
                <c:pt idx="8">
                  <c:v>208.64171745531738</c:v>
                </c:pt>
                <c:pt idx="9">
                  <c:v>242.80695747449155</c:v>
                </c:pt>
                <c:pt idx="10">
                  <c:v>235.3230500582072</c:v>
                </c:pt>
                <c:pt idx="11">
                  <c:v>292.76912278298983</c:v>
                </c:pt>
                <c:pt idx="12">
                  <c:v>342.57327261521607</c:v>
                </c:pt>
                <c:pt idx="13">
                  <c:v>481.8004862014655</c:v>
                </c:pt>
                <c:pt idx="14">
                  <c:v>343.08892008491404</c:v>
                </c:pt>
                <c:pt idx="15">
                  <c:v>1369.2467301239471</c:v>
                </c:pt>
                <c:pt idx="16">
                  <c:v>418.58385263302063</c:v>
                </c:pt>
                <c:pt idx="17">
                  <c:v>268.80846401424367</c:v>
                </c:pt>
                <c:pt idx="18">
                  <c:v>325.26587002670686</c:v>
                </c:pt>
                <c:pt idx="19">
                  <c:v>327.52773402725467</c:v>
                </c:pt>
                <c:pt idx="20">
                  <c:v>376.20643018557826</c:v>
                </c:pt>
                <c:pt idx="21">
                  <c:v>473.87540231459298</c:v>
                </c:pt>
                <c:pt idx="22">
                  <c:v>338.53437649797991</c:v>
                </c:pt>
                <c:pt idx="23">
                  <c:v>266.90200643703355</c:v>
                </c:pt>
                <c:pt idx="24">
                  <c:v>267.55529685681029</c:v>
                </c:pt>
                <c:pt idx="25">
                  <c:v>279.99794562761076</c:v>
                </c:pt>
                <c:pt idx="26">
                  <c:v>275.27014996918444</c:v>
                </c:pt>
                <c:pt idx="27">
                  <c:v>181.61490789563788</c:v>
                </c:pt>
                <c:pt idx="28">
                  <c:v>215.15459152228996</c:v>
                </c:pt>
                <c:pt idx="29">
                  <c:v>235.40659453536944</c:v>
                </c:pt>
                <c:pt idx="30">
                  <c:v>261.84431281243582</c:v>
                </c:pt>
                <c:pt idx="31">
                  <c:v>279.85054440868316</c:v>
                </c:pt>
                <c:pt idx="32">
                  <c:v>273.9841128535233</c:v>
                </c:pt>
                <c:pt idx="33">
                  <c:v>297.09768540710809</c:v>
                </c:pt>
                <c:pt idx="34">
                  <c:v>293.38748887214956</c:v>
                </c:pt>
                <c:pt idx="35">
                  <c:v>310.83955351640077</c:v>
                </c:pt>
                <c:pt idx="36">
                  <c:v>126.80185578305827</c:v>
                </c:pt>
                <c:pt idx="37">
                  <c:v>133.93206875299595</c:v>
                </c:pt>
                <c:pt idx="38">
                  <c:v>235.25457097856605</c:v>
                </c:pt>
                <c:pt idx="39">
                  <c:v>244.11336711634596</c:v>
                </c:pt>
                <c:pt idx="40">
                  <c:v>271.58820105457784</c:v>
                </c:pt>
                <c:pt idx="41">
                  <c:v>278.51092241320276</c:v>
                </c:pt>
                <c:pt idx="42">
                  <c:v>252.04119016640416</c:v>
                </c:pt>
                <c:pt idx="43">
                  <c:v>286.34783948503735</c:v>
                </c:pt>
              </c:numCache>
            </c:numRef>
          </c:yVal>
          <c:smooth val="0"/>
          <c:extLst>
            <c:ext xmlns:c16="http://schemas.microsoft.com/office/drawing/2014/chart" uri="{C3380CC4-5D6E-409C-BE32-E72D297353CC}">
              <c16:uniqueId val="{00000004-73BF-C74C-8D78-A494923804F9}"/>
            </c:ext>
          </c:extLst>
        </c:ser>
        <c:ser>
          <c:idx val="4"/>
          <c:order val="4"/>
          <c:tx>
            <c:v>0</c:v>
          </c:tx>
          <c:spPr>
            <a:ln w="25400" cap="rnd">
              <a:noFill/>
              <a:round/>
            </a:ln>
            <a:effectLst/>
          </c:spPr>
          <c:marker>
            <c:symbol val="circle"/>
            <c:size val="5"/>
            <c:spPr>
              <a:solidFill>
                <a:schemeClr val="accent5"/>
              </a:solidFill>
              <a:ln w="9525">
                <a:solidFill>
                  <a:schemeClr val="accent5"/>
                </a:solidFill>
              </a:ln>
              <a:effectLst/>
            </c:spPr>
          </c:marker>
          <c:xVal>
            <c:numRef>
              <c:f>'Set 3 Salt'!$D$40:$D$72</c:f>
              <c:numCache>
                <c:formatCode>0.00</c:formatCode>
                <c:ptCount val="33"/>
                <c:pt idx="0">
                  <c:v>1.75</c:v>
                </c:pt>
                <c:pt idx="1">
                  <c:v>21.616666666666667</c:v>
                </c:pt>
                <c:pt idx="2">
                  <c:v>46.8</c:v>
                </c:pt>
                <c:pt idx="3">
                  <c:v>166.5</c:v>
                </c:pt>
                <c:pt idx="4">
                  <c:v>214.66666666666666</c:v>
                </c:pt>
                <c:pt idx="5">
                  <c:v>286.59999999999997</c:v>
                </c:pt>
                <c:pt idx="6">
                  <c:v>334.76666666666659</c:v>
                </c:pt>
                <c:pt idx="7">
                  <c:v>380.89999999999992</c:v>
                </c:pt>
                <c:pt idx="8">
                  <c:v>459.88333333333327</c:v>
                </c:pt>
                <c:pt idx="9">
                  <c:v>507.81666666666661</c:v>
                </c:pt>
                <c:pt idx="10">
                  <c:v>625.1</c:v>
                </c:pt>
                <c:pt idx="11">
                  <c:v>717.73333333333335</c:v>
                </c:pt>
                <c:pt idx="12">
                  <c:v>790.18333333333328</c:v>
                </c:pt>
                <c:pt idx="13">
                  <c:v>838.58333333333337</c:v>
                </c:pt>
                <c:pt idx="14">
                  <c:v>958.73333333333335</c:v>
                </c:pt>
                <c:pt idx="15">
                  <c:v>1029.5999999999999</c:v>
                </c:pt>
                <c:pt idx="16">
                  <c:v>1080.9166666666665</c:v>
                </c:pt>
                <c:pt idx="17">
                  <c:v>1129.2166666666665</c:v>
                </c:pt>
                <c:pt idx="18">
                  <c:v>1197.6666666666665</c:v>
                </c:pt>
                <c:pt idx="19">
                  <c:v>1246.0333333333331</c:v>
                </c:pt>
                <c:pt idx="20">
                  <c:v>1295.8499999999997</c:v>
                </c:pt>
                <c:pt idx="21">
                  <c:v>1413.5999999999997</c:v>
                </c:pt>
                <c:pt idx="22">
                  <c:v>1461.333333333333</c:v>
                </c:pt>
                <c:pt idx="23">
                  <c:v>1581.3499999999997</c:v>
                </c:pt>
                <c:pt idx="24">
                  <c:v>1701.5999999999997</c:v>
                </c:pt>
                <c:pt idx="25">
                  <c:v>1749.133333333333</c:v>
                </c:pt>
                <c:pt idx="26">
                  <c:v>1796.583333333333</c:v>
                </c:pt>
                <c:pt idx="27">
                  <c:v>1867.3999999999999</c:v>
                </c:pt>
                <c:pt idx="28">
                  <c:v>1916.1999999999998</c:v>
                </c:pt>
                <c:pt idx="29">
                  <c:v>1964.883333333333</c:v>
                </c:pt>
                <c:pt idx="30">
                  <c:v>2060.8833333333332</c:v>
                </c:pt>
                <c:pt idx="31">
                  <c:v>2116.3666666666668</c:v>
                </c:pt>
                <c:pt idx="32">
                  <c:v>2162.9499999999998</c:v>
                </c:pt>
              </c:numCache>
            </c:numRef>
          </c:xVal>
          <c:yVal>
            <c:numRef>
              <c:f>'Set 3 Salt'!$W$40:$W$72</c:f>
              <c:numCache>
                <c:formatCode>0.00</c:formatCode>
                <c:ptCount val="33"/>
                <c:pt idx="0">
                  <c:v>433.15705676915707</c:v>
                </c:pt>
                <c:pt idx="1">
                  <c:v>425.13952612476891</c:v>
                </c:pt>
                <c:pt idx="2">
                  <c:v>415.20149969184416</c:v>
                </c:pt>
                <c:pt idx="3">
                  <c:v>492.06481544888038</c:v>
                </c:pt>
                <c:pt idx="4">
                  <c:v>404.00756693830039</c:v>
                </c:pt>
                <c:pt idx="5">
                  <c:v>389.04334725741285</c:v>
                </c:pt>
                <c:pt idx="6">
                  <c:v>344.16506882147507</c:v>
                </c:pt>
                <c:pt idx="7">
                  <c:v>265.45452989111828</c:v>
                </c:pt>
                <c:pt idx="8">
                  <c:v>381.0667328631103</c:v>
                </c:pt>
                <c:pt idx="9">
                  <c:v>294.66154214887359</c:v>
                </c:pt>
                <c:pt idx="10">
                  <c:v>285.04810655344789</c:v>
                </c:pt>
                <c:pt idx="11">
                  <c:v>277.13106895843322</c:v>
                </c:pt>
                <c:pt idx="12">
                  <c:v>231.42607683352736</c:v>
                </c:pt>
                <c:pt idx="13">
                  <c:v>267.01859207012257</c:v>
                </c:pt>
                <c:pt idx="14">
                  <c:v>253.56022735054441</c:v>
                </c:pt>
                <c:pt idx="15">
                  <c:v>218.69615832363212</c:v>
                </c:pt>
                <c:pt idx="16">
                  <c:v>222.74840786139836</c:v>
                </c:pt>
                <c:pt idx="17">
                  <c:v>249.04266246661646</c:v>
                </c:pt>
                <c:pt idx="18">
                  <c:v>213.4607614873656</c:v>
                </c:pt>
                <c:pt idx="19">
                  <c:v>253.92042730945695</c:v>
                </c:pt>
                <c:pt idx="20">
                  <c:v>257.00917619667194</c:v>
                </c:pt>
                <c:pt idx="21">
                  <c:v>271.68270218448265</c:v>
                </c:pt>
                <c:pt idx="22">
                  <c:v>272.24491542833664</c:v>
                </c:pt>
                <c:pt idx="23">
                  <c:v>291.35913853317811</c:v>
                </c:pt>
                <c:pt idx="24">
                  <c:v>297.35105800178047</c:v>
                </c:pt>
                <c:pt idx="25">
                  <c:v>277.78435937820996</c:v>
                </c:pt>
                <c:pt idx="26">
                  <c:v>264.86458262000963</c:v>
                </c:pt>
                <c:pt idx="27">
                  <c:v>274.55266041224411</c:v>
                </c:pt>
                <c:pt idx="28">
                  <c:v>273.74460727247828</c:v>
                </c:pt>
                <c:pt idx="29">
                  <c:v>302.42792576867765</c:v>
                </c:pt>
                <c:pt idx="30">
                  <c:v>305.15852906936931</c:v>
                </c:pt>
                <c:pt idx="31">
                  <c:v>353.83585564610019</c:v>
                </c:pt>
                <c:pt idx="32">
                  <c:v>354.3458535917278</c:v>
                </c:pt>
              </c:numCache>
            </c:numRef>
          </c:yVal>
          <c:smooth val="0"/>
          <c:extLst>
            <c:ext xmlns:c16="http://schemas.microsoft.com/office/drawing/2014/chart" uri="{C3380CC4-5D6E-409C-BE32-E72D297353CC}">
              <c16:uniqueId val="{00000005-73BF-C74C-8D78-A494923804F9}"/>
            </c:ext>
          </c:extLst>
        </c:ser>
        <c:dLbls>
          <c:showLegendKey val="0"/>
          <c:showVal val="0"/>
          <c:showCatName val="0"/>
          <c:showSerName val="0"/>
          <c:showPercent val="0"/>
          <c:showBubbleSize val="0"/>
        </c:dLbls>
        <c:axId val="66243280"/>
        <c:axId val="557654400"/>
      </c:scatterChart>
      <c:valAx>
        <c:axId val="66243280"/>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7654400"/>
        <c:crosses val="autoZero"/>
        <c:crossBetween val="midCat"/>
      </c:valAx>
      <c:valAx>
        <c:axId val="557654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2432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Set</a:t>
            </a:r>
            <a:r>
              <a:rPr lang="en-US" baseline="0"/>
              <a:t> 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v>Tank 1</c:v>
          </c:tx>
          <c:spPr>
            <a:ln w="19050" cap="rnd">
              <a:noFill/>
              <a:round/>
            </a:ln>
            <a:effectLst/>
          </c:spPr>
          <c:marker>
            <c:symbol val="circle"/>
            <c:size val="5"/>
            <c:spPr>
              <a:solidFill>
                <a:schemeClr val="accent1"/>
              </a:solidFill>
              <a:ln w="9525">
                <a:solidFill>
                  <a:schemeClr val="accent1"/>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1&amp;2'!$C$3:$C$19</c:f>
              <c:numCache>
                <c:formatCode>0.00</c:formatCode>
                <c:ptCount val="17"/>
                <c:pt idx="0">
                  <c:v>-0.4415</c:v>
                </c:pt>
                <c:pt idx="1">
                  <c:v>2.056</c:v>
                </c:pt>
                <c:pt idx="2">
                  <c:v>1.7110000000000001</c:v>
                </c:pt>
                <c:pt idx="3">
                  <c:v>1.417</c:v>
                </c:pt>
                <c:pt idx="4">
                  <c:v>3.05</c:v>
                </c:pt>
                <c:pt idx="5">
                  <c:v>1.9419999999999999</c:v>
                </c:pt>
                <c:pt idx="6">
                  <c:v>1.869</c:v>
                </c:pt>
                <c:pt idx="7">
                  <c:v>1.806</c:v>
                </c:pt>
                <c:pt idx="8">
                  <c:v>2.4689999999999999</c:v>
                </c:pt>
                <c:pt idx="9">
                  <c:v>1.952</c:v>
                </c:pt>
                <c:pt idx="10" formatCode="General">
                  <c:v>1.7689999999999999</c:v>
                </c:pt>
                <c:pt idx="11" formatCode="General">
                  <c:v>2.4510000000000001</c:v>
                </c:pt>
                <c:pt idx="12" formatCode="General">
                  <c:v>1.9430000000000001</c:v>
                </c:pt>
                <c:pt idx="13" formatCode="General">
                  <c:v>1.534</c:v>
                </c:pt>
                <c:pt idx="14" formatCode="General">
                  <c:v>1.794</c:v>
                </c:pt>
                <c:pt idx="16" formatCode="General">
                  <c:v>15.8</c:v>
                </c:pt>
              </c:numCache>
            </c:numRef>
          </c:yVal>
          <c:smooth val="0"/>
          <c:extLst>
            <c:ext xmlns:c16="http://schemas.microsoft.com/office/drawing/2014/chart" uri="{C3380CC4-5D6E-409C-BE32-E72D297353CC}">
              <c16:uniqueId val="{00000000-8693-AF42-95A3-6308DEDA511D}"/>
            </c:ext>
          </c:extLst>
        </c:ser>
        <c:ser>
          <c:idx val="1"/>
          <c:order val="1"/>
          <c:tx>
            <c:v>1 0</c:v>
          </c:tx>
          <c:spPr>
            <a:ln w="25400" cap="rnd">
              <a:noFill/>
              <a:round/>
            </a:ln>
            <a:effectLst/>
          </c:spPr>
          <c:marker>
            <c:symbol val="circle"/>
            <c:size val="5"/>
            <c:spPr>
              <a:solidFill>
                <a:schemeClr val="accent2"/>
              </a:solidFill>
              <a:ln w="9525">
                <a:solidFill>
                  <a:schemeClr val="accent2"/>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1&amp;2'!$F$3:$F$19</c:f>
              <c:numCache>
                <c:formatCode>0.00</c:formatCode>
                <c:ptCount val="17"/>
                <c:pt idx="0">
                  <c:v>5.951E-2</c:v>
                </c:pt>
                <c:pt idx="1">
                  <c:v>-0.21299999999999999</c:v>
                </c:pt>
                <c:pt idx="2">
                  <c:v>-0.31290000000000001</c:v>
                </c:pt>
                <c:pt idx="3">
                  <c:v>-0.36249999999999999</c:v>
                </c:pt>
                <c:pt idx="4">
                  <c:v>-0.1741</c:v>
                </c:pt>
                <c:pt idx="5">
                  <c:v>-0.16700000000000001</c:v>
                </c:pt>
                <c:pt idx="6">
                  <c:v>-8.4970000000000004E-2</c:v>
                </c:pt>
                <c:pt idx="7">
                  <c:v>-0.54239999999999999</c:v>
                </c:pt>
                <c:pt idx="8">
                  <c:v>-2.588E-2</c:v>
                </c:pt>
                <c:pt idx="9">
                  <c:v>0.14480000000000001</c:v>
                </c:pt>
                <c:pt idx="10">
                  <c:v>-5.1279999999999999E-2</c:v>
                </c:pt>
                <c:pt idx="11">
                  <c:v>0.47739999999999999</c:v>
                </c:pt>
                <c:pt idx="12">
                  <c:v>8.3760000000000001E-2</c:v>
                </c:pt>
                <c:pt idx="13">
                  <c:v>0.2054</c:v>
                </c:pt>
                <c:pt idx="14">
                  <c:v>0.25290000000000001</c:v>
                </c:pt>
                <c:pt idx="16">
                  <c:v>1.1020000000000001</c:v>
                </c:pt>
              </c:numCache>
            </c:numRef>
          </c:yVal>
          <c:smooth val="0"/>
          <c:extLst>
            <c:ext xmlns:c16="http://schemas.microsoft.com/office/drawing/2014/chart" uri="{C3380CC4-5D6E-409C-BE32-E72D297353CC}">
              <c16:uniqueId val="{00000002-8693-AF42-95A3-6308DEDA511D}"/>
            </c:ext>
          </c:extLst>
        </c:ser>
        <c:ser>
          <c:idx val="2"/>
          <c:order val="2"/>
          <c:tx>
            <c:v>1A</c:v>
          </c:tx>
          <c:spPr>
            <a:ln w="25400" cap="rnd">
              <a:noFill/>
              <a:round/>
            </a:ln>
            <a:effectLst/>
          </c:spPr>
          <c:marker>
            <c:symbol val="circle"/>
            <c:size val="5"/>
            <c:spPr>
              <a:solidFill>
                <a:schemeClr val="accent3"/>
              </a:solidFill>
              <a:ln w="9525">
                <a:solidFill>
                  <a:schemeClr val="accent3"/>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1&amp;2'!$J$3:$J$20</c:f>
              <c:numCache>
                <c:formatCode>0.00</c:formatCode>
                <c:ptCount val="18"/>
                <c:pt idx="0">
                  <c:v>-2.462E-2</c:v>
                </c:pt>
                <c:pt idx="1">
                  <c:v>0.41820000000000002</c:v>
                </c:pt>
                <c:pt idx="2">
                  <c:v>0.26790000000000003</c:v>
                </c:pt>
                <c:pt idx="3">
                  <c:v>0.46650000000000003</c:v>
                </c:pt>
                <c:pt idx="4">
                  <c:v>0.94379999999999997</c:v>
                </c:pt>
                <c:pt idx="5">
                  <c:v>0.90469999999999995</c:v>
                </c:pt>
                <c:pt idx="6">
                  <c:v>1.0669999999999999</c:v>
                </c:pt>
                <c:pt idx="7">
                  <c:v>1.4330000000000001</c:v>
                </c:pt>
                <c:pt idx="8">
                  <c:v>1.35</c:v>
                </c:pt>
                <c:pt idx="9">
                  <c:v>1.131</c:v>
                </c:pt>
                <c:pt idx="10" formatCode="General">
                  <c:v>0.96199999999999997</c:v>
                </c:pt>
                <c:pt idx="11" formatCode="General">
                  <c:v>1.3340000000000001</c:v>
                </c:pt>
                <c:pt idx="12" formatCode="General">
                  <c:v>1.179</c:v>
                </c:pt>
                <c:pt idx="13" formatCode="General">
                  <c:v>0.75390000000000001</c:v>
                </c:pt>
                <c:pt idx="14" formatCode="General">
                  <c:v>0.83220000000000005</c:v>
                </c:pt>
                <c:pt idx="16" formatCode="General">
                  <c:v>6.5469999999999997</c:v>
                </c:pt>
              </c:numCache>
            </c:numRef>
          </c:yVal>
          <c:smooth val="0"/>
          <c:extLst>
            <c:ext xmlns:c16="http://schemas.microsoft.com/office/drawing/2014/chart" uri="{C3380CC4-5D6E-409C-BE32-E72D297353CC}">
              <c16:uniqueId val="{00000003-8693-AF42-95A3-6308DEDA511D}"/>
            </c:ext>
          </c:extLst>
        </c:ser>
        <c:ser>
          <c:idx val="3"/>
          <c:order val="3"/>
          <c:tx>
            <c:v>1B</c:v>
          </c:tx>
          <c:spPr>
            <a:ln w="25400" cap="rnd">
              <a:noFill/>
              <a:round/>
            </a:ln>
            <a:effectLst/>
          </c:spPr>
          <c:marker>
            <c:symbol val="circle"/>
            <c:size val="5"/>
            <c:spPr>
              <a:solidFill>
                <a:schemeClr val="accent4"/>
              </a:solidFill>
              <a:ln w="9525">
                <a:solidFill>
                  <a:schemeClr val="accent4"/>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1&amp;2'!$N$3:$N$19</c:f>
              <c:numCache>
                <c:formatCode>0.00</c:formatCode>
                <c:ptCount val="17"/>
                <c:pt idx="0">
                  <c:v>-7.0400000000000003E-3</c:v>
                </c:pt>
                <c:pt idx="1">
                  <c:v>0.84909999999999997</c:v>
                </c:pt>
                <c:pt idx="2">
                  <c:v>0.44169999999999998</c:v>
                </c:pt>
                <c:pt idx="3">
                  <c:v>0.82179999999999997</c:v>
                </c:pt>
                <c:pt idx="4">
                  <c:v>0.57789999999999997</c:v>
                </c:pt>
                <c:pt idx="5">
                  <c:v>1.073</c:v>
                </c:pt>
                <c:pt idx="6">
                  <c:v>0.95179999999999998</c:v>
                </c:pt>
                <c:pt idx="7">
                  <c:v>1.052</c:v>
                </c:pt>
                <c:pt idx="8">
                  <c:v>1.2230000000000001</c:v>
                </c:pt>
                <c:pt idx="9">
                  <c:v>1.0009999999999999</c:v>
                </c:pt>
                <c:pt idx="10" formatCode="General">
                  <c:v>0.78369999999999995</c:v>
                </c:pt>
                <c:pt idx="11" formatCode="General">
                  <c:v>1.258</c:v>
                </c:pt>
                <c:pt idx="12" formatCode="General">
                  <c:v>0.98899999999999999</c:v>
                </c:pt>
                <c:pt idx="13" formatCode="General">
                  <c:v>0.78029999999999999</c:v>
                </c:pt>
                <c:pt idx="14" formatCode="General">
                  <c:v>1.073</c:v>
                </c:pt>
                <c:pt idx="16" formatCode="General">
                  <c:v>3.5409999999999999</c:v>
                </c:pt>
              </c:numCache>
            </c:numRef>
          </c:yVal>
          <c:smooth val="0"/>
          <c:extLst>
            <c:ext xmlns:c16="http://schemas.microsoft.com/office/drawing/2014/chart" uri="{C3380CC4-5D6E-409C-BE32-E72D297353CC}">
              <c16:uniqueId val="{00000004-8693-AF42-95A3-6308DEDA511D}"/>
            </c:ext>
          </c:extLst>
        </c:ser>
        <c:ser>
          <c:idx val="4"/>
          <c:order val="4"/>
          <c:tx>
            <c:v>1C</c:v>
          </c:tx>
          <c:spPr>
            <a:ln w="25400" cap="rnd">
              <a:noFill/>
              <a:round/>
            </a:ln>
            <a:effectLst/>
          </c:spPr>
          <c:marker>
            <c:symbol val="circle"/>
            <c:size val="5"/>
            <c:spPr>
              <a:solidFill>
                <a:schemeClr val="accent5"/>
              </a:solidFill>
              <a:ln w="9525">
                <a:solidFill>
                  <a:schemeClr val="accent5"/>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1&amp;2'!$R$3:$R$19</c:f>
              <c:numCache>
                <c:formatCode>0.00</c:formatCode>
                <c:ptCount val="17"/>
                <c:pt idx="0">
                  <c:v>7.2700000000000001E-2</c:v>
                </c:pt>
                <c:pt idx="1">
                  <c:v>0.441</c:v>
                </c:pt>
                <c:pt idx="2">
                  <c:v>0.29149999999999998</c:v>
                </c:pt>
                <c:pt idx="3">
                  <c:v>0.51329999999999998</c:v>
                </c:pt>
                <c:pt idx="4">
                  <c:v>0.77429999999999999</c:v>
                </c:pt>
                <c:pt idx="5">
                  <c:v>1.0009999999999999</c:v>
                </c:pt>
                <c:pt idx="6">
                  <c:v>1.153</c:v>
                </c:pt>
                <c:pt idx="7">
                  <c:v>1.1859999999999999</c:v>
                </c:pt>
                <c:pt idx="8">
                  <c:v>1.4810000000000001</c:v>
                </c:pt>
                <c:pt idx="9">
                  <c:v>1.2809999999999999</c:v>
                </c:pt>
                <c:pt idx="10" formatCode="General">
                  <c:v>0.96719999999999995</c:v>
                </c:pt>
                <c:pt idx="11" formatCode="General">
                  <c:v>1.476</c:v>
                </c:pt>
                <c:pt idx="12" formatCode="General">
                  <c:v>1.3560000000000001</c:v>
                </c:pt>
                <c:pt idx="13" formatCode="General">
                  <c:v>1.099</c:v>
                </c:pt>
                <c:pt idx="14" formatCode="General">
                  <c:v>1.3120000000000001</c:v>
                </c:pt>
                <c:pt idx="16" formatCode="General">
                  <c:v>10.33</c:v>
                </c:pt>
              </c:numCache>
            </c:numRef>
          </c:yVal>
          <c:smooth val="0"/>
          <c:extLst>
            <c:ext xmlns:c16="http://schemas.microsoft.com/office/drawing/2014/chart" uri="{C3380CC4-5D6E-409C-BE32-E72D297353CC}">
              <c16:uniqueId val="{00000005-8693-AF42-95A3-6308DEDA511D}"/>
            </c:ext>
          </c:extLst>
        </c:ser>
        <c:ser>
          <c:idx val="5"/>
          <c:order val="5"/>
          <c:tx>
            <c:v>1 Control</c:v>
          </c:tx>
          <c:spPr>
            <a:ln w="25400" cap="rnd">
              <a:noFill/>
              <a:round/>
            </a:ln>
            <a:effectLst/>
          </c:spPr>
          <c:marker>
            <c:symbol val="circle"/>
            <c:size val="5"/>
            <c:spPr>
              <a:solidFill>
                <a:schemeClr val="accent6"/>
              </a:solidFill>
              <a:ln w="9525">
                <a:solidFill>
                  <a:schemeClr val="accent6"/>
                </a:solidFill>
              </a:ln>
              <a:effectLst/>
            </c:spPr>
          </c:marker>
          <c:xVal>
            <c:numRef>
              <c:f>'TOC 1&amp;2'!$B$3:$B$19</c:f>
              <c:numCache>
                <c:formatCode>m/d/yyyy</c:formatCode>
                <c:ptCount val="17"/>
                <c:pt idx="0">
                  <c:v>44463</c:v>
                </c:pt>
                <c:pt idx="1">
                  <c:v>44466</c:v>
                </c:pt>
                <c:pt idx="2">
                  <c:v>44467</c:v>
                </c:pt>
                <c:pt idx="3">
                  <c:v>44468</c:v>
                </c:pt>
                <c:pt idx="4">
                  <c:v>44470</c:v>
                </c:pt>
                <c:pt idx="5">
                  <c:v>44473</c:v>
                </c:pt>
                <c:pt idx="6">
                  <c:v>44475</c:v>
                </c:pt>
                <c:pt idx="7">
                  <c:v>44477</c:v>
                </c:pt>
                <c:pt idx="8">
                  <c:v>44480</c:v>
                </c:pt>
                <c:pt idx="9">
                  <c:v>44482</c:v>
                </c:pt>
                <c:pt idx="10">
                  <c:v>44483</c:v>
                </c:pt>
                <c:pt idx="11">
                  <c:v>44487</c:v>
                </c:pt>
                <c:pt idx="12">
                  <c:v>44489</c:v>
                </c:pt>
                <c:pt idx="13">
                  <c:v>44490</c:v>
                </c:pt>
                <c:pt idx="14">
                  <c:v>44491</c:v>
                </c:pt>
                <c:pt idx="15">
                  <c:v>44494</c:v>
                </c:pt>
                <c:pt idx="16">
                  <c:v>44503</c:v>
                </c:pt>
              </c:numCache>
            </c:numRef>
          </c:xVal>
          <c:yVal>
            <c:numRef>
              <c:f>'TOC 1&amp;2'!$V$3:$V$19</c:f>
              <c:numCache>
                <c:formatCode>0.00</c:formatCode>
                <c:ptCount val="17"/>
                <c:pt idx="0">
                  <c:v>0.28089999999999998</c:v>
                </c:pt>
                <c:pt idx="1">
                  <c:v>0.78949999999999998</c:v>
                </c:pt>
                <c:pt idx="2">
                  <c:v>1.0229999999999999</c:v>
                </c:pt>
                <c:pt idx="3">
                  <c:v>0.91610000000000003</c:v>
                </c:pt>
                <c:pt idx="4">
                  <c:v>1.323</c:v>
                </c:pt>
                <c:pt idx="5">
                  <c:v>1.7150000000000001</c:v>
                </c:pt>
                <c:pt idx="6">
                  <c:v>1.6919999999999999</c:v>
                </c:pt>
                <c:pt idx="7">
                  <c:v>1.331</c:v>
                </c:pt>
                <c:pt idx="8">
                  <c:v>1.766</c:v>
                </c:pt>
                <c:pt idx="9">
                  <c:v>1.5720000000000001</c:v>
                </c:pt>
                <c:pt idx="10" formatCode="General">
                  <c:v>1.4590000000000001</c:v>
                </c:pt>
                <c:pt idx="11" formatCode="General">
                  <c:v>1.651</c:v>
                </c:pt>
                <c:pt idx="12" formatCode="General">
                  <c:v>1.52</c:v>
                </c:pt>
                <c:pt idx="13" formatCode="General">
                  <c:v>1.288</c:v>
                </c:pt>
                <c:pt idx="14" formatCode="General">
                  <c:v>1.514</c:v>
                </c:pt>
                <c:pt idx="16" formatCode="General">
                  <c:v>8.077</c:v>
                </c:pt>
              </c:numCache>
            </c:numRef>
          </c:yVal>
          <c:smooth val="0"/>
          <c:extLst>
            <c:ext xmlns:c16="http://schemas.microsoft.com/office/drawing/2014/chart" uri="{C3380CC4-5D6E-409C-BE32-E72D297353CC}">
              <c16:uniqueId val="{00000006-8693-AF42-95A3-6308DEDA511D}"/>
            </c:ext>
          </c:extLst>
        </c:ser>
        <c:dLbls>
          <c:showLegendKey val="0"/>
          <c:showVal val="0"/>
          <c:showCatName val="0"/>
          <c:showSerName val="0"/>
          <c:showPercent val="0"/>
          <c:showBubbleSize val="0"/>
        </c:dLbls>
        <c:axId val="130852256"/>
        <c:axId val="194283536"/>
      </c:scatterChart>
      <c:valAx>
        <c:axId val="130852256"/>
        <c:scaling>
          <c:orientation val="minMax"/>
        </c:scaling>
        <c:delete val="0"/>
        <c:axPos val="b"/>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283536"/>
        <c:crosses val="autoZero"/>
        <c:crossBetween val="midCat"/>
      </c:valAx>
      <c:valAx>
        <c:axId val="194283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5225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3" Type="http://schemas.openxmlformats.org/officeDocument/2006/relationships/chart" Target="../charts/chart13.xml"/><Relationship Id="rId18" Type="http://schemas.openxmlformats.org/officeDocument/2006/relationships/chart" Target="../charts/chart18.xml"/><Relationship Id="rId39" Type="http://schemas.openxmlformats.org/officeDocument/2006/relationships/chart" Target="../charts/chart39.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 Id="rId5" Type="http://schemas.openxmlformats.org/officeDocument/2006/relationships/chart" Target="../charts/chart90.xml"/><Relationship Id="rId4" Type="http://schemas.openxmlformats.org/officeDocument/2006/relationships/chart" Target="../charts/chart89.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chart" Target="../charts/chart95.xml"/><Relationship Id="rId4" Type="http://schemas.openxmlformats.org/officeDocument/2006/relationships/chart" Target="../charts/chart9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106.xml"/><Relationship Id="rId3" Type="http://schemas.openxmlformats.org/officeDocument/2006/relationships/chart" Target="../charts/chart101.xml"/><Relationship Id="rId7" Type="http://schemas.openxmlformats.org/officeDocument/2006/relationships/chart" Target="../charts/chart105.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4.xml"/><Relationship Id="rId5" Type="http://schemas.openxmlformats.org/officeDocument/2006/relationships/chart" Target="../charts/chart103.xml"/><Relationship Id="rId4" Type="http://schemas.openxmlformats.org/officeDocument/2006/relationships/chart" Target="../charts/chart102.xml"/><Relationship Id="rId9" Type="http://schemas.openxmlformats.org/officeDocument/2006/relationships/chart" Target="../charts/chart10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 Id="rId4" Type="http://schemas.openxmlformats.org/officeDocument/2006/relationships/chart" Target="../charts/chart1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15.xml"/><Relationship Id="rId2" Type="http://schemas.openxmlformats.org/officeDocument/2006/relationships/chart" Target="../charts/chart114.xml"/><Relationship Id="rId1" Type="http://schemas.openxmlformats.org/officeDocument/2006/relationships/chart" Target="../charts/chart113.xml"/><Relationship Id="rId5" Type="http://schemas.openxmlformats.org/officeDocument/2006/relationships/chart" Target="../charts/chart117.xml"/><Relationship Id="rId4" Type="http://schemas.openxmlformats.org/officeDocument/2006/relationships/chart" Target="../charts/chart11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5" Type="http://schemas.openxmlformats.org/officeDocument/2006/relationships/chart" Target="../charts/chart75.xml"/><Relationship Id="rId4" Type="http://schemas.openxmlformats.org/officeDocument/2006/relationships/chart" Target="../charts/chart7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1.xml"/></Relationships>
</file>

<file path=xl/drawings/drawing1.xml><?xml version="1.0" encoding="utf-8"?>
<xdr:wsDr xmlns:xdr="http://schemas.openxmlformats.org/drawingml/2006/spreadsheetDrawing" xmlns:a="http://schemas.openxmlformats.org/drawingml/2006/main">
  <xdr:twoCellAnchor>
    <xdr:from>
      <xdr:col>16</xdr:col>
      <xdr:colOff>19050</xdr:colOff>
      <xdr:row>0</xdr:row>
      <xdr:rowOff>233538</xdr:rowOff>
    </xdr:from>
    <xdr:to>
      <xdr:col>21</xdr:col>
      <xdr:colOff>460728</xdr:colOff>
      <xdr:row>13</xdr:row>
      <xdr:rowOff>109830</xdr:rowOff>
    </xdr:to>
    <xdr:graphicFrame macro="">
      <xdr:nvGraphicFramePr>
        <xdr:cNvPr id="2" name="Chart 1">
          <a:extLst>
            <a:ext uri="{FF2B5EF4-FFF2-40B4-BE49-F238E27FC236}">
              <a16:creationId xmlns:a16="http://schemas.microsoft.com/office/drawing/2014/main" id="{904A782B-80A3-EB42-A8B2-E3825ACBE7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722019</xdr:colOff>
      <xdr:row>21</xdr:row>
      <xdr:rowOff>118768</xdr:rowOff>
    </xdr:from>
    <xdr:to>
      <xdr:col>20</xdr:col>
      <xdr:colOff>343371</xdr:colOff>
      <xdr:row>35</xdr:row>
      <xdr:rowOff>223661</xdr:rowOff>
    </xdr:to>
    <xdr:graphicFrame macro="">
      <xdr:nvGraphicFramePr>
        <xdr:cNvPr id="3" name="Chart 2">
          <a:extLst>
            <a:ext uri="{FF2B5EF4-FFF2-40B4-BE49-F238E27FC236}">
              <a16:creationId xmlns:a16="http://schemas.microsoft.com/office/drawing/2014/main" id="{4924E593-E7E7-AE45-95FD-423EFFD9F1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38100</xdr:colOff>
      <xdr:row>36</xdr:row>
      <xdr:rowOff>6350</xdr:rowOff>
    </xdr:from>
    <xdr:to>
      <xdr:col>17</xdr:col>
      <xdr:colOff>482600</xdr:colOff>
      <xdr:row>49</xdr:row>
      <xdr:rowOff>107950</xdr:rowOff>
    </xdr:to>
    <xdr:graphicFrame macro="">
      <xdr:nvGraphicFramePr>
        <xdr:cNvPr id="4" name="Chart 3">
          <a:extLst>
            <a:ext uri="{FF2B5EF4-FFF2-40B4-BE49-F238E27FC236}">
              <a16:creationId xmlns:a16="http://schemas.microsoft.com/office/drawing/2014/main" id="{FF3C4EBF-1B4D-F145-BA12-BC7176072F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482600</xdr:colOff>
      <xdr:row>47</xdr:row>
      <xdr:rowOff>31750</xdr:rowOff>
    </xdr:from>
    <xdr:to>
      <xdr:col>21</xdr:col>
      <xdr:colOff>101600</xdr:colOff>
      <xdr:row>60</xdr:row>
      <xdr:rowOff>133350</xdr:rowOff>
    </xdr:to>
    <xdr:graphicFrame macro="">
      <xdr:nvGraphicFramePr>
        <xdr:cNvPr id="5" name="Chart 4">
          <a:extLst>
            <a:ext uri="{FF2B5EF4-FFF2-40B4-BE49-F238E27FC236}">
              <a16:creationId xmlns:a16="http://schemas.microsoft.com/office/drawing/2014/main" id="{0EE7A37E-6533-3A4A-B447-A5CF3211B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222250</xdr:colOff>
      <xdr:row>61</xdr:row>
      <xdr:rowOff>260350</xdr:rowOff>
    </xdr:from>
    <xdr:to>
      <xdr:col>15</xdr:col>
      <xdr:colOff>666750</xdr:colOff>
      <xdr:row>75</xdr:row>
      <xdr:rowOff>133350</xdr:rowOff>
    </xdr:to>
    <xdr:graphicFrame macro="">
      <xdr:nvGraphicFramePr>
        <xdr:cNvPr id="6" name="Chart 5">
          <a:extLst>
            <a:ext uri="{FF2B5EF4-FFF2-40B4-BE49-F238E27FC236}">
              <a16:creationId xmlns:a16="http://schemas.microsoft.com/office/drawing/2014/main" id="{FB135A4A-C6FD-9043-9AAA-6253B8F133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723900</xdr:colOff>
      <xdr:row>77</xdr:row>
      <xdr:rowOff>107950</xdr:rowOff>
    </xdr:from>
    <xdr:to>
      <xdr:col>14</xdr:col>
      <xdr:colOff>342900</xdr:colOff>
      <xdr:row>90</xdr:row>
      <xdr:rowOff>184150</xdr:rowOff>
    </xdr:to>
    <xdr:graphicFrame macro="">
      <xdr:nvGraphicFramePr>
        <xdr:cNvPr id="7" name="Chart 6">
          <a:extLst>
            <a:ext uri="{FF2B5EF4-FFF2-40B4-BE49-F238E27FC236}">
              <a16:creationId xmlns:a16="http://schemas.microsoft.com/office/drawing/2014/main" id="{D139A1EA-EEEA-4A47-A550-DCC0CF973D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393700</xdr:colOff>
      <xdr:row>92</xdr:row>
      <xdr:rowOff>171450</xdr:rowOff>
    </xdr:from>
    <xdr:to>
      <xdr:col>14</xdr:col>
      <xdr:colOff>12700</xdr:colOff>
      <xdr:row>106</xdr:row>
      <xdr:rowOff>44450</xdr:rowOff>
    </xdr:to>
    <xdr:graphicFrame macro="">
      <xdr:nvGraphicFramePr>
        <xdr:cNvPr id="8" name="Chart 7">
          <a:extLst>
            <a:ext uri="{FF2B5EF4-FFF2-40B4-BE49-F238E27FC236}">
              <a16:creationId xmlns:a16="http://schemas.microsoft.com/office/drawing/2014/main" id="{65444E9B-E4A0-AA40-939F-2111593EFC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298450</xdr:colOff>
      <xdr:row>107</xdr:row>
      <xdr:rowOff>88900</xdr:rowOff>
    </xdr:from>
    <xdr:to>
      <xdr:col>15</xdr:col>
      <xdr:colOff>742950</xdr:colOff>
      <xdr:row>120</xdr:row>
      <xdr:rowOff>165100</xdr:rowOff>
    </xdr:to>
    <xdr:graphicFrame macro="">
      <xdr:nvGraphicFramePr>
        <xdr:cNvPr id="9" name="Chart 8">
          <a:extLst>
            <a:ext uri="{FF2B5EF4-FFF2-40B4-BE49-F238E27FC236}">
              <a16:creationId xmlns:a16="http://schemas.microsoft.com/office/drawing/2014/main" id="{5EA04D23-DC25-B645-86D0-B1865B6DA6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590550</xdr:colOff>
      <xdr:row>123</xdr:row>
      <xdr:rowOff>25400</xdr:rowOff>
    </xdr:from>
    <xdr:to>
      <xdr:col>16</xdr:col>
      <xdr:colOff>209550</xdr:colOff>
      <xdr:row>136</xdr:row>
      <xdr:rowOff>127000</xdr:rowOff>
    </xdr:to>
    <xdr:graphicFrame macro="">
      <xdr:nvGraphicFramePr>
        <xdr:cNvPr id="10" name="Chart 9">
          <a:extLst>
            <a:ext uri="{FF2B5EF4-FFF2-40B4-BE49-F238E27FC236}">
              <a16:creationId xmlns:a16="http://schemas.microsoft.com/office/drawing/2014/main" id="{A3A74BD4-0ECB-E24D-9FD7-23E49DB37F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107950</xdr:colOff>
      <xdr:row>139</xdr:row>
      <xdr:rowOff>38100</xdr:rowOff>
    </xdr:from>
    <xdr:to>
      <xdr:col>14</xdr:col>
      <xdr:colOff>552450</xdr:colOff>
      <xdr:row>152</xdr:row>
      <xdr:rowOff>114300</xdr:rowOff>
    </xdr:to>
    <xdr:graphicFrame macro="">
      <xdr:nvGraphicFramePr>
        <xdr:cNvPr id="11" name="Chart 10">
          <a:extLst>
            <a:ext uri="{FF2B5EF4-FFF2-40B4-BE49-F238E27FC236}">
              <a16:creationId xmlns:a16="http://schemas.microsoft.com/office/drawing/2014/main" id="{15A325C5-F0D8-2C47-B67E-C0A8C1F992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248591</xdr:colOff>
      <xdr:row>153</xdr:row>
      <xdr:rowOff>40922</xdr:rowOff>
    </xdr:from>
    <xdr:to>
      <xdr:col>24</xdr:col>
      <xdr:colOff>690739</xdr:colOff>
      <xdr:row>167</xdr:row>
      <xdr:rowOff>142522</xdr:rowOff>
    </xdr:to>
    <xdr:graphicFrame macro="">
      <xdr:nvGraphicFramePr>
        <xdr:cNvPr id="12" name="Chart 11">
          <a:extLst>
            <a:ext uri="{FF2B5EF4-FFF2-40B4-BE49-F238E27FC236}">
              <a16:creationId xmlns:a16="http://schemas.microsoft.com/office/drawing/2014/main" id="{BA0E230C-12E7-564C-8F22-FC19626897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107950</xdr:colOff>
      <xdr:row>165</xdr:row>
      <xdr:rowOff>133350</xdr:rowOff>
    </xdr:from>
    <xdr:to>
      <xdr:col>14</xdr:col>
      <xdr:colOff>552450</xdr:colOff>
      <xdr:row>179</xdr:row>
      <xdr:rowOff>6350</xdr:rowOff>
    </xdr:to>
    <xdr:graphicFrame macro="">
      <xdr:nvGraphicFramePr>
        <xdr:cNvPr id="13" name="Chart 12">
          <a:extLst>
            <a:ext uri="{FF2B5EF4-FFF2-40B4-BE49-F238E27FC236}">
              <a16:creationId xmlns:a16="http://schemas.microsoft.com/office/drawing/2014/main" id="{17604197-C013-D846-A652-757A3C900A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107950</xdr:colOff>
      <xdr:row>179</xdr:row>
      <xdr:rowOff>133350</xdr:rowOff>
    </xdr:from>
    <xdr:to>
      <xdr:col>14</xdr:col>
      <xdr:colOff>552450</xdr:colOff>
      <xdr:row>193</xdr:row>
      <xdr:rowOff>6350</xdr:rowOff>
    </xdr:to>
    <xdr:graphicFrame macro="">
      <xdr:nvGraphicFramePr>
        <xdr:cNvPr id="14" name="Chart 13">
          <a:extLst>
            <a:ext uri="{FF2B5EF4-FFF2-40B4-BE49-F238E27FC236}">
              <a16:creationId xmlns:a16="http://schemas.microsoft.com/office/drawing/2014/main" id="{D3302A27-E207-9847-B1C7-C1A652BD32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154987</xdr:colOff>
      <xdr:row>195</xdr:row>
      <xdr:rowOff>250943</xdr:rowOff>
    </xdr:from>
    <xdr:to>
      <xdr:col>14</xdr:col>
      <xdr:colOff>599487</xdr:colOff>
      <xdr:row>208</xdr:row>
      <xdr:rowOff>323850</xdr:rowOff>
    </xdr:to>
    <xdr:graphicFrame macro="">
      <xdr:nvGraphicFramePr>
        <xdr:cNvPr id="15" name="Chart 14">
          <a:extLst>
            <a:ext uri="{FF2B5EF4-FFF2-40B4-BE49-F238E27FC236}">
              <a16:creationId xmlns:a16="http://schemas.microsoft.com/office/drawing/2014/main" id="{8099FDDD-7556-DD4B-B1D4-6B7FA0FF8A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544454</xdr:colOff>
      <xdr:row>218</xdr:row>
      <xdr:rowOff>76200</xdr:rowOff>
    </xdr:from>
    <xdr:to>
      <xdr:col>27</xdr:col>
      <xdr:colOff>258704</xdr:colOff>
      <xdr:row>239</xdr:row>
      <xdr:rowOff>139700</xdr:rowOff>
    </xdr:to>
    <xdr:graphicFrame macro="">
      <xdr:nvGraphicFramePr>
        <xdr:cNvPr id="16" name="Chart 15">
          <a:extLst>
            <a:ext uri="{FF2B5EF4-FFF2-40B4-BE49-F238E27FC236}">
              <a16:creationId xmlns:a16="http://schemas.microsoft.com/office/drawing/2014/main" id="{73B4D187-75ED-FC4A-9C21-FB9EA432FE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360069</xdr:colOff>
      <xdr:row>204</xdr:row>
      <xdr:rowOff>141582</xdr:rowOff>
    </xdr:from>
    <xdr:to>
      <xdr:col>25</xdr:col>
      <xdr:colOff>804569</xdr:colOff>
      <xdr:row>218</xdr:row>
      <xdr:rowOff>14582</xdr:rowOff>
    </xdr:to>
    <xdr:graphicFrame macro="">
      <xdr:nvGraphicFramePr>
        <xdr:cNvPr id="17" name="Chart 16">
          <a:extLst>
            <a:ext uri="{FF2B5EF4-FFF2-40B4-BE49-F238E27FC236}">
              <a16:creationId xmlns:a16="http://schemas.microsoft.com/office/drawing/2014/main" id="{10863C3D-9E05-6E44-BD90-51C2D6EABE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107950</xdr:colOff>
      <xdr:row>226</xdr:row>
      <xdr:rowOff>158750</xdr:rowOff>
    </xdr:from>
    <xdr:to>
      <xdr:col>14</xdr:col>
      <xdr:colOff>552450</xdr:colOff>
      <xdr:row>240</xdr:row>
      <xdr:rowOff>31750</xdr:rowOff>
    </xdr:to>
    <xdr:graphicFrame macro="">
      <xdr:nvGraphicFramePr>
        <xdr:cNvPr id="18" name="Chart 17">
          <a:extLst>
            <a:ext uri="{FF2B5EF4-FFF2-40B4-BE49-F238E27FC236}">
              <a16:creationId xmlns:a16="http://schemas.microsoft.com/office/drawing/2014/main" id="{078284D5-2F10-A94C-A99D-781A947DB1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19</xdr:col>
      <xdr:colOff>397001</xdr:colOff>
      <xdr:row>248</xdr:row>
      <xdr:rowOff>58980</xdr:rowOff>
    </xdr:from>
    <xdr:to>
      <xdr:col>25</xdr:col>
      <xdr:colOff>18352</xdr:colOff>
      <xdr:row>261</xdr:row>
      <xdr:rowOff>365433</xdr:rowOff>
    </xdr:to>
    <xdr:graphicFrame macro="">
      <xdr:nvGraphicFramePr>
        <xdr:cNvPr id="19" name="Chart 18">
          <a:extLst>
            <a:ext uri="{FF2B5EF4-FFF2-40B4-BE49-F238E27FC236}">
              <a16:creationId xmlns:a16="http://schemas.microsoft.com/office/drawing/2014/main" id="{40D4E991-12E0-0048-BB63-80C90949D3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418629</xdr:colOff>
      <xdr:row>261</xdr:row>
      <xdr:rowOff>121827</xdr:rowOff>
    </xdr:from>
    <xdr:to>
      <xdr:col>11</xdr:col>
      <xdr:colOff>51740</xdr:colOff>
      <xdr:row>272</xdr:row>
      <xdr:rowOff>430859</xdr:rowOff>
    </xdr:to>
    <xdr:graphicFrame macro="">
      <xdr:nvGraphicFramePr>
        <xdr:cNvPr id="20" name="Chart 19">
          <a:extLst>
            <a:ext uri="{FF2B5EF4-FFF2-40B4-BE49-F238E27FC236}">
              <a16:creationId xmlns:a16="http://schemas.microsoft.com/office/drawing/2014/main" id="{AEE16522-0C1E-D147-932E-B207593F93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794926</xdr:colOff>
      <xdr:row>261</xdr:row>
      <xdr:rowOff>280575</xdr:rowOff>
    </xdr:from>
    <xdr:to>
      <xdr:col>25</xdr:col>
      <xdr:colOff>428037</xdr:colOff>
      <xdr:row>274</xdr:row>
      <xdr:rowOff>189794</xdr:rowOff>
    </xdr:to>
    <xdr:graphicFrame macro="">
      <xdr:nvGraphicFramePr>
        <xdr:cNvPr id="21" name="Chart 20">
          <a:extLst>
            <a:ext uri="{FF2B5EF4-FFF2-40B4-BE49-F238E27FC236}">
              <a16:creationId xmlns:a16="http://schemas.microsoft.com/office/drawing/2014/main" id="{42CCEEF6-AA7E-8C40-A644-F8937257B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xdr:col>
      <xdr:colOff>183443</xdr:colOff>
      <xdr:row>273</xdr:row>
      <xdr:rowOff>98307</xdr:rowOff>
    </xdr:from>
    <xdr:to>
      <xdr:col>10</xdr:col>
      <xdr:colOff>639703</xdr:colOff>
      <xdr:row>287</xdr:row>
      <xdr:rowOff>42803</xdr:rowOff>
    </xdr:to>
    <xdr:graphicFrame macro="">
      <xdr:nvGraphicFramePr>
        <xdr:cNvPr id="22" name="Chart 21">
          <a:extLst>
            <a:ext uri="{FF2B5EF4-FFF2-40B4-BE49-F238E27FC236}">
              <a16:creationId xmlns:a16="http://schemas.microsoft.com/office/drawing/2014/main" id="{76243A2A-CD39-F747-9BD7-7B2B1D9BA4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25</xdr:col>
      <xdr:colOff>265759</xdr:colOff>
      <xdr:row>10</xdr:row>
      <xdr:rowOff>133585</xdr:rowOff>
    </xdr:from>
    <xdr:to>
      <xdr:col>30</xdr:col>
      <xdr:colOff>722018</xdr:colOff>
      <xdr:row>24</xdr:row>
      <xdr:rowOff>42803</xdr:rowOff>
    </xdr:to>
    <xdr:graphicFrame macro="">
      <xdr:nvGraphicFramePr>
        <xdr:cNvPr id="23" name="Chart 22">
          <a:extLst>
            <a:ext uri="{FF2B5EF4-FFF2-40B4-BE49-F238E27FC236}">
              <a16:creationId xmlns:a16="http://schemas.microsoft.com/office/drawing/2014/main" id="{18E752EE-F94C-3544-A811-081C9DB146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254000</xdr:colOff>
      <xdr:row>299</xdr:row>
      <xdr:rowOff>39511</xdr:rowOff>
    </xdr:from>
    <xdr:to>
      <xdr:col>13</xdr:col>
      <xdr:colOff>710259</xdr:colOff>
      <xdr:row>311</xdr:row>
      <xdr:rowOff>148637</xdr:rowOff>
    </xdr:to>
    <xdr:graphicFrame macro="">
      <xdr:nvGraphicFramePr>
        <xdr:cNvPr id="24" name="Chart 23">
          <a:extLst>
            <a:ext uri="{FF2B5EF4-FFF2-40B4-BE49-F238E27FC236}">
              <a16:creationId xmlns:a16="http://schemas.microsoft.com/office/drawing/2014/main" id="{8F943E63-973A-FB4D-8BD8-4E9367EFC7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348074</xdr:colOff>
      <xdr:row>283</xdr:row>
      <xdr:rowOff>27752</xdr:rowOff>
    </xdr:from>
    <xdr:to>
      <xdr:col>14</xdr:col>
      <xdr:colOff>804333</xdr:colOff>
      <xdr:row>295</xdr:row>
      <xdr:rowOff>136878</xdr:rowOff>
    </xdr:to>
    <xdr:graphicFrame macro="">
      <xdr:nvGraphicFramePr>
        <xdr:cNvPr id="25" name="Chart 24">
          <a:extLst>
            <a:ext uri="{FF2B5EF4-FFF2-40B4-BE49-F238E27FC236}">
              <a16:creationId xmlns:a16="http://schemas.microsoft.com/office/drawing/2014/main" id="{B049D01B-3B49-9945-937E-F8B2F48E9A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47</xdr:col>
      <xdr:colOff>42334</xdr:colOff>
      <xdr:row>11</xdr:row>
      <xdr:rowOff>4232</xdr:rowOff>
    </xdr:from>
    <xdr:to>
      <xdr:col>52</xdr:col>
      <xdr:colOff>498593</xdr:colOff>
      <xdr:row>23</xdr:row>
      <xdr:rowOff>313265</xdr:rowOff>
    </xdr:to>
    <xdr:graphicFrame macro="">
      <xdr:nvGraphicFramePr>
        <xdr:cNvPr id="26" name="Chart 25">
          <a:extLst>
            <a:ext uri="{FF2B5EF4-FFF2-40B4-BE49-F238E27FC236}">
              <a16:creationId xmlns:a16="http://schemas.microsoft.com/office/drawing/2014/main" id="{59A6574A-D0A2-C64D-BD46-BEAE0CD63E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46</xdr:col>
      <xdr:colOff>265759</xdr:colOff>
      <xdr:row>10</xdr:row>
      <xdr:rowOff>133585</xdr:rowOff>
    </xdr:from>
    <xdr:to>
      <xdr:col>51</xdr:col>
      <xdr:colOff>722018</xdr:colOff>
      <xdr:row>23</xdr:row>
      <xdr:rowOff>7525</xdr:rowOff>
    </xdr:to>
    <xdr:graphicFrame macro="">
      <xdr:nvGraphicFramePr>
        <xdr:cNvPr id="27" name="Chart 26">
          <a:extLst>
            <a:ext uri="{FF2B5EF4-FFF2-40B4-BE49-F238E27FC236}">
              <a16:creationId xmlns:a16="http://schemas.microsoft.com/office/drawing/2014/main" id="{1A56B79B-3F5A-544A-A44C-19D8C00DF1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44</xdr:col>
      <xdr:colOff>530342</xdr:colOff>
      <xdr:row>14</xdr:row>
      <xdr:rowOff>192381</xdr:rowOff>
    </xdr:from>
    <xdr:to>
      <xdr:col>50</xdr:col>
      <xdr:colOff>163453</xdr:colOff>
      <xdr:row>27</xdr:row>
      <xdr:rowOff>66322</xdr:rowOff>
    </xdr:to>
    <xdr:graphicFrame macro="">
      <xdr:nvGraphicFramePr>
        <xdr:cNvPr id="28" name="Chart 27">
          <a:extLst>
            <a:ext uri="{FF2B5EF4-FFF2-40B4-BE49-F238E27FC236}">
              <a16:creationId xmlns:a16="http://schemas.microsoft.com/office/drawing/2014/main" id="{2B926492-52D8-3649-A221-E6E6EA6087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19</xdr:col>
      <xdr:colOff>248121</xdr:colOff>
      <xdr:row>183</xdr:row>
      <xdr:rowOff>4233</xdr:rowOff>
    </xdr:from>
    <xdr:to>
      <xdr:col>25</xdr:col>
      <xdr:colOff>704381</xdr:colOff>
      <xdr:row>195</xdr:row>
      <xdr:rowOff>348545</xdr:rowOff>
    </xdr:to>
    <xdr:graphicFrame macro="">
      <xdr:nvGraphicFramePr>
        <xdr:cNvPr id="29" name="Chart 28">
          <a:extLst>
            <a:ext uri="{FF2B5EF4-FFF2-40B4-BE49-F238E27FC236}">
              <a16:creationId xmlns:a16="http://schemas.microsoft.com/office/drawing/2014/main" id="{BAC0AFFD-0614-6047-8AD7-84589600FF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8</xdr:col>
      <xdr:colOff>118768</xdr:colOff>
      <xdr:row>232</xdr:row>
      <xdr:rowOff>168864</xdr:rowOff>
    </xdr:from>
    <xdr:to>
      <xdr:col>14</xdr:col>
      <xdr:colOff>575028</xdr:colOff>
      <xdr:row>246</xdr:row>
      <xdr:rowOff>113359</xdr:rowOff>
    </xdr:to>
    <xdr:graphicFrame macro="">
      <xdr:nvGraphicFramePr>
        <xdr:cNvPr id="30" name="Chart 29">
          <a:extLst>
            <a:ext uri="{FF2B5EF4-FFF2-40B4-BE49-F238E27FC236}">
              <a16:creationId xmlns:a16="http://schemas.microsoft.com/office/drawing/2014/main" id="{4897BC69-4D1F-DC4C-8B4D-1B8130596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xdr:col>
      <xdr:colOff>12935</xdr:colOff>
      <xdr:row>250</xdr:row>
      <xdr:rowOff>15993</xdr:rowOff>
    </xdr:from>
    <xdr:to>
      <xdr:col>13</xdr:col>
      <xdr:colOff>469194</xdr:colOff>
      <xdr:row>262</xdr:row>
      <xdr:rowOff>125119</xdr:rowOff>
    </xdr:to>
    <xdr:graphicFrame macro="">
      <xdr:nvGraphicFramePr>
        <xdr:cNvPr id="31" name="Chart 30">
          <a:extLst>
            <a:ext uri="{FF2B5EF4-FFF2-40B4-BE49-F238E27FC236}">
              <a16:creationId xmlns:a16="http://schemas.microsoft.com/office/drawing/2014/main" id="{339E8208-5788-BF43-BBB6-3652E3C5C5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265759</xdr:colOff>
      <xdr:row>312</xdr:row>
      <xdr:rowOff>74788</xdr:rowOff>
    </xdr:from>
    <xdr:to>
      <xdr:col>12</xdr:col>
      <xdr:colOff>722018</xdr:colOff>
      <xdr:row>324</xdr:row>
      <xdr:rowOff>183913</xdr:rowOff>
    </xdr:to>
    <xdr:graphicFrame macro="">
      <xdr:nvGraphicFramePr>
        <xdr:cNvPr id="32" name="Chart 31">
          <a:extLst>
            <a:ext uri="{FF2B5EF4-FFF2-40B4-BE49-F238E27FC236}">
              <a16:creationId xmlns:a16="http://schemas.microsoft.com/office/drawing/2014/main" id="{51ECF64A-8C3D-5D4D-9E80-5B43F97834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265759</xdr:colOff>
      <xdr:row>58</xdr:row>
      <xdr:rowOff>133585</xdr:rowOff>
    </xdr:from>
    <xdr:to>
      <xdr:col>12</xdr:col>
      <xdr:colOff>722018</xdr:colOff>
      <xdr:row>71</xdr:row>
      <xdr:rowOff>42804</xdr:rowOff>
    </xdr:to>
    <xdr:graphicFrame macro="">
      <xdr:nvGraphicFramePr>
        <xdr:cNvPr id="33" name="Chart 32">
          <a:extLst>
            <a:ext uri="{FF2B5EF4-FFF2-40B4-BE49-F238E27FC236}">
              <a16:creationId xmlns:a16="http://schemas.microsoft.com/office/drawing/2014/main" id="{C968CBED-02D2-9D43-9689-F4E4A5C207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142287</xdr:colOff>
      <xdr:row>11</xdr:row>
      <xdr:rowOff>45390</xdr:rowOff>
    </xdr:from>
    <xdr:to>
      <xdr:col>10</xdr:col>
      <xdr:colOff>598547</xdr:colOff>
      <xdr:row>22</xdr:row>
      <xdr:rowOff>119238</xdr:rowOff>
    </xdr:to>
    <xdr:graphicFrame macro="">
      <xdr:nvGraphicFramePr>
        <xdr:cNvPr id="35" name="Chart 34">
          <a:extLst>
            <a:ext uri="{FF2B5EF4-FFF2-40B4-BE49-F238E27FC236}">
              <a16:creationId xmlns:a16="http://schemas.microsoft.com/office/drawing/2014/main" id="{BD13E21F-7F90-A945-BA80-D1A949058F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142287</xdr:colOff>
      <xdr:row>78</xdr:row>
      <xdr:rowOff>45391</xdr:rowOff>
    </xdr:from>
    <xdr:to>
      <xdr:col>17</xdr:col>
      <xdr:colOff>445676</xdr:colOff>
      <xdr:row>91</xdr:row>
      <xdr:rowOff>189795</xdr:rowOff>
    </xdr:to>
    <xdr:graphicFrame macro="">
      <xdr:nvGraphicFramePr>
        <xdr:cNvPr id="36" name="Chart 35">
          <a:extLst>
            <a:ext uri="{FF2B5EF4-FFF2-40B4-BE49-F238E27FC236}">
              <a16:creationId xmlns:a16="http://schemas.microsoft.com/office/drawing/2014/main" id="{BAEBD15E-E909-C146-B107-5C427A9824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12</xdr:col>
      <xdr:colOff>142287</xdr:colOff>
      <xdr:row>87</xdr:row>
      <xdr:rowOff>45391</xdr:rowOff>
    </xdr:from>
    <xdr:to>
      <xdr:col>17</xdr:col>
      <xdr:colOff>445676</xdr:colOff>
      <xdr:row>98</xdr:row>
      <xdr:rowOff>142758</xdr:rowOff>
    </xdr:to>
    <xdr:graphicFrame macro="">
      <xdr:nvGraphicFramePr>
        <xdr:cNvPr id="37" name="Chart 36">
          <a:extLst>
            <a:ext uri="{FF2B5EF4-FFF2-40B4-BE49-F238E27FC236}">
              <a16:creationId xmlns:a16="http://schemas.microsoft.com/office/drawing/2014/main" id="{139230B5-5CCA-494B-9085-808076A259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142287</xdr:colOff>
      <xdr:row>99</xdr:row>
      <xdr:rowOff>33631</xdr:rowOff>
    </xdr:from>
    <xdr:to>
      <xdr:col>17</xdr:col>
      <xdr:colOff>445676</xdr:colOff>
      <xdr:row>111</xdr:row>
      <xdr:rowOff>142757</xdr:rowOff>
    </xdr:to>
    <xdr:graphicFrame macro="">
      <xdr:nvGraphicFramePr>
        <xdr:cNvPr id="38" name="Chart 37">
          <a:extLst>
            <a:ext uri="{FF2B5EF4-FFF2-40B4-BE49-F238E27FC236}">
              <a16:creationId xmlns:a16="http://schemas.microsoft.com/office/drawing/2014/main" id="{44ED80E7-3827-F74E-9D15-F580864A94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9</xdr:col>
      <xdr:colOff>142287</xdr:colOff>
      <xdr:row>118</xdr:row>
      <xdr:rowOff>45390</xdr:rowOff>
    </xdr:from>
    <xdr:to>
      <xdr:col>14</xdr:col>
      <xdr:colOff>598546</xdr:colOff>
      <xdr:row>130</xdr:row>
      <xdr:rowOff>154516</xdr:rowOff>
    </xdr:to>
    <xdr:graphicFrame macro="">
      <xdr:nvGraphicFramePr>
        <xdr:cNvPr id="39" name="Chart 38">
          <a:extLst>
            <a:ext uri="{FF2B5EF4-FFF2-40B4-BE49-F238E27FC236}">
              <a16:creationId xmlns:a16="http://schemas.microsoft.com/office/drawing/2014/main" id="{058D7C20-801A-F24F-BBD6-24613A0B8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14</xdr:col>
      <xdr:colOff>142287</xdr:colOff>
      <xdr:row>140</xdr:row>
      <xdr:rowOff>45391</xdr:rowOff>
    </xdr:from>
    <xdr:to>
      <xdr:col>19</xdr:col>
      <xdr:colOff>445676</xdr:colOff>
      <xdr:row>153</xdr:row>
      <xdr:rowOff>189795</xdr:rowOff>
    </xdr:to>
    <xdr:graphicFrame macro="">
      <xdr:nvGraphicFramePr>
        <xdr:cNvPr id="40" name="Chart 39">
          <a:extLst>
            <a:ext uri="{FF2B5EF4-FFF2-40B4-BE49-F238E27FC236}">
              <a16:creationId xmlns:a16="http://schemas.microsoft.com/office/drawing/2014/main" id="{9EE025E1-749B-DD4E-A369-A66F574078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xdr:col>
      <xdr:colOff>201083</xdr:colOff>
      <xdr:row>153</xdr:row>
      <xdr:rowOff>92428</xdr:rowOff>
    </xdr:from>
    <xdr:to>
      <xdr:col>17</xdr:col>
      <xdr:colOff>504472</xdr:colOff>
      <xdr:row>163</xdr:row>
      <xdr:rowOff>178035</xdr:rowOff>
    </xdr:to>
    <xdr:graphicFrame macro="">
      <xdr:nvGraphicFramePr>
        <xdr:cNvPr id="41" name="Chart 40">
          <a:extLst>
            <a:ext uri="{FF2B5EF4-FFF2-40B4-BE49-F238E27FC236}">
              <a16:creationId xmlns:a16="http://schemas.microsoft.com/office/drawing/2014/main" id="{B06CB4B9-53C1-7240-87A5-B5DD182E1C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11</xdr:col>
      <xdr:colOff>142287</xdr:colOff>
      <xdr:row>162</xdr:row>
      <xdr:rowOff>21873</xdr:rowOff>
    </xdr:from>
    <xdr:to>
      <xdr:col>16</xdr:col>
      <xdr:colOff>598547</xdr:colOff>
      <xdr:row>174</xdr:row>
      <xdr:rowOff>130999</xdr:rowOff>
    </xdr:to>
    <xdr:graphicFrame macro="">
      <xdr:nvGraphicFramePr>
        <xdr:cNvPr id="42" name="Chart 41">
          <a:extLst>
            <a:ext uri="{FF2B5EF4-FFF2-40B4-BE49-F238E27FC236}">
              <a16:creationId xmlns:a16="http://schemas.microsoft.com/office/drawing/2014/main" id="{7DF283C9-EB1D-374E-AB56-B20D5814AD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8</xdr:col>
      <xdr:colOff>142287</xdr:colOff>
      <xdr:row>182</xdr:row>
      <xdr:rowOff>45391</xdr:rowOff>
    </xdr:from>
    <xdr:to>
      <xdr:col>13</xdr:col>
      <xdr:colOff>598546</xdr:colOff>
      <xdr:row>195</xdr:row>
      <xdr:rowOff>189795</xdr:rowOff>
    </xdr:to>
    <xdr:graphicFrame macro="">
      <xdr:nvGraphicFramePr>
        <xdr:cNvPr id="43" name="Chart 42">
          <a:extLst>
            <a:ext uri="{FF2B5EF4-FFF2-40B4-BE49-F238E27FC236}">
              <a16:creationId xmlns:a16="http://schemas.microsoft.com/office/drawing/2014/main" id="{13A45173-88AD-924E-800D-21DEC901B3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15</xdr:col>
      <xdr:colOff>530343</xdr:colOff>
      <xdr:row>197</xdr:row>
      <xdr:rowOff>10113</xdr:rowOff>
    </xdr:from>
    <xdr:to>
      <xdr:col>21</xdr:col>
      <xdr:colOff>10584</xdr:colOff>
      <xdr:row>209</xdr:row>
      <xdr:rowOff>119239</xdr:rowOff>
    </xdr:to>
    <xdr:graphicFrame macro="">
      <xdr:nvGraphicFramePr>
        <xdr:cNvPr id="44" name="Chart 43">
          <a:extLst>
            <a:ext uri="{FF2B5EF4-FFF2-40B4-BE49-F238E27FC236}">
              <a16:creationId xmlns:a16="http://schemas.microsoft.com/office/drawing/2014/main" id="{97D58933-2BAA-9D45-80C0-04B18A7B02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10</xdr:col>
      <xdr:colOff>142288</xdr:colOff>
      <xdr:row>263</xdr:row>
      <xdr:rowOff>45391</xdr:rowOff>
    </xdr:from>
    <xdr:to>
      <xdr:col>15</xdr:col>
      <xdr:colOff>598547</xdr:colOff>
      <xdr:row>275</xdr:row>
      <xdr:rowOff>154517</xdr:rowOff>
    </xdr:to>
    <xdr:graphicFrame macro="">
      <xdr:nvGraphicFramePr>
        <xdr:cNvPr id="48" name="Chart 47">
          <a:extLst>
            <a:ext uri="{FF2B5EF4-FFF2-40B4-BE49-F238E27FC236}">
              <a16:creationId xmlns:a16="http://schemas.microsoft.com/office/drawing/2014/main" id="{D0422A42-2D3A-E749-AE16-7F0975FD6B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10</xdr:col>
      <xdr:colOff>459788</xdr:colOff>
      <xdr:row>268</xdr:row>
      <xdr:rowOff>80669</xdr:rowOff>
    </xdr:from>
    <xdr:to>
      <xdr:col>16</xdr:col>
      <xdr:colOff>92899</xdr:colOff>
      <xdr:row>280</xdr:row>
      <xdr:rowOff>189795</xdr:rowOff>
    </xdr:to>
    <xdr:graphicFrame macro="">
      <xdr:nvGraphicFramePr>
        <xdr:cNvPr id="49" name="Chart 48">
          <a:extLst>
            <a:ext uri="{FF2B5EF4-FFF2-40B4-BE49-F238E27FC236}">
              <a16:creationId xmlns:a16="http://schemas.microsoft.com/office/drawing/2014/main" id="{38036EF1-30F4-BF46-A3B3-483EF9776AA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265759</xdr:colOff>
      <xdr:row>331</xdr:row>
      <xdr:rowOff>121826</xdr:rowOff>
    </xdr:from>
    <xdr:to>
      <xdr:col>12</xdr:col>
      <xdr:colOff>722018</xdr:colOff>
      <xdr:row>344</xdr:row>
      <xdr:rowOff>31045</xdr:rowOff>
    </xdr:to>
    <xdr:graphicFrame macro="">
      <xdr:nvGraphicFramePr>
        <xdr:cNvPr id="34" name="Chart 33">
          <a:extLst>
            <a:ext uri="{FF2B5EF4-FFF2-40B4-BE49-F238E27FC236}">
              <a16:creationId xmlns:a16="http://schemas.microsoft.com/office/drawing/2014/main" id="{F89B4781-4986-3E48-86E4-ADCED15891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10</xdr:col>
      <xdr:colOff>774120</xdr:colOff>
      <xdr:row>351</xdr:row>
      <xdr:rowOff>357010</xdr:rowOff>
    </xdr:from>
    <xdr:to>
      <xdr:col>16</xdr:col>
      <xdr:colOff>399995</xdr:colOff>
      <xdr:row>364</xdr:row>
      <xdr:rowOff>37376</xdr:rowOff>
    </xdr:to>
    <xdr:graphicFrame macro="">
      <xdr:nvGraphicFramePr>
        <xdr:cNvPr id="53" name="Chart 52">
          <a:extLst>
            <a:ext uri="{FF2B5EF4-FFF2-40B4-BE49-F238E27FC236}">
              <a16:creationId xmlns:a16="http://schemas.microsoft.com/office/drawing/2014/main" id="{3992F04C-4443-0548-9669-317495AF0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52</xdr:col>
      <xdr:colOff>77610</xdr:colOff>
      <xdr:row>33</xdr:row>
      <xdr:rowOff>133584</xdr:rowOff>
    </xdr:from>
    <xdr:to>
      <xdr:col>57</xdr:col>
      <xdr:colOff>533869</xdr:colOff>
      <xdr:row>46</xdr:row>
      <xdr:rowOff>31043</xdr:rowOff>
    </xdr:to>
    <xdr:graphicFrame macro="">
      <xdr:nvGraphicFramePr>
        <xdr:cNvPr id="54" name="Chart 53">
          <a:extLst>
            <a:ext uri="{FF2B5EF4-FFF2-40B4-BE49-F238E27FC236}">
              <a16:creationId xmlns:a16="http://schemas.microsoft.com/office/drawing/2014/main" id="{0993954F-2E2D-4C4E-9604-9601867706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12</xdr:col>
      <xdr:colOff>307369</xdr:colOff>
      <xdr:row>329</xdr:row>
      <xdr:rowOff>75692</xdr:rowOff>
    </xdr:from>
    <xdr:to>
      <xdr:col>17</xdr:col>
      <xdr:colOff>624325</xdr:colOff>
      <xdr:row>341</xdr:row>
      <xdr:rowOff>171250</xdr:rowOff>
    </xdr:to>
    <xdr:graphicFrame macro="">
      <xdr:nvGraphicFramePr>
        <xdr:cNvPr id="55" name="Chart 54">
          <a:extLst>
            <a:ext uri="{FF2B5EF4-FFF2-40B4-BE49-F238E27FC236}">
              <a16:creationId xmlns:a16="http://schemas.microsoft.com/office/drawing/2014/main" id="{E51986D5-5E08-144A-9292-9A6A455B83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7</xdr:col>
      <xdr:colOff>265759</xdr:colOff>
      <xdr:row>326</xdr:row>
      <xdr:rowOff>121826</xdr:rowOff>
    </xdr:from>
    <xdr:to>
      <xdr:col>12</xdr:col>
      <xdr:colOff>722018</xdr:colOff>
      <xdr:row>339</xdr:row>
      <xdr:rowOff>31045</xdr:rowOff>
    </xdr:to>
    <xdr:graphicFrame macro="">
      <xdr:nvGraphicFramePr>
        <xdr:cNvPr id="56" name="Chart 55">
          <a:extLst>
            <a:ext uri="{FF2B5EF4-FFF2-40B4-BE49-F238E27FC236}">
              <a16:creationId xmlns:a16="http://schemas.microsoft.com/office/drawing/2014/main" id="{243CEF23-BCB6-B74A-86FF-5EFE533414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7</xdr:col>
      <xdr:colOff>265759</xdr:colOff>
      <xdr:row>295</xdr:row>
      <xdr:rowOff>45391</xdr:rowOff>
    </xdr:from>
    <xdr:to>
      <xdr:col>12</xdr:col>
      <xdr:colOff>722018</xdr:colOff>
      <xdr:row>307</xdr:row>
      <xdr:rowOff>154517</xdr:rowOff>
    </xdr:to>
    <xdr:graphicFrame macro="">
      <xdr:nvGraphicFramePr>
        <xdr:cNvPr id="58" name="Chart 57">
          <a:extLst>
            <a:ext uri="{FF2B5EF4-FFF2-40B4-BE49-F238E27FC236}">
              <a16:creationId xmlns:a16="http://schemas.microsoft.com/office/drawing/2014/main" id="{28B36597-D848-1C4B-AAC6-3A82EA145C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46</xdr:col>
      <xdr:colOff>265759</xdr:colOff>
      <xdr:row>45</xdr:row>
      <xdr:rowOff>121825</xdr:rowOff>
    </xdr:from>
    <xdr:to>
      <xdr:col>51</xdr:col>
      <xdr:colOff>722018</xdr:colOff>
      <xdr:row>56</xdr:row>
      <xdr:rowOff>195674</xdr:rowOff>
    </xdr:to>
    <xdr:graphicFrame macro="">
      <xdr:nvGraphicFramePr>
        <xdr:cNvPr id="45" name="Chart 44">
          <a:extLst>
            <a:ext uri="{FF2B5EF4-FFF2-40B4-BE49-F238E27FC236}">
              <a16:creationId xmlns:a16="http://schemas.microsoft.com/office/drawing/2014/main" id="{DD3AD907-C85A-A440-8CA9-54E3BC8797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7</xdr:col>
      <xdr:colOff>265759</xdr:colOff>
      <xdr:row>356</xdr:row>
      <xdr:rowOff>33632</xdr:rowOff>
    </xdr:from>
    <xdr:to>
      <xdr:col>12</xdr:col>
      <xdr:colOff>722018</xdr:colOff>
      <xdr:row>368</xdr:row>
      <xdr:rowOff>142758</xdr:rowOff>
    </xdr:to>
    <xdr:graphicFrame macro="">
      <xdr:nvGraphicFramePr>
        <xdr:cNvPr id="46" name="Chart 45">
          <a:extLst>
            <a:ext uri="{FF2B5EF4-FFF2-40B4-BE49-F238E27FC236}">
              <a16:creationId xmlns:a16="http://schemas.microsoft.com/office/drawing/2014/main" id="{662D20B6-E666-004A-9504-19A5959B56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630296</xdr:colOff>
      <xdr:row>373</xdr:row>
      <xdr:rowOff>174742</xdr:rowOff>
    </xdr:from>
    <xdr:to>
      <xdr:col>12</xdr:col>
      <xdr:colOff>263407</xdr:colOff>
      <xdr:row>386</xdr:row>
      <xdr:rowOff>83961</xdr:rowOff>
    </xdr:to>
    <xdr:graphicFrame macro="">
      <xdr:nvGraphicFramePr>
        <xdr:cNvPr id="47" name="Chart 46">
          <a:extLst>
            <a:ext uri="{FF2B5EF4-FFF2-40B4-BE49-F238E27FC236}">
              <a16:creationId xmlns:a16="http://schemas.microsoft.com/office/drawing/2014/main" id="{1B0C86C2-D570-3442-8FDE-A00A3FF911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7</xdr:col>
      <xdr:colOff>506824</xdr:colOff>
      <xdr:row>387</xdr:row>
      <xdr:rowOff>68908</xdr:rowOff>
    </xdr:from>
    <xdr:to>
      <xdr:col>13</xdr:col>
      <xdr:colOff>139935</xdr:colOff>
      <xdr:row>399</xdr:row>
      <xdr:rowOff>178034</xdr:rowOff>
    </xdr:to>
    <xdr:graphicFrame macro="">
      <xdr:nvGraphicFramePr>
        <xdr:cNvPr id="50" name="Chart 49">
          <a:extLst>
            <a:ext uri="{FF2B5EF4-FFF2-40B4-BE49-F238E27FC236}">
              <a16:creationId xmlns:a16="http://schemas.microsoft.com/office/drawing/2014/main" id="{7D14C49B-E94D-704E-AE00-C49BF22E12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7</xdr:col>
      <xdr:colOff>265759</xdr:colOff>
      <xdr:row>394</xdr:row>
      <xdr:rowOff>133585</xdr:rowOff>
    </xdr:from>
    <xdr:to>
      <xdr:col>12</xdr:col>
      <xdr:colOff>722018</xdr:colOff>
      <xdr:row>407</xdr:row>
      <xdr:rowOff>42804</xdr:rowOff>
    </xdr:to>
    <xdr:graphicFrame macro="">
      <xdr:nvGraphicFramePr>
        <xdr:cNvPr id="51" name="Chart 50">
          <a:extLst>
            <a:ext uri="{FF2B5EF4-FFF2-40B4-BE49-F238E27FC236}">
              <a16:creationId xmlns:a16="http://schemas.microsoft.com/office/drawing/2014/main" id="{DE272A00-E1A1-7E45-B63F-F1DCBD7880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7</xdr:col>
      <xdr:colOff>265759</xdr:colOff>
      <xdr:row>394</xdr:row>
      <xdr:rowOff>133585</xdr:rowOff>
    </xdr:from>
    <xdr:to>
      <xdr:col>12</xdr:col>
      <xdr:colOff>722018</xdr:colOff>
      <xdr:row>407</xdr:row>
      <xdr:rowOff>42804</xdr:rowOff>
    </xdr:to>
    <xdr:graphicFrame macro="">
      <xdr:nvGraphicFramePr>
        <xdr:cNvPr id="52" name="Chart 51">
          <a:extLst>
            <a:ext uri="{FF2B5EF4-FFF2-40B4-BE49-F238E27FC236}">
              <a16:creationId xmlns:a16="http://schemas.microsoft.com/office/drawing/2014/main" id="{565BAC6E-BEF3-5646-B485-5314E360AD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265759</xdr:colOff>
      <xdr:row>402</xdr:row>
      <xdr:rowOff>121826</xdr:rowOff>
    </xdr:from>
    <xdr:to>
      <xdr:col>12</xdr:col>
      <xdr:colOff>722018</xdr:colOff>
      <xdr:row>415</xdr:row>
      <xdr:rowOff>31045</xdr:rowOff>
    </xdr:to>
    <xdr:graphicFrame macro="">
      <xdr:nvGraphicFramePr>
        <xdr:cNvPr id="57" name="Chart 56">
          <a:extLst>
            <a:ext uri="{FF2B5EF4-FFF2-40B4-BE49-F238E27FC236}">
              <a16:creationId xmlns:a16="http://schemas.microsoft.com/office/drawing/2014/main" id="{E0FB98AD-4107-9E45-813C-F2E210AFC8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xdr:col>
      <xdr:colOff>30574</xdr:colOff>
      <xdr:row>426</xdr:row>
      <xdr:rowOff>45391</xdr:rowOff>
    </xdr:from>
    <xdr:to>
      <xdr:col>8</xdr:col>
      <xdr:colOff>486833</xdr:colOff>
      <xdr:row>439</xdr:row>
      <xdr:rowOff>189795</xdr:rowOff>
    </xdr:to>
    <xdr:graphicFrame macro="">
      <xdr:nvGraphicFramePr>
        <xdr:cNvPr id="59" name="Chart 58">
          <a:extLst>
            <a:ext uri="{FF2B5EF4-FFF2-40B4-BE49-F238E27FC236}">
              <a16:creationId xmlns:a16="http://schemas.microsoft.com/office/drawing/2014/main" id="{F85ADF0A-8A78-BCF6-C947-421F7E24D2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712611</xdr:colOff>
      <xdr:row>434</xdr:row>
      <xdr:rowOff>39511</xdr:rowOff>
    </xdr:from>
    <xdr:to>
      <xdr:col>14</xdr:col>
      <xdr:colOff>345722</xdr:colOff>
      <xdr:row>447</xdr:row>
      <xdr:rowOff>183914</xdr:rowOff>
    </xdr:to>
    <xdr:graphicFrame macro="">
      <xdr:nvGraphicFramePr>
        <xdr:cNvPr id="60" name="Chart 59">
          <a:extLst>
            <a:ext uri="{FF2B5EF4-FFF2-40B4-BE49-F238E27FC236}">
              <a16:creationId xmlns:a16="http://schemas.microsoft.com/office/drawing/2014/main" id="{75ADDAFE-2F49-0572-36BC-1E05CDD767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25</xdr:col>
      <xdr:colOff>791306</xdr:colOff>
      <xdr:row>427</xdr:row>
      <xdr:rowOff>8304</xdr:rowOff>
    </xdr:from>
    <xdr:to>
      <xdr:col>32</xdr:col>
      <xdr:colOff>502092</xdr:colOff>
      <xdr:row>445</xdr:row>
      <xdr:rowOff>162442</xdr:rowOff>
    </xdr:to>
    <xdr:graphicFrame macro="">
      <xdr:nvGraphicFramePr>
        <xdr:cNvPr id="61" name="Chart 60">
          <a:extLst>
            <a:ext uri="{FF2B5EF4-FFF2-40B4-BE49-F238E27FC236}">
              <a16:creationId xmlns:a16="http://schemas.microsoft.com/office/drawing/2014/main" id="{21A5BBAC-E814-A38B-2E04-0CB01A4B92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505047</xdr:colOff>
      <xdr:row>450</xdr:row>
      <xdr:rowOff>31307</xdr:rowOff>
    </xdr:from>
    <xdr:to>
      <xdr:col>13</xdr:col>
      <xdr:colOff>115186</xdr:colOff>
      <xdr:row>462</xdr:row>
      <xdr:rowOff>72065</xdr:rowOff>
    </xdr:to>
    <xdr:graphicFrame macro="">
      <xdr:nvGraphicFramePr>
        <xdr:cNvPr id="62" name="Chart 61">
          <a:extLst>
            <a:ext uri="{FF2B5EF4-FFF2-40B4-BE49-F238E27FC236}">
              <a16:creationId xmlns:a16="http://schemas.microsoft.com/office/drawing/2014/main" id="{7B4EDF88-4BA5-B8EF-A1DF-5D0716E2FD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56</xdr:col>
      <xdr:colOff>32488</xdr:colOff>
      <xdr:row>56</xdr:row>
      <xdr:rowOff>134680</xdr:rowOff>
    </xdr:from>
    <xdr:to>
      <xdr:col>61</xdr:col>
      <xdr:colOff>469604</xdr:colOff>
      <xdr:row>66</xdr:row>
      <xdr:rowOff>145903</xdr:rowOff>
    </xdr:to>
    <xdr:graphicFrame macro="">
      <xdr:nvGraphicFramePr>
        <xdr:cNvPr id="63" name="Chart 62">
          <a:extLst>
            <a:ext uri="{FF2B5EF4-FFF2-40B4-BE49-F238E27FC236}">
              <a16:creationId xmlns:a16="http://schemas.microsoft.com/office/drawing/2014/main" id="{A4C7E5BC-1F09-D601-A322-8DE0958A6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50</xdr:col>
      <xdr:colOff>756093</xdr:colOff>
      <xdr:row>53</xdr:row>
      <xdr:rowOff>164214</xdr:rowOff>
    </xdr:from>
    <xdr:to>
      <xdr:col>56</xdr:col>
      <xdr:colOff>366233</xdr:colOff>
      <xdr:row>63</xdr:row>
      <xdr:rowOff>175438</xdr:rowOff>
    </xdr:to>
    <xdr:graphicFrame macro="">
      <xdr:nvGraphicFramePr>
        <xdr:cNvPr id="64" name="Chart 63">
          <a:extLst>
            <a:ext uri="{FF2B5EF4-FFF2-40B4-BE49-F238E27FC236}">
              <a16:creationId xmlns:a16="http://schemas.microsoft.com/office/drawing/2014/main" id="{64F32332-CF8A-A454-4D51-F843C42DEA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549349</xdr:colOff>
      <xdr:row>463</xdr:row>
      <xdr:rowOff>164214</xdr:rowOff>
    </xdr:from>
    <xdr:to>
      <xdr:col>12</xdr:col>
      <xdr:colOff>159488</xdr:colOff>
      <xdr:row>474</xdr:row>
      <xdr:rowOff>190205</xdr:rowOff>
    </xdr:to>
    <xdr:graphicFrame macro="">
      <xdr:nvGraphicFramePr>
        <xdr:cNvPr id="66" name="Chart 65">
          <a:extLst>
            <a:ext uri="{FF2B5EF4-FFF2-40B4-BE49-F238E27FC236}">
              <a16:creationId xmlns:a16="http://schemas.microsoft.com/office/drawing/2014/main" id="{D1EE29AB-5932-E559-0F07-2320634862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7</xdr:col>
      <xdr:colOff>187547</xdr:colOff>
      <xdr:row>468</xdr:row>
      <xdr:rowOff>164214</xdr:rowOff>
    </xdr:from>
    <xdr:to>
      <xdr:col>12</xdr:col>
      <xdr:colOff>624663</xdr:colOff>
      <xdr:row>479</xdr:row>
      <xdr:rowOff>190204</xdr:rowOff>
    </xdr:to>
    <xdr:graphicFrame macro="">
      <xdr:nvGraphicFramePr>
        <xdr:cNvPr id="67" name="Chart 66">
          <a:extLst>
            <a:ext uri="{FF2B5EF4-FFF2-40B4-BE49-F238E27FC236}">
              <a16:creationId xmlns:a16="http://schemas.microsoft.com/office/drawing/2014/main" id="{9E7F3DCE-9C11-5980-4F69-CDC4324D71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7</xdr:col>
      <xdr:colOff>187547</xdr:colOff>
      <xdr:row>488</xdr:row>
      <xdr:rowOff>370958</xdr:rowOff>
    </xdr:from>
    <xdr:to>
      <xdr:col>12</xdr:col>
      <xdr:colOff>624663</xdr:colOff>
      <xdr:row>500</xdr:row>
      <xdr:rowOff>190204</xdr:rowOff>
    </xdr:to>
    <xdr:graphicFrame macro="">
      <xdr:nvGraphicFramePr>
        <xdr:cNvPr id="68" name="Chart 67">
          <a:extLst>
            <a:ext uri="{FF2B5EF4-FFF2-40B4-BE49-F238E27FC236}">
              <a16:creationId xmlns:a16="http://schemas.microsoft.com/office/drawing/2014/main" id="{1460A7DC-771C-7DD3-89B2-933908D0F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748710</xdr:colOff>
      <xdr:row>500</xdr:row>
      <xdr:rowOff>400492</xdr:rowOff>
    </xdr:from>
    <xdr:to>
      <xdr:col>12</xdr:col>
      <xdr:colOff>358849</xdr:colOff>
      <xdr:row>513</xdr:row>
      <xdr:rowOff>12995</xdr:rowOff>
    </xdr:to>
    <xdr:graphicFrame macro="">
      <xdr:nvGraphicFramePr>
        <xdr:cNvPr id="69" name="Chart 68">
          <a:extLst>
            <a:ext uri="{FF2B5EF4-FFF2-40B4-BE49-F238E27FC236}">
              <a16:creationId xmlns:a16="http://schemas.microsoft.com/office/drawing/2014/main" id="{47CE37C0-FE0A-2859-07B7-55471D25B5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61</xdr:col>
      <xdr:colOff>419100</xdr:colOff>
      <xdr:row>19</xdr:row>
      <xdr:rowOff>196850</xdr:rowOff>
    </xdr:from>
    <xdr:to>
      <xdr:col>67</xdr:col>
      <xdr:colOff>38100</xdr:colOff>
      <xdr:row>33</xdr:row>
      <xdr:rowOff>95250</xdr:rowOff>
    </xdr:to>
    <xdr:graphicFrame macro="">
      <xdr:nvGraphicFramePr>
        <xdr:cNvPr id="2" name="Chart 1">
          <a:extLst>
            <a:ext uri="{FF2B5EF4-FFF2-40B4-BE49-F238E27FC236}">
              <a16:creationId xmlns:a16="http://schemas.microsoft.com/office/drawing/2014/main" id="{D4FF2D05-B6BD-F048-8A56-4EFBF81358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260350</xdr:colOff>
      <xdr:row>13</xdr:row>
      <xdr:rowOff>31750</xdr:rowOff>
    </xdr:from>
    <xdr:to>
      <xdr:col>55</xdr:col>
      <xdr:colOff>704850</xdr:colOff>
      <xdr:row>26</xdr:row>
      <xdr:rowOff>133350</xdr:rowOff>
    </xdr:to>
    <xdr:graphicFrame macro="">
      <xdr:nvGraphicFramePr>
        <xdr:cNvPr id="3" name="Chart 2">
          <a:extLst>
            <a:ext uri="{FF2B5EF4-FFF2-40B4-BE49-F238E27FC236}">
              <a16:creationId xmlns:a16="http://schemas.microsoft.com/office/drawing/2014/main" id="{0819CCEE-B4A3-9CBE-E894-F728C4069B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457200</xdr:colOff>
      <xdr:row>17</xdr:row>
      <xdr:rowOff>50800</xdr:rowOff>
    </xdr:from>
    <xdr:to>
      <xdr:col>48</xdr:col>
      <xdr:colOff>76200</xdr:colOff>
      <xdr:row>30</xdr:row>
      <xdr:rowOff>152400</xdr:rowOff>
    </xdr:to>
    <xdr:graphicFrame macro="">
      <xdr:nvGraphicFramePr>
        <xdr:cNvPr id="4" name="Chart 3">
          <a:extLst>
            <a:ext uri="{FF2B5EF4-FFF2-40B4-BE49-F238E27FC236}">
              <a16:creationId xmlns:a16="http://schemas.microsoft.com/office/drawing/2014/main" id="{13DE24D6-422C-D0B6-4944-52E98FA856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78</xdr:col>
      <xdr:colOff>0</xdr:colOff>
      <xdr:row>14</xdr:row>
      <xdr:rowOff>196850</xdr:rowOff>
    </xdr:from>
    <xdr:to>
      <xdr:col>86</xdr:col>
      <xdr:colOff>190500</xdr:colOff>
      <xdr:row>33</xdr:row>
      <xdr:rowOff>177800</xdr:rowOff>
    </xdr:to>
    <xdr:graphicFrame macro="">
      <xdr:nvGraphicFramePr>
        <xdr:cNvPr id="2" name="Chart 1">
          <a:extLst>
            <a:ext uri="{FF2B5EF4-FFF2-40B4-BE49-F238E27FC236}">
              <a16:creationId xmlns:a16="http://schemas.microsoft.com/office/drawing/2014/main" id="{C96A804F-0DA7-BE46-802E-D6457E2853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125</xdr:col>
      <xdr:colOff>76200</xdr:colOff>
      <xdr:row>14</xdr:row>
      <xdr:rowOff>63500</xdr:rowOff>
    </xdr:from>
    <xdr:to>
      <xdr:col>131</xdr:col>
      <xdr:colOff>584200</xdr:colOff>
      <xdr:row>33</xdr:row>
      <xdr:rowOff>165100</xdr:rowOff>
    </xdr:to>
    <xdr:graphicFrame macro="">
      <xdr:nvGraphicFramePr>
        <xdr:cNvPr id="3" name="Chart 2">
          <a:extLst>
            <a:ext uri="{FF2B5EF4-FFF2-40B4-BE49-F238E27FC236}">
              <a16:creationId xmlns:a16="http://schemas.microsoft.com/office/drawing/2014/main" id="{9E52559A-699A-E4A6-E7DD-BC41D36771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141</xdr:col>
      <xdr:colOff>393700</xdr:colOff>
      <xdr:row>15</xdr:row>
      <xdr:rowOff>139700</xdr:rowOff>
    </xdr:from>
    <xdr:to>
      <xdr:col>148</xdr:col>
      <xdr:colOff>444500</xdr:colOff>
      <xdr:row>36</xdr:row>
      <xdr:rowOff>101600</xdr:rowOff>
    </xdr:to>
    <xdr:graphicFrame macro="">
      <xdr:nvGraphicFramePr>
        <xdr:cNvPr id="4" name="Chart 3">
          <a:extLst>
            <a:ext uri="{FF2B5EF4-FFF2-40B4-BE49-F238E27FC236}">
              <a16:creationId xmlns:a16="http://schemas.microsoft.com/office/drawing/2014/main" id="{6AA8C377-66B8-571B-B56F-AB84A85A74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131</xdr:col>
      <xdr:colOff>723900</xdr:colOff>
      <xdr:row>16</xdr:row>
      <xdr:rowOff>152400</xdr:rowOff>
    </xdr:from>
    <xdr:to>
      <xdr:col>141</xdr:col>
      <xdr:colOff>50800</xdr:colOff>
      <xdr:row>38</xdr:row>
      <xdr:rowOff>152400</xdr:rowOff>
    </xdr:to>
    <xdr:graphicFrame macro="">
      <xdr:nvGraphicFramePr>
        <xdr:cNvPr id="5" name="Chart 4">
          <a:extLst>
            <a:ext uri="{FF2B5EF4-FFF2-40B4-BE49-F238E27FC236}">
              <a16:creationId xmlns:a16="http://schemas.microsoft.com/office/drawing/2014/main" id="{BD0670EB-757D-E88B-BB17-F58BE344AC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55</xdr:col>
      <xdr:colOff>704850</xdr:colOff>
      <xdr:row>17</xdr:row>
      <xdr:rowOff>139700</xdr:rowOff>
    </xdr:from>
    <xdr:to>
      <xdr:col>61</xdr:col>
      <xdr:colOff>323850</xdr:colOff>
      <xdr:row>31</xdr:row>
      <xdr:rowOff>38100</xdr:rowOff>
    </xdr:to>
    <xdr:graphicFrame macro="">
      <xdr:nvGraphicFramePr>
        <xdr:cNvPr id="2" name="Chart 1">
          <a:extLst>
            <a:ext uri="{FF2B5EF4-FFF2-40B4-BE49-F238E27FC236}">
              <a16:creationId xmlns:a16="http://schemas.microsoft.com/office/drawing/2014/main" id="{DB9C5FB3-84B8-4F0F-D8CD-7DB41AB428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118</xdr:col>
      <xdr:colOff>273050</xdr:colOff>
      <xdr:row>16</xdr:row>
      <xdr:rowOff>25400</xdr:rowOff>
    </xdr:from>
    <xdr:to>
      <xdr:col>123</xdr:col>
      <xdr:colOff>717550</xdr:colOff>
      <xdr:row>29</xdr:row>
      <xdr:rowOff>127000</xdr:rowOff>
    </xdr:to>
    <xdr:graphicFrame macro="">
      <xdr:nvGraphicFramePr>
        <xdr:cNvPr id="6" name="Chart 5">
          <a:extLst>
            <a:ext uri="{FF2B5EF4-FFF2-40B4-BE49-F238E27FC236}">
              <a16:creationId xmlns:a16="http://schemas.microsoft.com/office/drawing/2014/main" id="{7E9E34B7-292F-BD72-0662-B1618CB400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372</xdr:col>
      <xdr:colOff>0</xdr:colOff>
      <xdr:row>11</xdr:row>
      <xdr:rowOff>197223</xdr:rowOff>
    </xdr:from>
    <xdr:to>
      <xdr:col>377</xdr:col>
      <xdr:colOff>463177</xdr:colOff>
      <xdr:row>25</xdr:row>
      <xdr:rowOff>11952</xdr:rowOff>
    </xdr:to>
    <xdr:graphicFrame macro="">
      <xdr:nvGraphicFramePr>
        <xdr:cNvPr id="2" name="Chart 1">
          <a:extLst>
            <a:ext uri="{FF2B5EF4-FFF2-40B4-BE49-F238E27FC236}">
              <a16:creationId xmlns:a16="http://schemas.microsoft.com/office/drawing/2014/main" id="{FAD4B7C3-310F-3EEA-4C17-F2C6AF6E0D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377</xdr:col>
      <xdr:colOff>463177</xdr:colOff>
      <xdr:row>11</xdr:row>
      <xdr:rowOff>182282</xdr:rowOff>
    </xdr:from>
    <xdr:to>
      <xdr:col>383</xdr:col>
      <xdr:colOff>104589</xdr:colOff>
      <xdr:row>24</xdr:row>
      <xdr:rowOff>206188</xdr:rowOff>
    </xdr:to>
    <xdr:graphicFrame macro="">
      <xdr:nvGraphicFramePr>
        <xdr:cNvPr id="3" name="Chart 2">
          <a:extLst>
            <a:ext uri="{FF2B5EF4-FFF2-40B4-BE49-F238E27FC236}">
              <a16:creationId xmlns:a16="http://schemas.microsoft.com/office/drawing/2014/main" id="{73C1491A-6C8D-8E26-194B-51D50574C7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383</xdr:col>
      <xdr:colOff>268941</xdr:colOff>
      <xdr:row>11</xdr:row>
      <xdr:rowOff>197223</xdr:rowOff>
    </xdr:from>
    <xdr:to>
      <xdr:col>388</xdr:col>
      <xdr:colOff>732117</xdr:colOff>
      <xdr:row>25</xdr:row>
      <xdr:rowOff>11952</xdr:rowOff>
    </xdr:to>
    <xdr:graphicFrame macro="">
      <xdr:nvGraphicFramePr>
        <xdr:cNvPr id="4" name="Chart 3">
          <a:extLst>
            <a:ext uri="{FF2B5EF4-FFF2-40B4-BE49-F238E27FC236}">
              <a16:creationId xmlns:a16="http://schemas.microsoft.com/office/drawing/2014/main" id="{E83E5CAA-F304-C75E-9E5C-00E507F11A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376</xdr:col>
      <xdr:colOff>582705</xdr:colOff>
      <xdr:row>27</xdr:row>
      <xdr:rowOff>77694</xdr:rowOff>
    </xdr:from>
    <xdr:to>
      <xdr:col>385</xdr:col>
      <xdr:colOff>761999</xdr:colOff>
      <xdr:row>50</xdr:row>
      <xdr:rowOff>209176</xdr:rowOff>
    </xdr:to>
    <xdr:graphicFrame macro="">
      <xdr:nvGraphicFramePr>
        <xdr:cNvPr id="5" name="Chart 4">
          <a:extLst>
            <a:ext uri="{FF2B5EF4-FFF2-40B4-BE49-F238E27FC236}">
              <a16:creationId xmlns:a16="http://schemas.microsoft.com/office/drawing/2014/main" id="{68CFD0F3-B674-95F9-A4B8-B527BD86C2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367</xdr:col>
      <xdr:colOff>89647</xdr:colOff>
      <xdr:row>28</xdr:row>
      <xdr:rowOff>32871</xdr:rowOff>
    </xdr:from>
    <xdr:to>
      <xdr:col>376</xdr:col>
      <xdr:colOff>59767</xdr:colOff>
      <xdr:row>51</xdr:row>
      <xdr:rowOff>149412</xdr:rowOff>
    </xdr:to>
    <xdr:graphicFrame macro="">
      <xdr:nvGraphicFramePr>
        <xdr:cNvPr id="6" name="Chart 5">
          <a:extLst>
            <a:ext uri="{FF2B5EF4-FFF2-40B4-BE49-F238E27FC236}">
              <a16:creationId xmlns:a16="http://schemas.microsoft.com/office/drawing/2014/main" id="{649EF43D-B799-1265-4E2E-47A7E2EB6A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51</xdr:col>
      <xdr:colOff>287422</xdr:colOff>
      <xdr:row>7</xdr:row>
      <xdr:rowOff>179136</xdr:rowOff>
    </xdr:from>
    <xdr:to>
      <xdr:col>60</xdr:col>
      <xdr:colOff>708526</xdr:colOff>
      <xdr:row>38</xdr:row>
      <xdr:rowOff>0</xdr:rowOff>
    </xdr:to>
    <xdr:graphicFrame macro="">
      <xdr:nvGraphicFramePr>
        <xdr:cNvPr id="3" name="Chart 2">
          <a:extLst>
            <a:ext uri="{FF2B5EF4-FFF2-40B4-BE49-F238E27FC236}">
              <a16:creationId xmlns:a16="http://schemas.microsoft.com/office/drawing/2014/main" id="{67126EE0-B1A0-674D-96DA-A4186B6CEA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112</xdr:col>
      <xdr:colOff>233945</xdr:colOff>
      <xdr:row>55</xdr:row>
      <xdr:rowOff>192505</xdr:rowOff>
    </xdr:from>
    <xdr:to>
      <xdr:col>124</xdr:col>
      <xdr:colOff>828840</xdr:colOff>
      <xdr:row>86</xdr:row>
      <xdr:rowOff>13368</xdr:rowOff>
    </xdr:to>
    <xdr:graphicFrame macro="">
      <xdr:nvGraphicFramePr>
        <xdr:cNvPr id="4" name="Chart 3">
          <a:extLst>
            <a:ext uri="{FF2B5EF4-FFF2-40B4-BE49-F238E27FC236}">
              <a16:creationId xmlns:a16="http://schemas.microsoft.com/office/drawing/2014/main" id="{153C3E4D-1749-946E-9974-49AD60E4E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107950</xdr:colOff>
      <xdr:row>48</xdr:row>
      <xdr:rowOff>127000</xdr:rowOff>
    </xdr:from>
    <xdr:to>
      <xdr:col>17</xdr:col>
      <xdr:colOff>381000</xdr:colOff>
      <xdr:row>71</xdr:row>
      <xdr:rowOff>114300</xdr:rowOff>
    </xdr:to>
    <xdr:graphicFrame macro="">
      <xdr:nvGraphicFramePr>
        <xdr:cNvPr id="2" name="Chart 1">
          <a:extLst>
            <a:ext uri="{FF2B5EF4-FFF2-40B4-BE49-F238E27FC236}">
              <a16:creationId xmlns:a16="http://schemas.microsoft.com/office/drawing/2014/main" id="{5607BB39-1599-0C83-8BF6-C9C68A3833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177800</xdr:colOff>
      <xdr:row>45</xdr:row>
      <xdr:rowOff>158750</xdr:rowOff>
    </xdr:from>
    <xdr:to>
      <xdr:col>16</xdr:col>
      <xdr:colOff>114300</xdr:colOff>
      <xdr:row>80</xdr:row>
      <xdr:rowOff>50800</xdr:rowOff>
    </xdr:to>
    <xdr:graphicFrame macro="">
      <xdr:nvGraphicFramePr>
        <xdr:cNvPr id="2" name="Chart 1">
          <a:extLst>
            <a:ext uri="{FF2B5EF4-FFF2-40B4-BE49-F238E27FC236}">
              <a16:creationId xmlns:a16="http://schemas.microsoft.com/office/drawing/2014/main" id="{72DCEAE4-69EF-7F4B-B99D-C79D1871BB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1168400</xdr:colOff>
      <xdr:row>38</xdr:row>
      <xdr:rowOff>177800</xdr:rowOff>
    </xdr:from>
    <xdr:to>
      <xdr:col>33</xdr:col>
      <xdr:colOff>444500</xdr:colOff>
      <xdr:row>67</xdr:row>
      <xdr:rowOff>196850</xdr:rowOff>
    </xdr:to>
    <xdr:graphicFrame macro="">
      <xdr:nvGraphicFramePr>
        <xdr:cNvPr id="3" name="Chart 2">
          <a:extLst>
            <a:ext uri="{FF2B5EF4-FFF2-40B4-BE49-F238E27FC236}">
              <a16:creationId xmlns:a16="http://schemas.microsoft.com/office/drawing/2014/main" id="{A425D147-6CB8-084B-9564-531DE7D916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66</xdr:col>
      <xdr:colOff>1873250</xdr:colOff>
      <xdr:row>59</xdr:row>
      <xdr:rowOff>47625</xdr:rowOff>
    </xdr:from>
    <xdr:to>
      <xdr:col>78</xdr:col>
      <xdr:colOff>142875</xdr:colOff>
      <xdr:row>84</xdr:row>
      <xdr:rowOff>142875</xdr:rowOff>
    </xdr:to>
    <xdr:graphicFrame macro="">
      <xdr:nvGraphicFramePr>
        <xdr:cNvPr id="11" name="Chart 10">
          <a:extLst>
            <a:ext uri="{FF2B5EF4-FFF2-40B4-BE49-F238E27FC236}">
              <a16:creationId xmlns:a16="http://schemas.microsoft.com/office/drawing/2014/main" id="{24755906-A4D8-6F4B-9943-22FD0E80D1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85</xdr:col>
      <xdr:colOff>293688</xdr:colOff>
      <xdr:row>59</xdr:row>
      <xdr:rowOff>57149</xdr:rowOff>
    </xdr:from>
    <xdr:to>
      <xdr:col>94</xdr:col>
      <xdr:colOff>31750</xdr:colOff>
      <xdr:row>80</xdr:row>
      <xdr:rowOff>190499</xdr:rowOff>
    </xdr:to>
    <xdr:graphicFrame macro="">
      <xdr:nvGraphicFramePr>
        <xdr:cNvPr id="14" name="Chart 13">
          <a:extLst>
            <a:ext uri="{FF2B5EF4-FFF2-40B4-BE49-F238E27FC236}">
              <a16:creationId xmlns:a16="http://schemas.microsoft.com/office/drawing/2014/main" id="{8BC9333D-AF27-7F4F-9E73-2AFFE2A96D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78</xdr:col>
      <xdr:colOff>515938</xdr:colOff>
      <xdr:row>59</xdr:row>
      <xdr:rowOff>57150</xdr:rowOff>
    </xdr:from>
    <xdr:to>
      <xdr:col>85</xdr:col>
      <xdr:colOff>317500</xdr:colOff>
      <xdr:row>79</xdr:row>
      <xdr:rowOff>127000</xdr:rowOff>
    </xdr:to>
    <xdr:graphicFrame macro="">
      <xdr:nvGraphicFramePr>
        <xdr:cNvPr id="15" name="Chart 14">
          <a:extLst>
            <a:ext uri="{FF2B5EF4-FFF2-40B4-BE49-F238E27FC236}">
              <a16:creationId xmlns:a16="http://schemas.microsoft.com/office/drawing/2014/main" id="{6682A9E7-5EC8-0D47-8060-7FC6AF8319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77</xdr:col>
      <xdr:colOff>460374</xdr:colOff>
      <xdr:row>81</xdr:row>
      <xdr:rowOff>168274</xdr:rowOff>
    </xdr:from>
    <xdr:to>
      <xdr:col>85</xdr:col>
      <xdr:colOff>412749</xdr:colOff>
      <xdr:row>105</xdr:row>
      <xdr:rowOff>95249</xdr:rowOff>
    </xdr:to>
    <xdr:graphicFrame macro="">
      <xdr:nvGraphicFramePr>
        <xdr:cNvPr id="16" name="Chart 15">
          <a:extLst>
            <a:ext uri="{FF2B5EF4-FFF2-40B4-BE49-F238E27FC236}">
              <a16:creationId xmlns:a16="http://schemas.microsoft.com/office/drawing/2014/main" id="{474A3F91-AF0A-2F40-9072-AFB1A3C0B1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666749</xdr:colOff>
      <xdr:row>82</xdr:row>
      <xdr:rowOff>158750</xdr:rowOff>
    </xdr:from>
    <xdr:to>
      <xdr:col>94</xdr:col>
      <xdr:colOff>666750</xdr:colOff>
      <xdr:row>105</xdr:row>
      <xdr:rowOff>79375</xdr:rowOff>
    </xdr:to>
    <xdr:graphicFrame macro="">
      <xdr:nvGraphicFramePr>
        <xdr:cNvPr id="18" name="Chart 17">
          <a:extLst>
            <a:ext uri="{FF2B5EF4-FFF2-40B4-BE49-F238E27FC236}">
              <a16:creationId xmlns:a16="http://schemas.microsoft.com/office/drawing/2014/main" id="{35AF2013-BE5E-1A4D-B0A6-2A6225F4E2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73</xdr:col>
      <xdr:colOff>142875</xdr:colOff>
      <xdr:row>72</xdr:row>
      <xdr:rowOff>15874</xdr:rowOff>
    </xdr:from>
    <xdr:to>
      <xdr:col>77</xdr:col>
      <xdr:colOff>222250</xdr:colOff>
      <xdr:row>80</xdr:row>
      <xdr:rowOff>126999</xdr:rowOff>
    </xdr:to>
    <xdr:sp macro="" textlink="">
      <xdr:nvSpPr>
        <xdr:cNvPr id="20" name="TextBox 19">
          <a:extLst>
            <a:ext uri="{FF2B5EF4-FFF2-40B4-BE49-F238E27FC236}">
              <a16:creationId xmlns:a16="http://schemas.microsoft.com/office/drawing/2014/main" id="{B7285B97-9C7E-FE4E-8C94-A651E72D945E}"/>
            </a:ext>
          </a:extLst>
        </xdr:cNvPr>
        <xdr:cNvSpPr txBox="1"/>
      </xdr:nvSpPr>
      <xdr:spPr>
        <a:xfrm>
          <a:off x="67897375" y="15605124"/>
          <a:ext cx="3381375"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There is a slight relationship between time and the % of TOC in influent</a:t>
          </a:r>
          <a:r>
            <a:rPr lang="en-US" sz="1100" baseline="0"/>
            <a:t> that reaches the effluent. At the ignition points- places where a new concentration of TOC is introduced- a lower percentage of the influent TOC reaches the effluent. But at both low and high TOC concentrations, between 50-70% of the influent TOC reaches the effluent. So there's a high initial capture, but then a stable amount of capture.</a:t>
          </a:r>
          <a:endParaRPr lang="en-US" sz="1100"/>
        </a:p>
      </xdr:txBody>
    </xdr:sp>
    <xdr:clientData/>
  </xdr:twoCellAnchor>
  <xdr:twoCellAnchor>
    <xdr:from>
      <xdr:col>66</xdr:col>
      <xdr:colOff>1905000</xdr:colOff>
      <xdr:row>86</xdr:row>
      <xdr:rowOff>15875</xdr:rowOff>
    </xdr:from>
    <xdr:to>
      <xdr:col>76</xdr:col>
      <xdr:colOff>269875</xdr:colOff>
      <xdr:row>113</xdr:row>
      <xdr:rowOff>53975</xdr:rowOff>
    </xdr:to>
    <xdr:graphicFrame macro="">
      <xdr:nvGraphicFramePr>
        <xdr:cNvPr id="4" name="Chart 3">
          <a:extLst>
            <a:ext uri="{FF2B5EF4-FFF2-40B4-BE49-F238E27FC236}">
              <a16:creationId xmlns:a16="http://schemas.microsoft.com/office/drawing/2014/main" id="{2798AD84-7570-D1EB-40BF-CDEC1FE7F3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95</xdr:col>
      <xdr:colOff>285749</xdr:colOff>
      <xdr:row>82</xdr:row>
      <xdr:rowOff>158749</xdr:rowOff>
    </xdr:from>
    <xdr:to>
      <xdr:col>103</xdr:col>
      <xdr:colOff>666750</xdr:colOff>
      <xdr:row>105</xdr:row>
      <xdr:rowOff>190499</xdr:rowOff>
    </xdr:to>
    <xdr:graphicFrame macro="">
      <xdr:nvGraphicFramePr>
        <xdr:cNvPr id="5" name="Chart 4">
          <a:extLst>
            <a:ext uri="{FF2B5EF4-FFF2-40B4-BE49-F238E27FC236}">
              <a16:creationId xmlns:a16="http://schemas.microsoft.com/office/drawing/2014/main" id="{D232D7E6-CC66-29FD-D56F-F339BB8C38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0.11497</cdr:x>
      <cdr:y>0.1054</cdr:y>
    </cdr:from>
    <cdr:to>
      <cdr:x>0.53362</cdr:x>
      <cdr:y>0.47625</cdr:y>
    </cdr:to>
    <cdr:sp macro="" textlink="">
      <cdr:nvSpPr>
        <cdr:cNvPr id="2" name="TextBox 1">
          <a:extLst xmlns:a="http://schemas.openxmlformats.org/drawingml/2006/main">
            <a:ext uri="{FF2B5EF4-FFF2-40B4-BE49-F238E27FC236}">
              <a16:creationId xmlns:a16="http://schemas.microsoft.com/office/drawing/2014/main" id="{DF7CD9A3-ED21-034B-9C32-242ADDC9B7DF}"/>
            </a:ext>
          </a:extLst>
        </cdr:cNvPr>
        <cdr:cNvSpPr txBox="1"/>
      </cdr:nvSpPr>
      <cdr:spPr>
        <a:xfrm xmlns:a="http://schemas.openxmlformats.org/drawingml/2006/main">
          <a:off x="841376" y="514351"/>
          <a:ext cx="3063875" cy="1809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The difference between influent and effluent becomes more variable at higher TOC influent concentrations (after ~1600 hours). The difference is lower for Set 1 than for Set 2. Because later the absolute TOC value of the influent is higher, the higher difference actually works out to a pretty stable "% of influent". This presentation of data is similar to the % of Tank data, just a different way of showing it.</a:t>
          </a:r>
        </a:p>
      </cdr:txBody>
    </cdr:sp>
  </cdr:relSizeAnchor>
</c:userShapes>
</file>

<file path=xl/drawings/drawing18.xml><?xml version="1.0" encoding="utf-8"?>
<c:userShapes xmlns:c="http://schemas.openxmlformats.org/drawingml/2006/chart">
  <cdr:relSizeAnchor xmlns:cdr="http://schemas.openxmlformats.org/drawingml/2006/chartDrawing">
    <cdr:from>
      <cdr:x>0.11895</cdr:x>
      <cdr:y>0.15646</cdr:y>
    </cdr:from>
    <cdr:to>
      <cdr:x>0.62097</cdr:x>
      <cdr:y>0.65306</cdr:y>
    </cdr:to>
    <cdr:sp macro="" textlink="">
      <cdr:nvSpPr>
        <cdr:cNvPr id="2" name="TextBox 1">
          <a:extLst xmlns:a="http://schemas.openxmlformats.org/drawingml/2006/main">
            <a:ext uri="{FF2B5EF4-FFF2-40B4-BE49-F238E27FC236}">
              <a16:creationId xmlns:a16="http://schemas.microsoft.com/office/drawing/2014/main" id="{51313452-A8A6-DE45-B880-14B996CE181D}"/>
            </a:ext>
          </a:extLst>
        </cdr:cNvPr>
        <cdr:cNvSpPr txBox="1"/>
      </cdr:nvSpPr>
      <cdr:spPr>
        <a:xfrm xmlns:a="http://schemas.openxmlformats.org/drawingml/2006/main">
          <a:off x="936626" y="730250"/>
          <a:ext cx="3952875" cy="2317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There is a strong linear relationship between the absolute value of the influent TOC and the measured difference between the values of influent and effluent TOC at a given point. As the amount of influent TOC increases, more</a:t>
          </a:r>
          <a:r>
            <a:rPr lang="en-US" sz="1100" baseline="0"/>
            <a:t> absolute TOC is retained by the columns, and the absolute difference between mg/L in and mg/L out also goes up. </a:t>
          </a:r>
          <a:r>
            <a:rPr lang="en-US" sz="1100"/>
            <a:t>This observation suggests that the % of Tank data actually ought to be *more* stable than it appears; the columns retain a consistant *percentage* of the influent, not a consistant *amount*. For Set 1 here the slope of the relationship is 0.49.</a:t>
          </a:r>
        </a:p>
      </cdr:txBody>
    </cdr:sp>
  </cdr:relSizeAnchor>
</c:userShapes>
</file>

<file path=xl/drawings/drawing19.xml><?xml version="1.0" encoding="utf-8"?>
<c:userShapes xmlns:c="http://schemas.openxmlformats.org/drawingml/2006/chart">
  <cdr:relSizeAnchor xmlns:cdr="http://schemas.openxmlformats.org/drawingml/2006/chartDrawing">
    <cdr:from>
      <cdr:x>0.3791</cdr:x>
      <cdr:y>0.52066</cdr:y>
    </cdr:from>
    <cdr:to>
      <cdr:x>0.81557</cdr:x>
      <cdr:y>0.88002</cdr:y>
    </cdr:to>
    <cdr:sp macro="" textlink="">
      <cdr:nvSpPr>
        <cdr:cNvPr id="2" name="TextBox 1">
          <a:extLst xmlns:a="http://schemas.openxmlformats.org/drawingml/2006/main">
            <a:ext uri="{FF2B5EF4-FFF2-40B4-BE49-F238E27FC236}">
              <a16:creationId xmlns:a16="http://schemas.microsoft.com/office/drawing/2014/main" id="{F5E8E134-6CD5-EA1E-FEE7-362BE53476E6}"/>
            </a:ext>
          </a:extLst>
        </cdr:cNvPr>
        <cdr:cNvSpPr txBox="1"/>
      </cdr:nvSpPr>
      <cdr:spPr>
        <a:xfrm xmlns:a="http://schemas.openxmlformats.org/drawingml/2006/main">
          <a:off x="2936875" y="2920999"/>
          <a:ext cx="3381375" cy="2016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There doesn't seem to be much correlation between how much of the tank TOC makes it to the effluent</a:t>
          </a:r>
          <a:r>
            <a:rPr lang="en-US" sz="1100" baseline="0"/>
            <a:t> (% of tank) and the absolute value of how much TOC was in the tank to begin with. The %of TOC that passes the columns is slightly higher in very general when the feedstock is more concentrated, but not a lot higher nor universally so. Also the low absolute tank concetration also happens at the earlier time, which might play a more important role in % of tank in effluent than the absolute value itself</a:t>
          </a:r>
          <a:endParaRPr lang="en-US" sz="1100"/>
        </a:p>
      </cdr:txBody>
    </cdr:sp>
  </cdr:relSizeAnchor>
</c:userShapes>
</file>

<file path=xl/drawings/drawing2.xml><?xml version="1.0" encoding="utf-8"?>
<xdr:wsDr xmlns:xdr="http://schemas.openxmlformats.org/drawingml/2006/spreadsheetDrawing" xmlns:a="http://schemas.openxmlformats.org/drawingml/2006/main">
  <xdr:twoCellAnchor>
    <xdr:from>
      <xdr:col>83</xdr:col>
      <xdr:colOff>546100</xdr:colOff>
      <xdr:row>10</xdr:row>
      <xdr:rowOff>88900</xdr:rowOff>
    </xdr:from>
    <xdr:to>
      <xdr:col>94</xdr:col>
      <xdr:colOff>469900</xdr:colOff>
      <xdr:row>23</xdr:row>
      <xdr:rowOff>273050</xdr:rowOff>
    </xdr:to>
    <xdr:graphicFrame macro="">
      <xdr:nvGraphicFramePr>
        <xdr:cNvPr id="3" name="Chart 2">
          <a:extLst>
            <a:ext uri="{FF2B5EF4-FFF2-40B4-BE49-F238E27FC236}">
              <a16:creationId xmlns:a16="http://schemas.microsoft.com/office/drawing/2014/main" id="{0D4A393E-F09E-AF43-AC38-7C7A0E7C2C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70</xdr:col>
      <xdr:colOff>625542</xdr:colOff>
      <xdr:row>17</xdr:row>
      <xdr:rowOff>202390</xdr:rowOff>
    </xdr:from>
    <xdr:to>
      <xdr:col>76</xdr:col>
      <xdr:colOff>252649</xdr:colOff>
      <xdr:row>23</xdr:row>
      <xdr:rowOff>351548</xdr:rowOff>
    </xdr:to>
    <xdr:graphicFrame macro="">
      <xdr:nvGraphicFramePr>
        <xdr:cNvPr id="2" name="Chart 1">
          <a:extLst>
            <a:ext uri="{FF2B5EF4-FFF2-40B4-BE49-F238E27FC236}">
              <a16:creationId xmlns:a16="http://schemas.microsoft.com/office/drawing/2014/main" id="{39CA8FA8-617E-1B4A-B5C9-CCD1A363DF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179691</xdr:colOff>
      <xdr:row>36</xdr:row>
      <xdr:rowOff>378028</xdr:rowOff>
    </xdr:from>
    <xdr:to>
      <xdr:col>15</xdr:col>
      <xdr:colOff>630946</xdr:colOff>
      <xdr:row>42</xdr:row>
      <xdr:rowOff>311015</xdr:rowOff>
    </xdr:to>
    <xdr:graphicFrame macro="">
      <xdr:nvGraphicFramePr>
        <xdr:cNvPr id="4" name="Chart 3">
          <a:extLst>
            <a:ext uri="{FF2B5EF4-FFF2-40B4-BE49-F238E27FC236}">
              <a16:creationId xmlns:a16="http://schemas.microsoft.com/office/drawing/2014/main" id="{AD9B114A-45A7-804B-A616-A673C2E7AA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0.20455</cdr:x>
      <cdr:y>0.18605</cdr:y>
    </cdr:from>
    <cdr:to>
      <cdr:x>0.625</cdr:x>
      <cdr:y>0.49834</cdr:y>
    </cdr:to>
    <cdr:sp macro="" textlink="">
      <cdr:nvSpPr>
        <cdr:cNvPr id="2" name="TextBox 1">
          <a:extLst xmlns:a="http://schemas.openxmlformats.org/drawingml/2006/main">
            <a:ext uri="{FF2B5EF4-FFF2-40B4-BE49-F238E27FC236}">
              <a16:creationId xmlns:a16="http://schemas.microsoft.com/office/drawing/2014/main" id="{2A8BDC6D-4AF3-167E-3D2B-3C205F87C136}"/>
            </a:ext>
          </a:extLst>
        </cdr:cNvPr>
        <cdr:cNvSpPr txBox="1"/>
      </cdr:nvSpPr>
      <cdr:spPr>
        <a:xfrm xmlns:a="http://schemas.openxmlformats.org/drawingml/2006/main">
          <a:off x="1428751" y="889001"/>
          <a:ext cx="2936875" cy="1492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No correlation between % of TOC passing from tank through column and the absolute starting concentration of TOC in the tank. Can take this as an average over time and absolute concentration</a:t>
          </a:r>
        </a:p>
      </cdr:txBody>
    </cdr:sp>
  </cdr:relSizeAnchor>
</c:userShapes>
</file>

<file path=xl/drawings/drawing21.xml><?xml version="1.0" encoding="utf-8"?>
<xdr:wsDr xmlns:xdr="http://schemas.openxmlformats.org/drawingml/2006/spreadsheetDrawing" xmlns:a="http://schemas.openxmlformats.org/drawingml/2006/main">
  <xdr:twoCellAnchor>
    <xdr:from>
      <xdr:col>43</xdr:col>
      <xdr:colOff>120650</xdr:colOff>
      <xdr:row>21</xdr:row>
      <xdr:rowOff>146050</xdr:rowOff>
    </xdr:from>
    <xdr:to>
      <xdr:col>50</xdr:col>
      <xdr:colOff>241300</xdr:colOff>
      <xdr:row>42</xdr:row>
      <xdr:rowOff>101600</xdr:rowOff>
    </xdr:to>
    <xdr:graphicFrame macro="">
      <xdr:nvGraphicFramePr>
        <xdr:cNvPr id="2" name="Chart 1">
          <a:extLst>
            <a:ext uri="{FF2B5EF4-FFF2-40B4-BE49-F238E27FC236}">
              <a16:creationId xmlns:a16="http://schemas.microsoft.com/office/drawing/2014/main" id="{E185C8E6-8443-964E-923C-250EB1444B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273050</xdr:colOff>
      <xdr:row>21</xdr:row>
      <xdr:rowOff>146050</xdr:rowOff>
    </xdr:from>
    <xdr:to>
      <xdr:col>57</xdr:col>
      <xdr:colOff>139700</xdr:colOff>
      <xdr:row>41</xdr:row>
      <xdr:rowOff>127000</xdr:rowOff>
    </xdr:to>
    <xdr:graphicFrame macro="">
      <xdr:nvGraphicFramePr>
        <xdr:cNvPr id="3" name="Chart 2">
          <a:extLst>
            <a:ext uri="{FF2B5EF4-FFF2-40B4-BE49-F238E27FC236}">
              <a16:creationId xmlns:a16="http://schemas.microsoft.com/office/drawing/2014/main" id="{6094F2A3-5C19-F54B-A140-79320618976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400050</xdr:colOff>
      <xdr:row>20</xdr:row>
      <xdr:rowOff>184150</xdr:rowOff>
    </xdr:from>
    <xdr:to>
      <xdr:col>63</xdr:col>
      <xdr:colOff>273050</xdr:colOff>
      <xdr:row>34</xdr:row>
      <xdr:rowOff>82550</xdr:rowOff>
    </xdr:to>
    <xdr:graphicFrame macro="">
      <xdr:nvGraphicFramePr>
        <xdr:cNvPr id="4" name="Chart 3">
          <a:extLst>
            <a:ext uri="{FF2B5EF4-FFF2-40B4-BE49-F238E27FC236}">
              <a16:creationId xmlns:a16="http://schemas.microsoft.com/office/drawing/2014/main" id="{90B96DC1-6D71-2F4D-834A-C77148647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774700</xdr:colOff>
      <xdr:row>33</xdr:row>
      <xdr:rowOff>6350</xdr:rowOff>
    </xdr:from>
    <xdr:to>
      <xdr:col>62</xdr:col>
      <xdr:colOff>1009650</xdr:colOff>
      <xdr:row>51</xdr:row>
      <xdr:rowOff>165100</xdr:rowOff>
    </xdr:to>
    <xdr:graphicFrame macro="">
      <xdr:nvGraphicFramePr>
        <xdr:cNvPr id="5" name="Chart 4">
          <a:extLst>
            <a:ext uri="{FF2B5EF4-FFF2-40B4-BE49-F238E27FC236}">
              <a16:creationId xmlns:a16="http://schemas.microsoft.com/office/drawing/2014/main" id="{C649F0D7-1FE2-DA4A-BEED-B73A49E445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0.34983</cdr:x>
      <cdr:y>0.21821</cdr:y>
    </cdr:from>
    <cdr:to>
      <cdr:x>0.78403</cdr:x>
      <cdr:y>0.5102</cdr:y>
    </cdr:to>
    <cdr:sp macro="" textlink="">
      <cdr:nvSpPr>
        <cdr:cNvPr id="2" name="TextBox 1">
          <a:extLst xmlns:a="http://schemas.openxmlformats.org/drawingml/2006/main">
            <a:ext uri="{FF2B5EF4-FFF2-40B4-BE49-F238E27FC236}">
              <a16:creationId xmlns:a16="http://schemas.microsoft.com/office/drawing/2014/main" id="{DEB384B3-22C5-3A41-B507-7DFCE837EF73}"/>
            </a:ext>
          </a:extLst>
        </cdr:cNvPr>
        <cdr:cNvSpPr txBox="1"/>
      </cdr:nvSpPr>
      <cdr:spPr>
        <a:xfrm xmlns:a="http://schemas.openxmlformats.org/drawingml/2006/main">
          <a:off x="1974850" y="882650"/>
          <a:ext cx="2451100" cy="1181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There are two glaring outliers here, but in general I see 25-50% of the influent TOC in the effluent- which means the saltcolumns are witholding</a:t>
          </a:r>
          <a:r>
            <a:rPr lang="en-US" sz="1100" baseline="0"/>
            <a:t> more of the TOC than Sets 1 or 2</a:t>
          </a:r>
          <a:endParaRPr lang="en-US" sz="1100"/>
        </a:p>
      </cdr:txBody>
    </cdr:sp>
  </cdr:relSizeAnchor>
</c:userShapes>
</file>

<file path=xl/drawings/drawing23.xml><?xml version="1.0" encoding="utf-8"?>
<c:userShapes xmlns:c="http://schemas.openxmlformats.org/drawingml/2006/chart">
  <cdr:relSizeAnchor xmlns:cdr="http://schemas.openxmlformats.org/drawingml/2006/chartDrawing">
    <cdr:from>
      <cdr:x>0.12729</cdr:x>
      <cdr:y>0.13145</cdr:y>
    </cdr:from>
    <cdr:to>
      <cdr:x>0.69278</cdr:x>
      <cdr:y>0.46755</cdr:y>
    </cdr:to>
    <cdr:sp macro="" textlink="">
      <cdr:nvSpPr>
        <cdr:cNvPr id="2" name="TextBox 1">
          <a:extLst xmlns:a="http://schemas.openxmlformats.org/drawingml/2006/main">
            <a:ext uri="{FF2B5EF4-FFF2-40B4-BE49-F238E27FC236}">
              <a16:creationId xmlns:a16="http://schemas.microsoft.com/office/drawing/2014/main" id="{75C2731A-E394-8944-BFEA-A5C520A2E247}"/>
            </a:ext>
          </a:extLst>
        </cdr:cNvPr>
        <cdr:cNvSpPr txBox="1"/>
      </cdr:nvSpPr>
      <cdr:spPr>
        <a:xfrm xmlns:a="http://schemas.openxmlformats.org/drawingml/2006/main">
          <a:off x="660400" y="501650"/>
          <a:ext cx="2933700" cy="1282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Again there's a decently</a:t>
          </a:r>
          <a:r>
            <a:rPr lang="en-US" sz="1100" baseline="0"/>
            <a:t> linear relationship between how much TOC I put in and how much TOC is retained within the columns. Excluding two distinct outliers, this is relected in the fairly stable % of TOC from influent to effluent (which ranges between about 25-50%)</a:t>
          </a:r>
          <a:endParaRPr lang="en-US" sz="1100"/>
        </a:p>
      </cdr:txBody>
    </cdr:sp>
  </cdr:relSizeAnchor>
</c:userShapes>
</file>

<file path=xl/drawings/drawing24.xml><?xml version="1.0" encoding="utf-8"?>
<xdr:wsDr xmlns:xdr="http://schemas.openxmlformats.org/drawingml/2006/spreadsheetDrawing" xmlns:a="http://schemas.openxmlformats.org/drawingml/2006/main">
  <xdr:twoCellAnchor>
    <xdr:from>
      <xdr:col>67</xdr:col>
      <xdr:colOff>641350</xdr:colOff>
      <xdr:row>12</xdr:row>
      <xdr:rowOff>120650</xdr:rowOff>
    </xdr:from>
    <xdr:to>
      <xdr:col>73</xdr:col>
      <xdr:colOff>260350</xdr:colOff>
      <xdr:row>26</xdr:row>
      <xdr:rowOff>19050</xdr:rowOff>
    </xdr:to>
    <xdr:graphicFrame macro="">
      <xdr:nvGraphicFramePr>
        <xdr:cNvPr id="2" name="Chart 1">
          <a:extLst>
            <a:ext uri="{FF2B5EF4-FFF2-40B4-BE49-F238E27FC236}">
              <a16:creationId xmlns:a16="http://schemas.microsoft.com/office/drawing/2014/main" id="{B06A848D-8BBE-17B5-1D9B-A3B288DCB8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58420</xdr:colOff>
      <xdr:row>8</xdr:row>
      <xdr:rowOff>30480</xdr:rowOff>
    </xdr:from>
    <xdr:to>
      <xdr:col>28</xdr:col>
      <xdr:colOff>153670</xdr:colOff>
      <xdr:row>42</xdr:row>
      <xdr:rowOff>847</xdr:rowOff>
    </xdr:to>
    <xdr:graphicFrame macro="">
      <xdr:nvGraphicFramePr>
        <xdr:cNvPr id="2" name="Chart 1">
          <a:extLst>
            <a:ext uri="{FF2B5EF4-FFF2-40B4-BE49-F238E27FC236}">
              <a16:creationId xmlns:a16="http://schemas.microsoft.com/office/drawing/2014/main" id="{3E776BA0-8DBF-CD4F-9B19-02473B5B84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259080</xdr:colOff>
      <xdr:row>15</xdr:row>
      <xdr:rowOff>0</xdr:rowOff>
    </xdr:from>
    <xdr:to>
      <xdr:col>36</xdr:col>
      <xdr:colOff>650240</xdr:colOff>
      <xdr:row>39</xdr:row>
      <xdr:rowOff>152400</xdr:rowOff>
    </xdr:to>
    <xdr:graphicFrame macro="">
      <xdr:nvGraphicFramePr>
        <xdr:cNvPr id="3" name="Chart 2">
          <a:extLst>
            <a:ext uri="{FF2B5EF4-FFF2-40B4-BE49-F238E27FC236}">
              <a16:creationId xmlns:a16="http://schemas.microsoft.com/office/drawing/2014/main" id="{FFF565AA-9499-9B48-A65B-B2B60DC070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38</xdr:col>
      <xdr:colOff>736600</xdr:colOff>
      <xdr:row>7</xdr:row>
      <xdr:rowOff>10160</xdr:rowOff>
    </xdr:from>
    <xdr:to>
      <xdr:col>44</xdr:col>
      <xdr:colOff>370840</xdr:colOff>
      <xdr:row>20</xdr:row>
      <xdr:rowOff>71120</xdr:rowOff>
    </xdr:to>
    <xdr:graphicFrame macro="">
      <xdr:nvGraphicFramePr>
        <xdr:cNvPr id="4" name="Chart 3">
          <a:extLst>
            <a:ext uri="{FF2B5EF4-FFF2-40B4-BE49-F238E27FC236}">
              <a16:creationId xmlns:a16="http://schemas.microsoft.com/office/drawing/2014/main" id="{EB875E37-7BD6-774C-A866-8AA641A314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762000</xdr:colOff>
      <xdr:row>6</xdr:row>
      <xdr:rowOff>152400</xdr:rowOff>
    </xdr:from>
    <xdr:to>
      <xdr:col>42</xdr:col>
      <xdr:colOff>396240</xdr:colOff>
      <xdr:row>20</xdr:row>
      <xdr:rowOff>10160</xdr:rowOff>
    </xdr:to>
    <xdr:graphicFrame macro="">
      <xdr:nvGraphicFramePr>
        <xdr:cNvPr id="5" name="Chart 4">
          <a:extLst>
            <a:ext uri="{FF2B5EF4-FFF2-40B4-BE49-F238E27FC236}">
              <a16:creationId xmlns:a16="http://schemas.microsoft.com/office/drawing/2014/main" id="{6A753BF5-0AA6-A340-B0F0-A7E4359B80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400326</xdr:colOff>
      <xdr:row>9</xdr:row>
      <xdr:rowOff>146547</xdr:rowOff>
    </xdr:from>
    <xdr:to>
      <xdr:col>52</xdr:col>
      <xdr:colOff>149860</xdr:colOff>
      <xdr:row>33</xdr:row>
      <xdr:rowOff>110435</xdr:rowOff>
    </xdr:to>
    <xdr:graphicFrame macro="">
      <xdr:nvGraphicFramePr>
        <xdr:cNvPr id="6" name="Chart 5">
          <a:extLst>
            <a:ext uri="{FF2B5EF4-FFF2-40B4-BE49-F238E27FC236}">
              <a16:creationId xmlns:a16="http://schemas.microsoft.com/office/drawing/2014/main" id="{7B7F1C1B-440E-CDCF-790B-1D1123DAC9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0.42747</cdr:x>
      <cdr:y>0.52025</cdr:y>
    </cdr:from>
    <cdr:to>
      <cdr:x>0.50472</cdr:x>
      <cdr:y>0.58399</cdr:y>
    </cdr:to>
    <cdr:sp macro="" textlink="">
      <cdr:nvSpPr>
        <cdr:cNvPr id="2" name="TextBox 1">
          <a:extLst xmlns:a="http://schemas.openxmlformats.org/drawingml/2006/main">
            <a:ext uri="{FF2B5EF4-FFF2-40B4-BE49-F238E27FC236}">
              <a16:creationId xmlns:a16="http://schemas.microsoft.com/office/drawing/2014/main" id="{6E968209-CA61-A148-87EA-823AFFA4F168}"/>
            </a:ext>
          </a:extLst>
        </cdr:cNvPr>
        <cdr:cNvSpPr txBox="1"/>
      </cdr:nvSpPr>
      <cdr:spPr>
        <a:xfrm xmlns:a="http://schemas.openxmlformats.org/drawingml/2006/main">
          <a:off x="4262222" y="3621148"/>
          <a:ext cx="770242" cy="4436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100"/>
            <a:t>No water in lab</a:t>
          </a:r>
        </a:p>
      </cdr:txBody>
    </cdr:sp>
  </cdr:relSizeAnchor>
  <cdr:relSizeAnchor xmlns:cdr="http://schemas.openxmlformats.org/drawingml/2006/chartDrawing">
    <cdr:from>
      <cdr:x>0.55535</cdr:x>
      <cdr:y>0.68043</cdr:y>
    </cdr:from>
    <cdr:to>
      <cdr:x>0.6326</cdr:x>
      <cdr:y>0.74417</cdr:y>
    </cdr:to>
    <cdr:sp macro="" textlink="">
      <cdr:nvSpPr>
        <cdr:cNvPr id="5" name="TextBox 1">
          <a:extLst xmlns:a="http://schemas.openxmlformats.org/drawingml/2006/main">
            <a:ext uri="{FF2B5EF4-FFF2-40B4-BE49-F238E27FC236}">
              <a16:creationId xmlns:a16="http://schemas.microsoft.com/office/drawing/2014/main" id="{D6E52AD8-320E-9B4C-9A1F-F2BD0B6096F9}"/>
            </a:ext>
          </a:extLst>
        </cdr:cNvPr>
        <cdr:cNvSpPr txBox="1"/>
      </cdr:nvSpPr>
      <cdr:spPr>
        <a:xfrm xmlns:a="http://schemas.openxmlformats.org/drawingml/2006/main">
          <a:off x="5537270" y="4736100"/>
          <a:ext cx="770242" cy="4436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a:t>No water in lab</a:t>
          </a:r>
        </a:p>
      </cdr:txBody>
    </cdr:sp>
  </cdr:relSizeAnchor>
</c:userShapes>
</file>

<file path=xl/drawings/drawing27.xml><?xml version="1.0" encoding="utf-8"?>
<xdr:wsDr xmlns:xdr="http://schemas.openxmlformats.org/drawingml/2006/spreadsheetDrawing" xmlns:a="http://schemas.openxmlformats.org/drawingml/2006/main">
  <xdr:twoCellAnchor>
    <xdr:from>
      <xdr:col>15</xdr:col>
      <xdr:colOff>50800</xdr:colOff>
      <xdr:row>5</xdr:row>
      <xdr:rowOff>177800</xdr:rowOff>
    </xdr:from>
    <xdr:to>
      <xdr:col>29</xdr:col>
      <xdr:colOff>508000</xdr:colOff>
      <xdr:row>50</xdr:row>
      <xdr:rowOff>127000</xdr:rowOff>
    </xdr:to>
    <xdr:graphicFrame macro="">
      <xdr:nvGraphicFramePr>
        <xdr:cNvPr id="2" name="Chart 1">
          <a:extLst>
            <a:ext uri="{FF2B5EF4-FFF2-40B4-BE49-F238E27FC236}">
              <a16:creationId xmlns:a16="http://schemas.microsoft.com/office/drawing/2014/main" id="{63EAE5C0-7F1D-5441-9B6B-B315FFE308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806450</xdr:colOff>
      <xdr:row>59</xdr:row>
      <xdr:rowOff>196850</xdr:rowOff>
    </xdr:from>
    <xdr:to>
      <xdr:col>16</xdr:col>
      <xdr:colOff>330200</xdr:colOff>
      <xdr:row>81</xdr:row>
      <xdr:rowOff>12700</xdr:rowOff>
    </xdr:to>
    <xdr:graphicFrame macro="">
      <xdr:nvGraphicFramePr>
        <xdr:cNvPr id="3" name="Chart 2">
          <a:extLst>
            <a:ext uri="{FF2B5EF4-FFF2-40B4-BE49-F238E27FC236}">
              <a16:creationId xmlns:a16="http://schemas.microsoft.com/office/drawing/2014/main" id="{6549384A-AD05-C74B-BA71-D43BCA948D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558800</xdr:colOff>
      <xdr:row>44</xdr:row>
      <xdr:rowOff>158750</xdr:rowOff>
    </xdr:from>
    <xdr:to>
      <xdr:col>17</xdr:col>
      <xdr:colOff>495300</xdr:colOff>
      <xdr:row>75</xdr:row>
      <xdr:rowOff>139700</xdr:rowOff>
    </xdr:to>
    <xdr:graphicFrame macro="">
      <xdr:nvGraphicFramePr>
        <xdr:cNvPr id="2" name="Chart 1">
          <a:extLst>
            <a:ext uri="{FF2B5EF4-FFF2-40B4-BE49-F238E27FC236}">
              <a16:creationId xmlns:a16="http://schemas.microsoft.com/office/drawing/2014/main" id="{2EBEC7A2-C0A0-0540-BFC7-2B191B58C8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749301</xdr:colOff>
      <xdr:row>75</xdr:row>
      <xdr:rowOff>135467</xdr:rowOff>
    </xdr:from>
    <xdr:to>
      <xdr:col>16</xdr:col>
      <xdr:colOff>508001</xdr:colOff>
      <xdr:row>105</xdr:row>
      <xdr:rowOff>2117</xdr:rowOff>
    </xdr:to>
    <xdr:graphicFrame macro="">
      <xdr:nvGraphicFramePr>
        <xdr:cNvPr id="3" name="Chart 2">
          <a:extLst>
            <a:ext uri="{FF2B5EF4-FFF2-40B4-BE49-F238E27FC236}">
              <a16:creationId xmlns:a16="http://schemas.microsoft.com/office/drawing/2014/main" id="{7699AA6D-5995-5649-A18A-BF768EEA94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796636</xdr:colOff>
      <xdr:row>22</xdr:row>
      <xdr:rowOff>126999</xdr:rowOff>
    </xdr:from>
    <xdr:to>
      <xdr:col>16</xdr:col>
      <xdr:colOff>692727</xdr:colOff>
      <xdr:row>40</xdr:row>
      <xdr:rowOff>150090</xdr:rowOff>
    </xdr:to>
    <xdr:graphicFrame macro="">
      <xdr:nvGraphicFramePr>
        <xdr:cNvPr id="4" name="Chart 3">
          <a:extLst>
            <a:ext uri="{FF2B5EF4-FFF2-40B4-BE49-F238E27FC236}">
              <a16:creationId xmlns:a16="http://schemas.microsoft.com/office/drawing/2014/main" id="{7E93A802-0AAA-F944-B570-E2A523880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0.72254</cdr:x>
      <cdr:y>0.26694</cdr:y>
    </cdr:from>
    <cdr:to>
      <cdr:x>0.87887</cdr:x>
      <cdr:y>0.37007</cdr:y>
    </cdr:to>
    <cdr:sp macro="" textlink="">
      <cdr:nvSpPr>
        <cdr:cNvPr id="2" name="TextBox 1">
          <a:extLst xmlns:a="http://schemas.openxmlformats.org/drawingml/2006/main">
            <a:ext uri="{FF2B5EF4-FFF2-40B4-BE49-F238E27FC236}">
              <a16:creationId xmlns:a16="http://schemas.microsoft.com/office/drawing/2014/main" id="{8D8C4367-06B9-1049-804E-B2E4068ED89E}"/>
            </a:ext>
          </a:extLst>
        </cdr:cNvPr>
        <cdr:cNvSpPr txBox="1"/>
      </cdr:nvSpPr>
      <cdr:spPr>
        <a:xfrm xmlns:a="http://schemas.openxmlformats.org/drawingml/2006/main">
          <a:off x="6515100" y="1676400"/>
          <a:ext cx="1409700" cy="6477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After</a:t>
          </a:r>
          <a:r>
            <a:rPr lang="en-US" sz="1100" baseline="0"/>
            <a:t> no water in the lab; No flow in columns for 4 days</a:t>
          </a:r>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xdr:from>
      <xdr:col>94</xdr:col>
      <xdr:colOff>114300</xdr:colOff>
      <xdr:row>5</xdr:row>
      <xdr:rowOff>120650</xdr:rowOff>
    </xdr:from>
    <xdr:to>
      <xdr:col>102</xdr:col>
      <xdr:colOff>635000</xdr:colOff>
      <xdr:row>30</xdr:row>
      <xdr:rowOff>88900</xdr:rowOff>
    </xdr:to>
    <xdr:graphicFrame macro="">
      <xdr:nvGraphicFramePr>
        <xdr:cNvPr id="3" name="Chart 2">
          <a:extLst>
            <a:ext uri="{FF2B5EF4-FFF2-40B4-BE49-F238E27FC236}">
              <a16:creationId xmlns:a16="http://schemas.microsoft.com/office/drawing/2014/main" id="{CEB7D922-C4C8-7B42-B79F-57DADD3E96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114</xdr:col>
      <xdr:colOff>764171</xdr:colOff>
      <xdr:row>51</xdr:row>
      <xdr:rowOff>191477</xdr:rowOff>
    </xdr:from>
    <xdr:to>
      <xdr:col>119</xdr:col>
      <xdr:colOff>332153</xdr:colOff>
      <xdr:row>58</xdr:row>
      <xdr:rowOff>123309</xdr:rowOff>
    </xdr:to>
    <xdr:graphicFrame macro="">
      <xdr:nvGraphicFramePr>
        <xdr:cNvPr id="4" name="Chart 3">
          <a:extLst>
            <a:ext uri="{FF2B5EF4-FFF2-40B4-BE49-F238E27FC236}">
              <a16:creationId xmlns:a16="http://schemas.microsoft.com/office/drawing/2014/main" id="{54F94BF1-C528-A848-AB18-F0E7E60BEB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72</xdr:col>
      <xdr:colOff>792394</xdr:colOff>
      <xdr:row>21</xdr:row>
      <xdr:rowOff>21709</xdr:rowOff>
    </xdr:from>
    <xdr:to>
      <xdr:col>84</xdr:col>
      <xdr:colOff>238805</xdr:colOff>
      <xdr:row>38</xdr:row>
      <xdr:rowOff>173675</xdr:rowOff>
    </xdr:to>
    <xdr:graphicFrame macro="">
      <xdr:nvGraphicFramePr>
        <xdr:cNvPr id="5" name="Chart 4">
          <a:extLst>
            <a:ext uri="{FF2B5EF4-FFF2-40B4-BE49-F238E27FC236}">
              <a16:creationId xmlns:a16="http://schemas.microsoft.com/office/drawing/2014/main" id="{41988EF9-81A1-024D-8BC1-E0B8739DFC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128</xdr:col>
      <xdr:colOff>270281</xdr:colOff>
      <xdr:row>1</xdr:row>
      <xdr:rowOff>430281</xdr:rowOff>
    </xdr:from>
    <xdr:to>
      <xdr:col>133</xdr:col>
      <xdr:colOff>717495</xdr:colOff>
      <xdr:row>15</xdr:row>
      <xdr:rowOff>47327</xdr:rowOff>
    </xdr:to>
    <xdr:graphicFrame macro="">
      <xdr:nvGraphicFramePr>
        <xdr:cNvPr id="6" name="Chart 5">
          <a:extLst>
            <a:ext uri="{FF2B5EF4-FFF2-40B4-BE49-F238E27FC236}">
              <a16:creationId xmlns:a16="http://schemas.microsoft.com/office/drawing/2014/main" id="{3AE79DB6-6FE8-084E-99BC-3857F43B7B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126</xdr:col>
      <xdr:colOff>682761</xdr:colOff>
      <xdr:row>38</xdr:row>
      <xdr:rowOff>148058</xdr:rowOff>
    </xdr:from>
    <xdr:to>
      <xdr:col>132</xdr:col>
      <xdr:colOff>305017</xdr:colOff>
      <xdr:row>51</xdr:row>
      <xdr:rowOff>188438</xdr:rowOff>
    </xdr:to>
    <xdr:graphicFrame macro="">
      <xdr:nvGraphicFramePr>
        <xdr:cNvPr id="7" name="Chart 6">
          <a:extLst>
            <a:ext uri="{FF2B5EF4-FFF2-40B4-BE49-F238E27FC236}">
              <a16:creationId xmlns:a16="http://schemas.microsoft.com/office/drawing/2014/main" id="{2CDA24E5-55EC-8A46-AABA-C530B323CA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0.63781</cdr:x>
      <cdr:y>0.10437</cdr:y>
    </cdr:from>
    <cdr:to>
      <cdr:x>0.72792</cdr:x>
      <cdr:y>0.20234</cdr:y>
    </cdr:to>
    <cdr:sp macro="" textlink="">
      <cdr:nvSpPr>
        <cdr:cNvPr id="2" name="Oval 1">
          <a:extLst xmlns:a="http://schemas.openxmlformats.org/drawingml/2006/main">
            <a:ext uri="{FF2B5EF4-FFF2-40B4-BE49-F238E27FC236}">
              <a16:creationId xmlns:a16="http://schemas.microsoft.com/office/drawing/2014/main" id="{E3A542FF-04EE-6942-966A-6D232A590CC1}"/>
            </a:ext>
          </a:extLst>
        </cdr:cNvPr>
        <cdr:cNvSpPr/>
      </cdr:nvSpPr>
      <cdr:spPr>
        <a:xfrm xmlns:a="http://schemas.openxmlformats.org/drawingml/2006/main">
          <a:off x="4584700" y="622300"/>
          <a:ext cx="647700" cy="584200"/>
        </a:xfrm>
        <a:prstGeom xmlns:a="http://schemas.openxmlformats.org/drawingml/2006/main" prst="ellipse">
          <a:avLst/>
        </a:prstGeom>
        <a:noFill xmlns:a="http://schemas.openxmlformats.org/drawingml/2006/main"/>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0.54594</cdr:x>
      <cdr:y>0.24068</cdr:y>
    </cdr:from>
    <cdr:to>
      <cdr:x>0.74205</cdr:x>
      <cdr:y>0.34931</cdr:y>
    </cdr:to>
    <cdr:sp macro="" textlink="">
      <cdr:nvSpPr>
        <cdr:cNvPr id="3" name="TextBox 2">
          <a:extLst xmlns:a="http://schemas.openxmlformats.org/drawingml/2006/main">
            <a:ext uri="{FF2B5EF4-FFF2-40B4-BE49-F238E27FC236}">
              <a16:creationId xmlns:a16="http://schemas.microsoft.com/office/drawing/2014/main" id="{1C58F028-654A-DA4D-BCE8-C45AEC8571C9}"/>
            </a:ext>
          </a:extLst>
        </cdr:cNvPr>
        <cdr:cNvSpPr txBox="1"/>
      </cdr:nvSpPr>
      <cdr:spPr>
        <a:xfrm xmlns:a="http://schemas.openxmlformats.org/drawingml/2006/main">
          <a:off x="3924300" y="1435100"/>
          <a:ext cx="1409700"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After</a:t>
          </a:r>
          <a:r>
            <a:rPr lang="en-US" sz="1100" baseline="0"/>
            <a:t> no water in the lab; No flow in columns for 4 days</a:t>
          </a:r>
          <a:endParaRPr lang="en-US" sz="1100"/>
        </a:p>
      </cdr:txBody>
    </cdr:sp>
  </cdr:relSizeAnchor>
</c:userShapes>
</file>

<file path=xl/drawings/drawing31.xml><?xml version="1.0" encoding="utf-8"?>
<xdr:wsDr xmlns:xdr="http://schemas.openxmlformats.org/drawingml/2006/spreadsheetDrawing" xmlns:a="http://schemas.openxmlformats.org/drawingml/2006/main">
  <xdr:twoCellAnchor>
    <xdr:from>
      <xdr:col>11</xdr:col>
      <xdr:colOff>95250</xdr:colOff>
      <xdr:row>15</xdr:row>
      <xdr:rowOff>19050</xdr:rowOff>
    </xdr:from>
    <xdr:to>
      <xdr:col>23</xdr:col>
      <xdr:colOff>533400</xdr:colOff>
      <xdr:row>51</xdr:row>
      <xdr:rowOff>25400</xdr:rowOff>
    </xdr:to>
    <xdr:graphicFrame macro="">
      <xdr:nvGraphicFramePr>
        <xdr:cNvPr id="2" name="Chart 1">
          <a:extLst>
            <a:ext uri="{FF2B5EF4-FFF2-40B4-BE49-F238E27FC236}">
              <a16:creationId xmlns:a16="http://schemas.microsoft.com/office/drawing/2014/main" id="{ADC5E44F-A11E-FB49-B525-EC8A8ED9C4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0.3652</cdr:x>
      <cdr:y>0.11713</cdr:y>
    </cdr:from>
    <cdr:to>
      <cdr:x>0.36698</cdr:x>
      <cdr:y>0.85675</cdr:y>
    </cdr:to>
    <cdr:cxnSp macro="">
      <cdr:nvCxnSpPr>
        <cdr:cNvPr id="3" name="Straight Connector 2">
          <a:extLst xmlns:a="http://schemas.openxmlformats.org/drawingml/2006/main">
            <a:ext uri="{FF2B5EF4-FFF2-40B4-BE49-F238E27FC236}">
              <a16:creationId xmlns:a16="http://schemas.microsoft.com/office/drawing/2014/main" id="{6E0C80D9-CB56-954B-8559-0B8506EC86E5}"/>
            </a:ext>
          </a:extLst>
        </cdr:cNvPr>
        <cdr:cNvCxnSpPr/>
      </cdr:nvCxnSpPr>
      <cdr:spPr>
        <a:xfrm xmlns:a="http://schemas.openxmlformats.org/drawingml/2006/main">
          <a:off x="2600321" y="602757"/>
          <a:ext cx="12674" cy="3806042"/>
        </a:xfrm>
        <a:prstGeom xmlns:a="http://schemas.openxmlformats.org/drawingml/2006/main" prst="line">
          <a:avLst/>
        </a:prstGeom>
        <a:ln xmlns:a="http://schemas.openxmlformats.org/drawingml/2006/main" w="9525">
          <a:solidFill>
            <a:srgbClr val="FF4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xdr:from>
      <xdr:col>12</xdr:col>
      <xdr:colOff>107950</xdr:colOff>
      <xdr:row>1</xdr:row>
      <xdr:rowOff>127000</xdr:rowOff>
    </xdr:from>
    <xdr:to>
      <xdr:col>19</xdr:col>
      <xdr:colOff>228600</xdr:colOff>
      <xdr:row>20</xdr:row>
      <xdr:rowOff>95250</xdr:rowOff>
    </xdr:to>
    <xdr:graphicFrame macro="">
      <xdr:nvGraphicFramePr>
        <xdr:cNvPr id="2" name="Chart 1">
          <a:extLst>
            <a:ext uri="{FF2B5EF4-FFF2-40B4-BE49-F238E27FC236}">
              <a16:creationId xmlns:a16="http://schemas.microsoft.com/office/drawing/2014/main" id="{0B007D64-8362-6545-9D90-FB684C7BE19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78</xdr:col>
      <xdr:colOff>444500</xdr:colOff>
      <xdr:row>1</xdr:row>
      <xdr:rowOff>203200</xdr:rowOff>
    </xdr:from>
    <xdr:to>
      <xdr:col>92</xdr:col>
      <xdr:colOff>127000</xdr:colOff>
      <xdr:row>35</xdr:row>
      <xdr:rowOff>25400</xdr:rowOff>
    </xdr:to>
    <xdr:graphicFrame macro="">
      <xdr:nvGraphicFramePr>
        <xdr:cNvPr id="3" name="Chart 2">
          <a:extLst>
            <a:ext uri="{FF2B5EF4-FFF2-40B4-BE49-F238E27FC236}">
              <a16:creationId xmlns:a16="http://schemas.microsoft.com/office/drawing/2014/main" id="{F1D2D86D-31E9-CB4E-A1E8-AD632FE56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0.23422</cdr:x>
      <cdr:y>0.11566</cdr:y>
    </cdr:from>
    <cdr:to>
      <cdr:x>0.23422</cdr:x>
      <cdr:y>0.84967</cdr:y>
    </cdr:to>
    <cdr:cxnSp macro="">
      <cdr:nvCxnSpPr>
        <cdr:cNvPr id="3" name="Straight Connector 2">
          <a:extLst xmlns:a="http://schemas.openxmlformats.org/drawingml/2006/main">
            <a:ext uri="{FF2B5EF4-FFF2-40B4-BE49-F238E27FC236}">
              <a16:creationId xmlns:a16="http://schemas.microsoft.com/office/drawing/2014/main" id="{57D8992A-69DF-8946-B57E-FA5EAC78CEEF}"/>
            </a:ext>
          </a:extLst>
        </cdr:cNvPr>
        <cdr:cNvCxnSpPr/>
      </cdr:nvCxnSpPr>
      <cdr:spPr>
        <a:xfrm xmlns:a="http://schemas.openxmlformats.org/drawingml/2006/main">
          <a:off x="2632473" y="809378"/>
          <a:ext cx="0" cy="5136382"/>
        </a:xfrm>
        <a:prstGeom xmlns:a="http://schemas.openxmlformats.org/drawingml/2006/main" prst="line">
          <a:avLst/>
        </a:prstGeom>
        <a:ln xmlns:a="http://schemas.openxmlformats.org/drawingml/2006/main" w="9525">
          <a:solidFill>
            <a:srgbClr val="FF40FF"/>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87</xdr:col>
      <xdr:colOff>376072</xdr:colOff>
      <xdr:row>38</xdr:row>
      <xdr:rowOff>44734</xdr:rowOff>
    </xdr:from>
    <xdr:to>
      <xdr:col>98</xdr:col>
      <xdr:colOff>313520</xdr:colOff>
      <xdr:row>67</xdr:row>
      <xdr:rowOff>57434</xdr:rowOff>
    </xdr:to>
    <xdr:graphicFrame macro="">
      <xdr:nvGraphicFramePr>
        <xdr:cNvPr id="2" name="Chart 1">
          <a:extLst>
            <a:ext uri="{FF2B5EF4-FFF2-40B4-BE49-F238E27FC236}">
              <a16:creationId xmlns:a16="http://schemas.microsoft.com/office/drawing/2014/main" id="{160F05AE-6D40-D94C-9F7B-8021DD11E7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10</xdr:col>
      <xdr:colOff>317500</xdr:colOff>
      <xdr:row>5</xdr:row>
      <xdr:rowOff>25400</xdr:rowOff>
    </xdr:from>
    <xdr:to>
      <xdr:col>15</xdr:col>
      <xdr:colOff>762000</xdr:colOff>
      <xdr:row>18</xdr:row>
      <xdr:rowOff>127000</xdr:rowOff>
    </xdr:to>
    <xdr:graphicFrame macro="">
      <xdr:nvGraphicFramePr>
        <xdr:cNvPr id="2" name="Chart 1">
          <a:extLst>
            <a:ext uri="{FF2B5EF4-FFF2-40B4-BE49-F238E27FC236}">
              <a16:creationId xmlns:a16="http://schemas.microsoft.com/office/drawing/2014/main" id="{1802DA6B-8A22-4E4E-BA51-2E72A4E4C2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457200</xdr:colOff>
      <xdr:row>10</xdr:row>
      <xdr:rowOff>25400</xdr:rowOff>
    </xdr:from>
    <xdr:to>
      <xdr:col>31</xdr:col>
      <xdr:colOff>76200</xdr:colOff>
      <xdr:row>23</xdr:row>
      <xdr:rowOff>127000</xdr:rowOff>
    </xdr:to>
    <xdr:graphicFrame macro="">
      <xdr:nvGraphicFramePr>
        <xdr:cNvPr id="3" name="Chart 2">
          <a:extLst>
            <a:ext uri="{FF2B5EF4-FFF2-40B4-BE49-F238E27FC236}">
              <a16:creationId xmlns:a16="http://schemas.microsoft.com/office/drawing/2014/main" id="{41D9ADD3-F6B7-3748-9A45-8401FA319D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61</xdr:col>
      <xdr:colOff>520700</xdr:colOff>
      <xdr:row>16</xdr:row>
      <xdr:rowOff>146050</xdr:rowOff>
    </xdr:from>
    <xdr:to>
      <xdr:col>67</xdr:col>
      <xdr:colOff>139700</xdr:colOff>
      <xdr:row>30</xdr:row>
      <xdr:rowOff>44450</xdr:rowOff>
    </xdr:to>
    <xdr:graphicFrame macro="">
      <xdr:nvGraphicFramePr>
        <xdr:cNvPr id="2" name="Chart 1">
          <a:extLst>
            <a:ext uri="{FF2B5EF4-FFF2-40B4-BE49-F238E27FC236}">
              <a16:creationId xmlns:a16="http://schemas.microsoft.com/office/drawing/2014/main" id="{B7D8B3F6-7275-FD4F-A719-0DD248E18D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andraschellenger\Desktop\Cranfield%20Research\Fluoride%20IC%20Calcul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lexandraschellenger\Desktop\Cranfield%20Research\Original%20Data%20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1942-8F0A-CC42-857B-D8333513EFFD}">
  <dimension ref="A1:BJ511"/>
  <sheetViews>
    <sheetView tabSelected="1" zoomScale="86" zoomScaleNormal="86" workbookViewId="0">
      <selection activeCell="Q501" sqref="Q501"/>
    </sheetView>
  </sheetViews>
  <sheetFormatPr defaultColWidth="10.6640625" defaultRowHeight="15.5"/>
  <cols>
    <col min="7" max="7" width="10.83203125" style="12"/>
    <col min="17" max="17" width="12.83203125" customWidth="1"/>
  </cols>
  <sheetData>
    <row r="1" spans="1:62" ht="31">
      <c r="A1" s="10" t="s">
        <v>10</v>
      </c>
      <c r="B1" s="10" t="s">
        <v>15</v>
      </c>
      <c r="C1" s="10" t="s">
        <v>16</v>
      </c>
      <c r="D1" s="10" t="s">
        <v>2</v>
      </c>
      <c r="E1" s="10" t="s">
        <v>18</v>
      </c>
      <c r="F1" s="10" t="s">
        <v>17</v>
      </c>
      <c r="G1" s="208" t="s">
        <v>901</v>
      </c>
      <c r="H1" s="10" t="s">
        <v>2</v>
      </c>
      <c r="I1" s="10" t="s">
        <v>18</v>
      </c>
      <c r="J1" s="10" t="s">
        <v>17</v>
      </c>
      <c r="K1" s="10" t="s">
        <v>883</v>
      </c>
      <c r="M1" s="10" t="s">
        <v>921</v>
      </c>
      <c r="N1" s="10" t="s">
        <v>941</v>
      </c>
      <c r="S1" s="10" t="s">
        <v>10</v>
      </c>
      <c r="T1" s="10" t="s">
        <v>15</v>
      </c>
      <c r="U1" s="10" t="s">
        <v>16</v>
      </c>
      <c r="V1" s="10" t="s">
        <v>2</v>
      </c>
      <c r="W1" s="10" t="s">
        <v>18</v>
      </c>
      <c r="X1" s="10" t="s">
        <v>17</v>
      </c>
      <c r="Y1" s="10" t="s">
        <v>2</v>
      </c>
      <c r="Z1" s="10" t="s">
        <v>18</v>
      </c>
      <c r="AA1" s="10" t="s">
        <v>17</v>
      </c>
      <c r="AB1" s="10" t="s">
        <v>2</v>
      </c>
      <c r="AC1" s="10" t="s">
        <v>18</v>
      </c>
      <c r="AD1" s="10" t="s">
        <v>17</v>
      </c>
      <c r="AE1" s="10" t="s">
        <v>2</v>
      </c>
      <c r="AF1" s="10" t="s">
        <v>18</v>
      </c>
      <c r="AG1" s="10" t="s">
        <v>17</v>
      </c>
      <c r="AO1" t="s">
        <v>489</v>
      </c>
      <c r="AP1" s="10" t="s">
        <v>10</v>
      </c>
      <c r="AQ1" s="10" t="s">
        <v>15</v>
      </c>
      <c r="AR1" s="10" t="s">
        <v>16</v>
      </c>
      <c r="AS1" s="10" t="s">
        <v>2</v>
      </c>
      <c r="AT1" s="10" t="s">
        <v>18</v>
      </c>
      <c r="AU1" s="10" t="s">
        <v>17</v>
      </c>
      <c r="AV1" s="10" t="s">
        <v>2</v>
      </c>
      <c r="AW1" s="10" t="s">
        <v>18</v>
      </c>
      <c r="AX1" s="10" t="s">
        <v>17</v>
      </c>
      <c r="AY1" s="10" t="s">
        <v>2</v>
      </c>
      <c r="AZ1" s="10" t="s">
        <v>18</v>
      </c>
      <c r="BA1" s="10" t="s">
        <v>17</v>
      </c>
      <c r="BB1" s="10" t="s">
        <v>2</v>
      </c>
      <c r="BC1" s="10" t="s">
        <v>18</v>
      </c>
      <c r="BD1" s="10" t="s">
        <v>17</v>
      </c>
      <c r="BE1" s="10" t="s">
        <v>2</v>
      </c>
      <c r="BF1" s="10" t="s">
        <v>18</v>
      </c>
      <c r="BG1" s="10" t="s">
        <v>17</v>
      </c>
      <c r="BH1" s="10" t="s">
        <v>740</v>
      </c>
    </row>
    <row r="2" spans="1:62">
      <c r="A2" t="s">
        <v>41</v>
      </c>
      <c r="B2" t="s">
        <v>21</v>
      </c>
      <c r="C2">
        <v>0.5</v>
      </c>
      <c r="D2" t="s">
        <v>46</v>
      </c>
      <c r="M2" t="s">
        <v>46</v>
      </c>
      <c r="S2" t="s">
        <v>119</v>
      </c>
      <c r="T2" t="s">
        <v>120</v>
      </c>
      <c r="U2">
        <v>0.5</v>
      </c>
      <c r="V2">
        <v>4.3650000000000002</v>
      </c>
      <c r="W2">
        <v>1.7315</v>
      </c>
      <c r="X2">
        <v>10.803000000000001</v>
      </c>
      <c r="Y2">
        <v>6.7510000000000003</v>
      </c>
      <c r="Z2">
        <v>6.0100000000000001E-2</v>
      </c>
      <c r="AA2">
        <v>0.3715</v>
      </c>
      <c r="AB2">
        <v>11.775</v>
      </c>
      <c r="AC2">
        <v>3.2000000000000001E-2</v>
      </c>
      <c r="AD2">
        <v>0.1023</v>
      </c>
      <c r="AI2" t="s">
        <v>21</v>
      </c>
      <c r="AJ2">
        <v>0.5</v>
      </c>
      <c r="AK2">
        <v>4.3609999999999998</v>
      </c>
      <c r="AL2">
        <v>1.6426000000000001</v>
      </c>
      <c r="AP2" t="s">
        <v>488</v>
      </c>
      <c r="AQ2">
        <v>0</v>
      </c>
      <c r="AR2">
        <v>0</v>
      </c>
      <c r="AY2" s="194"/>
      <c r="AZ2" s="194">
        <v>0</v>
      </c>
      <c r="BA2" s="194"/>
    </row>
    <row r="3" spans="1:62">
      <c r="A3" t="s">
        <v>41</v>
      </c>
      <c r="B3" t="s">
        <v>22</v>
      </c>
      <c r="C3">
        <v>1</v>
      </c>
      <c r="D3">
        <v>4.5010000000000003</v>
      </c>
      <c r="E3">
        <v>1.2836000000000001</v>
      </c>
      <c r="F3">
        <v>2.6877</v>
      </c>
      <c r="G3" s="12">
        <f>(E3+1.3588)/2.7414</f>
        <v>0.96388706500328314</v>
      </c>
      <c r="K3" t="s">
        <v>75</v>
      </c>
      <c r="M3">
        <v>0.92300000000000004</v>
      </c>
      <c r="N3">
        <f>(M3+0.0309)/1.0236</f>
        <v>0.9319069949198906</v>
      </c>
      <c r="S3" t="s">
        <v>119</v>
      </c>
      <c r="T3" t="s">
        <v>121</v>
      </c>
      <c r="U3">
        <v>1.5</v>
      </c>
      <c r="V3">
        <v>4.3840000000000003</v>
      </c>
      <c r="W3">
        <v>4.7903000000000002</v>
      </c>
      <c r="X3">
        <v>34.091299999999997</v>
      </c>
      <c r="Y3">
        <v>6.7510000000000003</v>
      </c>
      <c r="Z3">
        <v>7.7499999999999999E-2</v>
      </c>
      <c r="AA3">
        <v>0.46500000000000002</v>
      </c>
      <c r="AE3">
        <v>19.094000000000001</v>
      </c>
      <c r="AF3">
        <v>5.6399999999999999E-2</v>
      </c>
      <c r="AG3">
        <v>0.10539999999999999</v>
      </c>
      <c r="AI3" t="s">
        <v>22</v>
      </c>
      <c r="AJ3">
        <v>1</v>
      </c>
      <c r="AK3">
        <v>4.3710000000000004</v>
      </c>
      <c r="AL3">
        <v>3.3161</v>
      </c>
      <c r="AP3" t="s">
        <v>713</v>
      </c>
      <c r="AQ3" t="s">
        <v>495</v>
      </c>
      <c r="AR3">
        <v>0.1</v>
      </c>
      <c r="AS3">
        <v>5.024</v>
      </c>
      <c r="AT3">
        <v>0.1782</v>
      </c>
      <c r="AU3">
        <v>0.93279999999999996</v>
      </c>
      <c r="AV3">
        <v>6.468</v>
      </c>
      <c r="AW3">
        <v>0.26119999999999999</v>
      </c>
      <c r="AX3">
        <v>0.78549999999999998</v>
      </c>
      <c r="AY3" s="194">
        <v>9.4510000000000005</v>
      </c>
      <c r="AZ3" s="194">
        <v>7.1645000000000003</v>
      </c>
      <c r="BA3" s="194">
        <v>30.389099999999999</v>
      </c>
      <c r="BB3">
        <v>10.773999999999999</v>
      </c>
      <c r="BC3">
        <v>1.3358000000000001</v>
      </c>
      <c r="BD3">
        <v>4.7009999999999996</v>
      </c>
      <c r="BE3">
        <v>15.551</v>
      </c>
      <c r="BF3">
        <v>8.8099999999999998E-2</v>
      </c>
      <c r="BG3">
        <v>0.18959999999999999</v>
      </c>
      <c r="BH3">
        <v>18.091000000000001</v>
      </c>
      <c r="BI3">
        <v>0.18160000000000001</v>
      </c>
      <c r="BJ3">
        <v>0.35610000000000003</v>
      </c>
    </row>
    <row r="4" spans="1:62">
      <c r="A4" t="s">
        <v>41</v>
      </c>
      <c r="B4" t="s">
        <v>23</v>
      </c>
      <c r="C4">
        <v>1.5</v>
      </c>
      <c r="D4">
        <v>4.5049999999999999</v>
      </c>
      <c r="E4">
        <v>2.4954000000000001</v>
      </c>
      <c r="F4">
        <v>4.8263999999999996</v>
      </c>
      <c r="G4" s="12">
        <f t="shared" ref="G4:G15" si="0">(E4+1.3588)/2.7414</f>
        <v>1.4059239804479462</v>
      </c>
      <c r="M4">
        <v>1.3784000000000001</v>
      </c>
      <c r="N4">
        <f t="shared" ref="N4:N10" si="1">(M4+0.0309)/1.0236</f>
        <v>1.3768073466197732</v>
      </c>
      <c r="S4" t="s">
        <v>119</v>
      </c>
      <c r="T4" t="s">
        <v>122</v>
      </c>
      <c r="U4">
        <v>2.5</v>
      </c>
      <c r="V4">
        <v>4.4009999999999998</v>
      </c>
      <c r="W4">
        <v>8.1709999999999994</v>
      </c>
      <c r="X4">
        <v>55.542900000000003</v>
      </c>
      <c r="Y4">
        <v>6.7539999999999996</v>
      </c>
      <c r="Z4">
        <v>8.0699999999999994E-2</v>
      </c>
      <c r="AA4">
        <v>0.47849999999999998</v>
      </c>
      <c r="AB4">
        <v>11.771000000000001</v>
      </c>
      <c r="AC4">
        <v>6.2300000000000001E-2</v>
      </c>
      <c r="AD4">
        <v>0.2006</v>
      </c>
      <c r="AE4">
        <v>19.103999999999999</v>
      </c>
      <c r="AF4">
        <v>5.5800000000000002E-2</v>
      </c>
      <c r="AG4">
        <v>0.1045</v>
      </c>
      <c r="AI4" t="s">
        <v>23</v>
      </c>
      <c r="AJ4">
        <v>1.5</v>
      </c>
      <c r="AK4">
        <v>4.3810000000000002</v>
      </c>
      <c r="AL4">
        <v>5.0258000000000003</v>
      </c>
      <c r="AQ4" t="s">
        <v>490</v>
      </c>
      <c r="AR4">
        <v>0.5</v>
      </c>
      <c r="AS4">
        <v>5.0209999999999999</v>
      </c>
      <c r="AT4">
        <v>0.18290000000000001</v>
      </c>
      <c r="AU4">
        <v>0.35120000000000001</v>
      </c>
      <c r="AV4">
        <v>6.4409999999999998</v>
      </c>
      <c r="AW4">
        <v>0.20710000000000001</v>
      </c>
      <c r="AX4">
        <v>0.22739999999999999</v>
      </c>
      <c r="AY4" s="194">
        <v>9.4580000000000002</v>
      </c>
      <c r="AZ4" s="194">
        <v>44.997700000000002</v>
      </c>
      <c r="BA4" s="194">
        <v>188.77109999999999</v>
      </c>
    </row>
    <row r="5" spans="1:62">
      <c r="A5" t="s">
        <v>41</v>
      </c>
      <c r="B5" t="s">
        <v>24</v>
      </c>
      <c r="C5">
        <v>2</v>
      </c>
      <c r="D5">
        <v>4.5110000000000001</v>
      </c>
      <c r="E5">
        <v>4.3090000000000002</v>
      </c>
      <c r="F5">
        <v>7.0991999999999997</v>
      </c>
      <c r="G5" s="12">
        <f t="shared" si="0"/>
        <v>2.0674837674181075</v>
      </c>
      <c r="M5">
        <v>2.06</v>
      </c>
      <c r="N5">
        <f t="shared" si="1"/>
        <v>2.0426924579914028</v>
      </c>
      <c r="S5" t="s">
        <v>119</v>
      </c>
      <c r="T5" t="s">
        <v>123</v>
      </c>
      <c r="U5">
        <v>3</v>
      </c>
      <c r="V5">
        <v>4.4080000000000004</v>
      </c>
      <c r="W5">
        <v>9.9664999999999999</v>
      </c>
      <c r="X5">
        <v>65.844099999999997</v>
      </c>
      <c r="Y5">
        <v>6.7539999999999996</v>
      </c>
      <c r="Z5">
        <v>0.1968</v>
      </c>
      <c r="AA5">
        <v>0.80369999999999997</v>
      </c>
      <c r="AE5">
        <v>19.094000000000001</v>
      </c>
      <c r="AF5">
        <v>5.4399999999999997E-2</v>
      </c>
      <c r="AG5">
        <v>0.1009</v>
      </c>
      <c r="AI5" t="s">
        <v>24</v>
      </c>
      <c r="AJ5">
        <v>2</v>
      </c>
      <c r="AK5">
        <v>4.3879999999999999</v>
      </c>
      <c r="AL5">
        <v>6.6891999999999996</v>
      </c>
      <c r="AQ5" t="s">
        <v>491</v>
      </c>
      <c r="AR5">
        <v>1</v>
      </c>
      <c r="AS5">
        <v>5.0250000000000004</v>
      </c>
      <c r="AT5">
        <v>8.7499999999999994E-2</v>
      </c>
      <c r="AU5">
        <v>0.12659999999999999</v>
      </c>
      <c r="AV5">
        <v>6.4409999999999998</v>
      </c>
      <c r="AW5">
        <v>3.7499999999999999E-2</v>
      </c>
      <c r="AX5">
        <v>0.12770000000000001</v>
      </c>
      <c r="AY5" s="194">
        <v>9.4779999999999998</v>
      </c>
      <c r="AZ5" s="194">
        <v>97.562799999999996</v>
      </c>
      <c r="BA5" s="194">
        <v>393.97820000000002</v>
      </c>
      <c r="BE5">
        <v>15.545</v>
      </c>
      <c r="BF5">
        <v>8.1100000000000005E-2</v>
      </c>
      <c r="BG5">
        <v>0.17230000000000001</v>
      </c>
      <c r="BH5">
        <v>18.085000000000001</v>
      </c>
      <c r="BI5">
        <v>5.33E-2</v>
      </c>
      <c r="BJ5">
        <v>0.1033</v>
      </c>
    </row>
    <row r="6" spans="1:62">
      <c r="A6" t="s">
        <v>41</v>
      </c>
      <c r="B6" t="s">
        <v>25</v>
      </c>
      <c r="C6">
        <v>2.5</v>
      </c>
      <c r="D6">
        <v>4.5179999999999998</v>
      </c>
      <c r="E6">
        <v>5.5429000000000004</v>
      </c>
      <c r="F6">
        <v>9.3192000000000004</v>
      </c>
      <c r="G6" s="12">
        <f t="shared" si="0"/>
        <v>2.517582257240826</v>
      </c>
      <c r="M6">
        <v>2.5238</v>
      </c>
      <c r="N6">
        <f t="shared" si="1"/>
        <v>2.4957991402891753</v>
      </c>
      <c r="S6" t="s">
        <v>119</v>
      </c>
      <c r="T6" t="s">
        <v>124</v>
      </c>
      <c r="U6">
        <v>5</v>
      </c>
      <c r="V6">
        <v>4.431</v>
      </c>
      <c r="W6">
        <v>15.960699999999999</v>
      </c>
      <c r="X6">
        <v>97.493399999999994</v>
      </c>
      <c r="AB6">
        <v>11.773999999999999</v>
      </c>
      <c r="AC6">
        <v>4.5900000000000003E-2</v>
      </c>
      <c r="AD6">
        <v>0.1489</v>
      </c>
      <c r="AE6">
        <v>19.097999999999999</v>
      </c>
      <c r="AF6">
        <v>4.4400000000000002E-2</v>
      </c>
      <c r="AG6">
        <v>8.1000000000000003E-2</v>
      </c>
      <c r="AI6" t="s">
        <v>25</v>
      </c>
      <c r="AJ6">
        <v>2.5</v>
      </c>
      <c r="AK6">
        <v>4.3949999999999996</v>
      </c>
      <c r="AL6">
        <v>8.4304000000000006</v>
      </c>
      <c r="AQ6" t="s">
        <v>492</v>
      </c>
      <c r="AR6">
        <v>2.5</v>
      </c>
      <c r="AV6">
        <v>6.4379999999999997</v>
      </c>
      <c r="AW6">
        <v>0.2</v>
      </c>
      <c r="AX6">
        <v>0.15859999999999999</v>
      </c>
      <c r="AY6" s="194">
        <v>9.548</v>
      </c>
      <c r="AZ6" s="194">
        <v>250.26179999999999</v>
      </c>
      <c r="BA6" s="194">
        <v>871.28319999999997</v>
      </c>
      <c r="BB6">
        <v>10.295</v>
      </c>
      <c r="BC6">
        <v>0.26719999999999999</v>
      </c>
      <c r="BD6">
        <v>0.42380000000000001</v>
      </c>
      <c r="BE6">
        <v>15.551</v>
      </c>
      <c r="BF6">
        <v>6.1199999999999997E-2</v>
      </c>
      <c r="BG6">
        <v>0.13059999999999999</v>
      </c>
      <c r="BH6">
        <v>18.085000000000001</v>
      </c>
      <c r="BI6">
        <v>3.4000000000000002E-2</v>
      </c>
      <c r="BJ6">
        <v>6.6199999999999995E-2</v>
      </c>
    </row>
    <row r="7" spans="1:62">
      <c r="A7" t="s">
        <v>41</v>
      </c>
      <c r="B7" t="s">
        <v>26</v>
      </c>
      <c r="C7">
        <v>3</v>
      </c>
      <c r="D7">
        <v>4.524</v>
      </c>
      <c r="E7">
        <v>6.5406000000000004</v>
      </c>
      <c r="F7">
        <v>11.8286</v>
      </c>
      <c r="G7" s="12">
        <f t="shared" si="0"/>
        <v>2.8815203910410738</v>
      </c>
      <c r="M7">
        <v>2.8986999999999998</v>
      </c>
      <c r="N7">
        <f t="shared" si="1"/>
        <v>2.8620554904259472</v>
      </c>
      <c r="S7" t="s">
        <v>119</v>
      </c>
      <c r="T7" t="s">
        <v>125</v>
      </c>
      <c r="U7">
        <v>0</v>
      </c>
      <c r="Y7">
        <v>6.7839999999999998</v>
      </c>
      <c r="Z7">
        <v>1.5708</v>
      </c>
      <c r="AA7">
        <v>8.0250000000000004</v>
      </c>
      <c r="AB7">
        <v>11.804</v>
      </c>
      <c r="AC7">
        <v>2.4668999999999999</v>
      </c>
      <c r="AD7">
        <v>8.1189999999999998</v>
      </c>
      <c r="AE7">
        <v>19.148</v>
      </c>
      <c r="AF7">
        <v>0.1016</v>
      </c>
      <c r="AG7">
        <v>0.1913</v>
      </c>
      <c r="AI7" t="s">
        <v>26</v>
      </c>
      <c r="AJ7">
        <v>3</v>
      </c>
      <c r="AK7">
        <v>4.4009999999999998</v>
      </c>
      <c r="AL7">
        <v>10.170299999999999</v>
      </c>
      <c r="AQ7" t="s">
        <v>493</v>
      </c>
      <c r="AR7">
        <v>5</v>
      </c>
      <c r="AS7">
        <v>4.984</v>
      </c>
      <c r="AT7">
        <v>0.1709</v>
      </c>
      <c r="AU7">
        <v>0.55579999999999996</v>
      </c>
      <c r="AV7">
        <v>6.4240000000000004</v>
      </c>
      <c r="AW7">
        <v>0.41039999999999999</v>
      </c>
      <c r="AX7">
        <v>1.4735</v>
      </c>
      <c r="AY7" s="194">
        <v>9.6579999999999995</v>
      </c>
      <c r="AZ7" s="194">
        <v>507.19549999999998</v>
      </c>
      <c r="BA7" s="194">
        <v>1350.9117000000001</v>
      </c>
      <c r="BB7">
        <v>10.708</v>
      </c>
      <c r="BC7">
        <v>0.33879999999999999</v>
      </c>
      <c r="BD7">
        <v>0.92679999999999996</v>
      </c>
      <c r="BE7">
        <v>15.528</v>
      </c>
      <c r="BF7">
        <v>0.68559999999999999</v>
      </c>
      <c r="BG7">
        <v>1.4798</v>
      </c>
      <c r="BH7">
        <v>18.061</v>
      </c>
      <c r="BI7">
        <v>0.22570000000000001</v>
      </c>
      <c r="BJ7">
        <v>0.43080000000000002</v>
      </c>
    </row>
    <row r="8" spans="1:62">
      <c r="A8" t="s">
        <v>41</v>
      </c>
      <c r="B8" t="s">
        <v>27</v>
      </c>
      <c r="C8">
        <v>5</v>
      </c>
      <c r="D8">
        <v>4.548</v>
      </c>
      <c r="E8">
        <v>12.372199999999999</v>
      </c>
      <c r="F8">
        <v>20.738600000000002</v>
      </c>
      <c r="G8" s="12">
        <f t="shared" si="0"/>
        <v>5.008754650908295</v>
      </c>
      <c r="M8">
        <v>5.0903999999999998</v>
      </c>
      <c r="N8">
        <f t="shared" si="1"/>
        <v>5.0032239155920273</v>
      </c>
      <c r="S8" t="s">
        <v>119</v>
      </c>
      <c r="T8" t="s">
        <v>125</v>
      </c>
      <c r="U8">
        <v>0</v>
      </c>
      <c r="Y8">
        <v>6.758</v>
      </c>
      <c r="Z8">
        <v>1.7178</v>
      </c>
      <c r="AA8">
        <v>8.0053999999999998</v>
      </c>
      <c r="AB8">
        <v>11.765000000000001</v>
      </c>
      <c r="AC8">
        <v>2.4571000000000001</v>
      </c>
      <c r="AD8">
        <v>8.1014999999999997</v>
      </c>
      <c r="AE8">
        <v>19.100999999999999</v>
      </c>
      <c r="AF8">
        <v>0.1045</v>
      </c>
      <c r="AG8">
        <v>0.193</v>
      </c>
      <c r="AI8" t="s">
        <v>27</v>
      </c>
      <c r="AJ8">
        <v>5</v>
      </c>
      <c r="AK8">
        <v>4.4240000000000004</v>
      </c>
      <c r="AL8">
        <v>16.628</v>
      </c>
      <c r="AQ8" t="s">
        <v>494</v>
      </c>
      <c r="AR8">
        <v>10</v>
      </c>
      <c r="AV8">
        <v>6.39</v>
      </c>
      <c r="AW8">
        <v>0.48380000000000001</v>
      </c>
      <c r="AX8">
        <v>0.62849999999999995</v>
      </c>
      <c r="AY8" s="194">
        <v>9.84</v>
      </c>
      <c r="AZ8" s="194">
        <v>989.36379999999997</v>
      </c>
      <c r="BA8" s="194">
        <v>1859.5061000000001</v>
      </c>
      <c r="BB8">
        <v>10.577</v>
      </c>
      <c r="BC8">
        <v>1.3575999999999999</v>
      </c>
      <c r="BD8">
        <v>1.853</v>
      </c>
      <c r="BE8">
        <v>15.547000000000001</v>
      </c>
      <c r="BF8">
        <v>6.4199999999999993E-2</v>
      </c>
      <c r="BG8">
        <v>0.13850000000000001</v>
      </c>
      <c r="BH8">
        <v>18.053999999999998</v>
      </c>
      <c r="BI8">
        <v>7.2300000000000003E-2</v>
      </c>
      <c r="BJ8">
        <v>0.1434</v>
      </c>
    </row>
    <row r="9" spans="1:62">
      <c r="A9" t="s">
        <v>41</v>
      </c>
      <c r="B9" t="s">
        <v>42</v>
      </c>
      <c r="C9">
        <v>2</v>
      </c>
      <c r="D9">
        <v>4.4980000000000002</v>
      </c>
      <c r="E9">
        <v>4.5476999999999999</v>
      </c>
      <c r="F9">
        <v>8.6674000000000007</v>
      </c>
      <c r="G9" s="12">
        <f t="shared" si="0"/>
        <v>2.1545560662435248</v>
      </c>
      <c r="M9">
        <v>2.1497000000000002</v>
      </c>
      <c r="N9">
        <f t="shared" si="1"/>
        <v>2.1303243454474403</v>
      </c>
      <c r="AI9" t="s">
        <v>83</v>
      </c>
      <c r="AJ9">
        <v>0.5</v>
      </c>
      <c r="AK9">
        <v>4.3579999999999997</v>
      </c>
      <c r="AL9">
        <v>1.6105</v>
      </c>
      <c r="AQ9" t="s">
        <v>400</v>
      </c>
      <c r="AR9">
        <v>0</v>
      </c>
      <c r="AS9">
        <v>6.5209999999999999</v>
      </c>
      <c r="AT9">
        <v>1.1012</v>
      </c>
      <c r="AU9">
        <v>2.0171000000000001</v>
      </c>
      <c r="AV9">
        <v>8.9179999999999993</v>
      </c>
      <c r="AW9">
        <v>0.65700000000000003</v>
      </c>
      <c r="AX9">
        <v>0.38469999999999999</v>
      </c>
      <c r="AY9">
        <v>10.848000000000001</v>
      </c>
      <c r="AZ9">
        <v>1.242</v>
      </c>
      <c r="BA9">
        <v>4.3574999999999999</v>
      </c>
      <c r="BB9">
        <v>15.538</v>
      </c>
      <c r="BC9">
        <v>4.3200000000000002E-2</v>
      </c>
      <c r="BD9">
        <v>9.1999999999999998E-2</v>
      </c>
      <c r="BE9">
        <v>18.207999999999998</v>
      </c>
      <c r="BF9">
        <v>5.1900000000000002E-2</v>
      </c>
      <c r="BG9">
        <v>0.10199999999999999</v>
      </c>
    </row>
    <row r="10" spans="1:62">
      <c r="A10" t="s">
        <v>41</v>
      </c>
      <c r="B10" t="s">
        <v>42</v>
      </c>
      <c r="C10">
        <v>2</v>
      </c>
      <c r="D10">
        <v>4.6139999999999999</v>
      </c>
      <c r="E10">
        <v>6.3844000000000003</v>
      </c>
      <c r="F10">
        <v>11.3072</v>
      </c>
      <c r="G10" s="12">
        <f t="shared" si="0"/>
        <v>2.8245422047129205</v>
      </c>
      <c r="M10">
        <v>2.1764000000000001</v>
      </c>
      <c r="N10">
        <f t="shared" si="1"/>
        <v>2.1564087534193042</v>
      </c>
      <c r="AQ10" t="s">
        <v>400</v>
      </c>
      <c r="AR10">
        <v>0</v>
      </c>
      <c r="AS10">
        <v>6.4740000000000002</v>
      </c>
      <c r="AT10">
        <v>1.0349999999999999</v>
      </c>
      <c r="AU10">
        <v>1.9538</v>
      </c>
      <c r="AV10">
        <v>10.778</v>
      </c>
      <c r="AW10">
        <v>1.2545999999999999</v>
      </c>
      <c r="AX10">
        <v>4.4260000000000002</v>
      </c>
    </row>
    <row r="11" spans="1:62">
      <c r="A11" t="s">
        <v>41</v>
      </c>
      <c r="B11" t="s">
        <v>19</v>
      </c>
      <c r="C11">
        <v>0</v>
      </c>
      <c r="D11">
        <v>6.968</v>
      </c>
      <c r="E11">
        <v>0.98029999999999995</v>
      </c>
      <c r="F11">
        <v>3.1284000000000001</v>
      </c>
      <c r="G11" s="12">
        <f t="shared" si="0"/>
        <v>0.85325016414970456</v>
      </c>
      <c r="H11">
        <v>12.375</v>
      </c>
      <c r="I11">
        <v>2.2124999999999999</v>
      </c>
      <c r="J11">
        <v>4.6841999999999997</v>
      </c>
      <c r="M11">
        <v>0</v>
      </c>
    </row>
    <row r="12" spans="1:62" ht="31">
      <c r="A12" t="s">
        <v>41</v>
      </c>
      <c r="B12" t="s">
        <v>20</v>
      </c>
      <c r="C12">
        <v>0</v>
      </c>
      <c r="D12">
        <v>6.9610000000000003</v>
      </c>
      <c r="E12">
        <v>1.0492999999999999</v>
      </c>
      <c r="F12">
        <v>2.9586999999999999</v>
      </c>
      <c r="G12" s="12">
        <f t="shared" si="0"/>
        <v>0.87841978551105282</v>
      </c>
      <c r="H12">
        <v>12.358000000000001</v>
      </c>
      <c r="I12">
        <v>2.2214999999999998</v>
      </c>
      <c r="J12">
        <v>4.7553999999999998</v>
      </c>
      <c r="M12">
        <v>0</v>
      </c>
      <c r="AP12" s="10" t="s">
        <v>10</v>
      </c>
      <c r="AQ12" s="10" t="s">
        <v>15</v>
      </c>
      <c r="AR12" s="10" t="s">
        <v>16</v>
      </c>
      <c r="AS12" s="10" t="s">
        <v>2</v>
      </c>
      <c r="AT12" s="10" t="s">
        <v>18</v>
      </c>
      <c r="AU12" s="10" t="s">
        <v>17</v>
      </c>
      <c r="AV12" s="10" t="s">
        <v>2</v>
      </c>
      <c r="AW12" s="10" t="s">
        <v>18</v>
      </c>
      <c r="AX12" s="10" t="s">
        <v>17</v>
      </c>
      <c r="AY12" s="10" t="s">
        <v>2</v>
      </c>
      <c r="AZ12" s="10" t="s">
        <v>18</v>
      </c>
      <c r="BA12" s="10" t="s">
        <v>17</v>
      </c>
      <c r="BB12" s="10" t="s">
        <v>2</v>
      </c>
      <c r="BC12" s="10" t="s">
        <v>18</v>
      </c>
      <c r="BD12" s="10" t="s">
        <v>17</v>
      </c>
      <c r="BE12" s="10" t="s">
        <v>2</v>
      </c>
      <c r="BF12" s="10" t="s">
        <v>18</v>
      </c>
      <c r="BG12" s="10" t="s">
        <v>17</v>
      </c>
      <c r="BH12" s="10" t="s">
        <v>606</v>
      </c>
    </row>
    <row r="13" spans="1:62">
      <c r="A13" t="s">
        <v>41</v>
      </c>
      <c r="B13" t="s">
        <v>43</v>
      </c>
      <c r="C13">
        <v>0</v>
      </c>
      <c r="D13">
        <v>6.9779999999999998</v>
      </c>
      <c r="E13">
        <v>0.79610000000000003</v>
      </c>
      <c r="F13">
        <v>2.1587999999999998</v>
      </c>
      <c r="G13" s="12">
        <f t="shared" si="0"/>
        <v>0.78605821842854018</v>
      </c>
      <c r="H13">
        <v>12.353999999999999</v>
      </c>
      <c r="I13">
        <v>1.6774</v>
      </c>
      <c r="J13">
        <v>3.2865000000000002</v>
      </c>
      <c r="M13">
        <v>0</v>
      </c>
      <c r="AP13" t="s">
        <v>605</v>
      </c>
      <c r="AQ13">
        <v>0</v>
      </c>
      <c r="AR13">
        <v>0</v>
      </c>
      <c r="AZ13">
        <v>0</v>
      </c>
    </row>
    <row r="14" spans="1:62">
      <c r="A14" t="s">
        <v>41</v>
      </c>
      <c r="B14" t="s">
        <v>44</v>
      </c>
      <c r="C14">
        <v>0</v>
      </c>
      <c r="D14">
        <v>7.2009999999999996</v>
      </c>
      <c r="E14">
        <v>1.1957</v>
      </c>
      <c r="F14">
        <v>3.7595999999999998</v>
      </c>
      <c r="G14" s="12">
        <f t="shared" si="0"/>
        <v>0.93182315605165245</v>
      </c>
      <c r="H14">
        <v>12.901</v>
      </c>
      <c r="I14">
        <v>2.8654999999999999</v>
      </c>
      <c r="J14">
        <v>6.3935000000000004</v>
      </c>
      <c r="M14">
        <v>0.45390000000000003</v>
      </c>
      <c r="AP14" t="s">
        <v>714</v>
      </c>
      <c r="AQ14" t="s">
        <v>495</v>
      </c>
      <c r="AR14">
        <v>0.1</v>
      </c>
      <c r="AS14">
        <v>4.9980000000000002</v>
      </c>
      <c r="AT14">
        <v>0.3125</v>
      </c>
      <c r="AU14">
        <v>0.98080000000000001</v>
      </c>
      <c r="AV14">
        <v>6.4279999999999999</v>
      </c>
      <c r="AW14">
        <v>0.49580000000000002</v>
      </c>
      <c r="AX14">
        <v>0.48170000000000002</v>
      </c>
      <c r="AY14">
        <v>9.3650000000000002</v>
      </c>
      <c r="AZ14">
        <v>7.8147000000000002</v>
      </c>
      <c r="BA14">
        <v>33.649900000000002</v>
      </c>
      <c r="BB14">
        <v>10.675000000000001</v>
      </c>
      <c r="BC14">
        <v>1.41</v>
      </c>
      <c r="BD14">
        <v>5.0479000000000003</v>
      </c>
      <c r="BE14">
        <v>17.745000000000001</v>
      </c>
      <c r="BF14">
        <v>6.93E-2</v>
      </c>
      <c r="BG14">
        <v>0.1394</v>
      </c>
    </row>
    <row r="15" spans="1:62">
      <c r="A15" t="s">
        <v>41</v>
      </c>
      <c r="B15" t="s">
        <v>45</v>
      </c>
      <c r="C15">
        <v>0</v>
      </c>
      <c r="D15">
        <v>7.1879999999999997</v>
      </c>
      <c r="E15">
        <v>1.4328000000000001</v>
      </c>
      <c r="F15">
        <v>4.1356000000000002</v>
      </c>
      <c r="G15" s="12">
        <f t="shared" si="0"/>
        <v>1.0183118114831837</v>
      </c>
      <c r="H15">
        <v>12.848000000000001</v>
      </c>
      <c r="I15">
        <v>2.4137</v>
      </c>
      <c r="J15">
        <v>6.1026999999999996</v>
      </c>
      <c r="M15">
        <v>0</v>
      </c>
      <c r="AQ15" t="s">
        <v>490</v>
      </c>
      <c r="AR15">
        <v>0.5</v>
      </c>
      <c r="AS15">
        <v>4.9980000000000002</v>
      </c>
      <c r="AT15">
        <v>0.18709999999999999</v>
      </c>
      <c r="AU15">
        <v>0.36199999999999999</v>
      </c>
      <c r="AV15">
        <v>6.4279999999999999</v>
      </c>
      <c r="AW15">
        <v>0.26900000000000002</v>
      </c>
      <c r="AX15">
        <v>0.30059999999999998</v>
      </c>
      <c r="AY15">
        <v>9.3780000000000001</v>
      </c>
      <c r="AZ15">
        <v>48.796399999999998</v>
      </c>
      <c r="BA15">
        <v>207.06100000000001</v>
      </c>
    </row>
    <row r="16" spans="1:62">
      <c r="AQ16" t="s">
        <v>491</v>
      </c>
      <c r="AR16">
        <v>1</v>
      </c>
      <c r="AV16">
        <v>6.4240000000000004</v>
      </c>
      <c r="AW16">
        <v>0.4037</v>
      </c>
      <c r="AX16">
        <v>0.30780000000000002</v>
      </c>
      <c r="AY16">
        <v>9.3940000000000001</v>
      </c>
      <c r="AZ16">
        <v>104.518</v>
      </c>
      <c r="BA16">
        <v>427.64139999999998</v>
      </c>
      <c r="BB16">
        <v>15.577999999999999</v>
      </c>
      <c r="BC16">
        <v>3.1399999999999997E-2</v>
      </c>
      <c r="BD16">
        <v>6.4100000000000004E-2</v>
      </c>
      <c r="BE16">
        <v>17.751000000000001</v>
      </c>
      <c r="BF16">
        <v>4.1200000000000001E-2</v>
      </c>
      <c r="BG16">
        <v>8.0299999999999996E-2</v>
      </c>
    </row>
    <row r="17" spans="1:60">
      <c r="AQ17" t="s">
        <v>492</v>
      </c>
      <c r="AR17">
        <v>2.5</v>
      </c>
      <c r="AV17">
        <v>6.4109999999999996</v>
      </c>
      <c r="AW17">
        <v>0.39250000000000002</v>
      </c>
      <c r="AX17">
        <v>0.29089999999999999</v>
      </c>
      <c r="AY17">
        <v>9.4610000000000003</v>
      </c>
      <c r="AZ17">
        <v>274.31470000000002</v>
      </c>
      <c r="BA17">
        <v>968.49639999999999</v>
      </c>
      <c r="BB17">
        <v>15.568</v>
      </c>
      <c r="BC17">
        <v>3.5400000000000001E-2</v>
      </c>
      <c r="BD17">
        <v>7.6399999999999996E-2</v>
      </c>
      <c r="BE17">
        <v>17.734000000000002</v>
      </c>
      <c r="BF17">
        <v>3.1099999999999999E-2</v>
      </c>
      <c r="BG17">
        <v>6.0999999999999999E-2</v>
      </c>
    </row>
    <row r="18" spans="1:60" ht="31">
      <c r="A18" s="10" t="s">
        <v>10</v>
      </c>
      <c r="B18" s="10" t="s">
        <v>15</v>
      </c>
      <c r="C18" s="10" t="s">
        <v>16</v>
      </c>
      <c r="D18" s="10" t="s">
        <v>2</v>
      </c>
      <c r="E18" s="10" t="s">
        <v>18</v>
      </c>
      <c r="F18" s="10" t="s">
        <v>17</v>
      </c>
      <c r="G18" s="208" t="s">
        <v>901</v>
      </c>
      <c r="H18" s="10" t="s">
        <v>2</v>
      </c>
      <c r="I18" s="10" t="s">
        <v>18</v>
      </c>
      <c r="J18" s="10" t="s">
        <v>17</v>
      </c>
      <c r="M18" s="10" t="s">
        <v>921</v>
      </c>
      <c r="AQ18" t="s">
        <v>493</v>
      </c>
      <c r="AR18">
        <v>5</v>
      </c>
      <c r="AS18">
        <v>4.968</v>
      </c>
      <c r="AT18">
        <v>0.2248</v>
      </c>
      <c r="AU18">
        <v>0.54479999999999995</v>
      </c>
      <c r="AV18">
        <v>6.3979999999999997</v>
      </c>
      <c r="AW18">
        <v>0.44290000000000002</v>
      </c>
      <c r="AX18">
        <v>1.2421</v>
      </c>
      <c r="AY18">
        <v>9.5779999999999994</v>
      </c>
      <c r="AZ18">
        <v>554.92259999999999</v>
      </c>
      <c r="BA18">
        <v>1496.2315000000001</v>
      </c>
      <c r="BB18">
        <v>15.565</v>
      </c>
      <c r="BC18">
        <v>0.42880000000000001</v>
      </c>
      <c r="BD18">
        <v>0.91720000000000002</v>
      </c>
      <c r="BE18">
        <v>17.731000000000002</v>
      </c>
      <c r="BF18">
        <v>0.1953</v>
      </c>
      <c r="BG18">
        <v>0.38890000000000002</v>
      </c>
    </row>
    <row r="19" spans="1:60">
      <c r="A19" s="10"/>
      <c r="B19" s="10"/>
      <c r="C19" s="10">
        <v>0</v>
      </c>
      <c r="D19" s="10"/>
      <c r="E19" s="10"/>
      <c r="F19" s="10">
        <v>0</v>
      </c>
      <c r="G19" s="208"/>
      <c r="H19" s="10"/>
      <c r="I19" s="10"/>
      <c r="J19" s="10"/>
    </row>
    <row r="20" spans="1:60">
      <c r="A20" t="s">
        <v>51</v>
      </c>
      <c r="B20" t="s">
        <v>21</v>
      </c>
      <c r="C20">
        <v>0.5</v>
      </c>
      <c r="D20">
        <v>4.4740000000000002</v>
      </c>
      <c r="E20">
        <v>0.66310000000000002</v>
      </c>
      <c r="F20">
        <v>2.1436000000000002</v>
      </c>
      <c r="G20" s="12">
        <f>(E20+1.0236)/3.1008</f>
        <v>0.54395639834881326</v>
      </c>
      <c r="K20" t="s">
        <v>76</v>
      </c>
      <c r="M20">
        <v>0.68979999999999997</v>
      </c>
      <c r="N20">
        <f>(M20-0.0559)/1.1653</f>
        <v>0.54398009096370037</v>
      </c>
      <c r="T20" t="s">
        <v>129</v>
      </c>
      <c r="V20" s="32">
        <v>0.42499999999999999</v>
      </c>
      <c r="W20" t="s">
        <v>133</v>
      </c>
      <c r="Z20" t="s">
        <v>138</v>
      </c>
      <c r="AQ20" t="s">
        <v>494</v>
      </c>
      <c r="AR20">
        <v>10</v>
      </c>
      <c r="AV20">
        <v>6.3680000000000003</v>
      </c>
      <c r="AW20">
        <v>0.49509999999999998</v>
      </c>
      <c r="AX20">
        <v>0.6573</v>
      </c>
      <c r="AY20">
        <v>9.7680000000000007</v>
      </c>
      <c r="AZ20">
        <v>1116.4902999999999</v>
      </c>
      <c r="BA20">
        <v>2075.2788999999998</v>
      </c>
      <c r="BB20">
        <v>15.577999999999999</v>
      </c>
      <c r="BC20">
        <v>3.3799999999999997E-2</v>
      </c>
      <c r="BD20">
        <v>7.0099999999999996E-2</v>
      </c>
      <c r="BE20">
        <v>17.721</v>
      </c>
      <c r="BF20">
        <v>5.8299999999999998E-2</v>
      </c>
      <c r="BG20">
        <v>0.1163</v>
      </c>
    </row>
    <row r="21" spans="1:60">
      <c r="A21" t="s">
        <v>51</v>
      </c>
      <c r="B21" t="s">
        <v>22</v>
      </c>
      <c r="C21">
        <v>1</v>
      </c>
      <c r="D21">
        <v>4.508</v>
      </c>
      <c r="E21">
        <v>2.2864</v>
      </c>
      <c r="F21">
        <v>5.1330999999999998</v>
      </c>
      <c r="G21" s="12">
        <f t="shared" ref="G21:G33" si="2">(E21+1.0236)/3.1008</f>
        <v>1.0674664602683179</v>
      </c>
      <c r="M21">
        <v>1.2999000000000001</v>
      </c>
      <c r="N21">
        <f t="shared" ref="N21:N29" si="3">(M21-0.0559)/1.1653</f>
        <v>1.0675362567579163</v>
      </c>
      <c r="T21" t="s">
        <v>130</v>
      </c>
      <c r="V21" s="32">
        <v>0.52083333333333337</v>
      </c>
      <c r="W21" t="s">
        <v>132</v>
      </c>
      <c r="AQ21" t="s">
        <v>400</v>
      </c>
      <c r="AR21">
        <v>0</v>
      </c>
      <c r="AS21">
        <v>6.468</v>
      </c>
      <c r="AT21">
        <v>1.3220000000000001</v>
      </c>
      <c r="AU21">
        <v>2.4155000000000002</v>
      </c>
      <c r="AV21">
        <v>10.750999999999999</v>
      </c>
      <c r="AW21">
        <v>1.6373</v>
      </c>
      <c r="AX21">
        <v>5.016</v>
      </c>
      <c r="AY21">
        <v>15.885</v>
      </c>
      <c r="AZ21">
        <v>0.11890000000000001</v>
      </c>
      <c r="BA21">
        <v>0.1457</v>
      </c>
    </row>
    <row r="22" spans="1:60">
      <c r="A22" t="s">
        <v>51</v>
      </c>
      <c r="B22" t="s">
        <v>23</v>
      </c>
      <c r="C22">
        <v>1.5</v>
      </c>
      <c r="D22">
        <v>4.5049999999999999</v>
      </c>
      <c r="E22">
        <v>3.5495999999999999</v>
      </c>
      <c r="F22">
        <v>7.9455</v>
      </c>
      <c r="G22" s="12">
        <f t="shared" si="2"/>
        <v>1.4748452012383901</v>
      </c>
      <c r="K22" t="s">
        <v>884</v>
      </c>
      <c r="M22">
        <v>1.7746</v>
      </c>
      <c r="N22">
        <f t="shared" si="3"/>
        <v>1.474899167596327</v>
      </c>
      <c r="T22" t="s">
        <v>131</v>
      </c>
      <c r="V22" s="32">
        <v>0.18958333333333333</v>
      </c>
      <c r="W22" t="s">
        <v>134</v>
      </c>
      <c r="AQ22" t="s">
        <v>400</v>
      </c>
      <c r="AR22">
        <v>0</v>
      </c>
      <c r="AS22">
        <v>6.4279999999999999</v>
      </c>
      <c r="AT22">
        <v>0.3805</v>
      </c>
      <c r="AU22">
        <v>2.1535000000000002</v>
      </c>
      <c r="AV22">
        <v>10.675000000000001</v>
      </c>
      <c r="AW22">
        <v>1.3758999999999999</v>
      </c>
      <c r="AX22">
        <v>4.9143999999999997</v>
      </c>
    </row>
    <row r="23" spans="1:60">
      <c r="A23" t="s">
        <v>51</v>
      </c>
      <c r="B23" t="s">
        <v>24</v>
      </c>
      <c r="C23">
        <v>2</v>
      </c>
      <c r="D23">
        <v>4.5110000000000001</v>
      </c>
      <c r="E23">
        <v>5.4646999999999997</v>
      </c>
      <c r="F23">
        <v>11.367900000000001</v>
      </c>
      <c r="G23" s="12">
        <f t="shared" si="2"/>
        <v>2.0924600103199174</v>
      </c>
      <c r="M23">
        <v>2.4943</v>
      </c>
      <c r="N23">
        <f t="shared" si="3"/>
        <v>2.0925083669441347</v>
      </c>
      <c r="W23" t="s">
        <v>135</v>
      </c>
      <c r="X23" t="s">
        <v>136</v>
      </c>
      <c r="Y23" t="s">
        <v>137</v>
      </c>
      <c r="Z23" t="s">
        <v>140</v>
      </c>
      <c r="AA23" t="s">
        <v>141</v>
      </c>
      <c r="AB23" t="s">
        <v>142</v>
      </c>
      <c r="AC23" t="s">
        <v>143</v>
      </c>
      <c r="AD23" t="s">
        <v>140</v>
      </c>
      <c r="AE23" t="s">
        <v>141</v>
      </c>
      <c r="AF23" t="s">
        <v>142</v>
      </c>
      <c r="AG23" t="s">
        <v>144</v>
      </c>
      <c r="AH23" t="s">
        <v>140</v>
      </c>
      <c r="AI23" t="s">
        <v>141</v>
      </c>
      <c r="AJ23" t="s">
        <v>142</v>
      </c>
      <c r="AK23" t="s">
        <v>145</v>
      </c>
      <c r="AL23" t="s">
        <v>146</v>
      </c>
      <c r="AM23" t="s">
        <v>147</v>
      </c>
    </row>
    <row r="24" spans="1:60" ht="31">
      <c r="A24" t="s">
        <v>51</v>
      </c>
      <c r="B24" t="s">
        <v>25</v>
      </c>
      <c r="C24">
        <v>2.5</v>
      </c>
      <c r="D24">
        <v>4.5579999999999998</v>
      </c>
      <c r="E24">
        <v>6.4682000000000004</v>
      </c>
      <c r="F24">
        <v>13.5121</v>
      </c>
      <c r="G24" s="12">
        <f t="shared" si="2"/>
        <v>2.4160861713106296</v>
      </c>
      <c r="M24">
        <v>2.8715000000000002</v>
      </c>
      <c r="N24">
        <f t="shared" si="3"/>
        <v>2.4162018364369695</v>
      </c>
      <c r="U24" s="14">
        <v>44462</v>
      </c>
      <c r="V24" s="32">
        <v>0.23194444444444443</v>
      </c>
      <c r="Y24">
        <v>38</v>
      </c>
      <c r="Z24">
        <f>(38*24)+7</f>
        <v>919</v>
      </c>
      <c r="AA24">
        <f>34-12</f>
        <v>22</v>
      </c>
      <c r="AB24">
        <f>(Z24*60)+AA24</f>
        <v>55162</v>
      </c>
      <c r="AC24">
        <v>21</v>
      </c>
      <c r="AD24">
        <f>(AC24*24)+5</f>
        <v>509</v>
      </c>
      <c r="AE24">
        <v>4</v>
      </c>
      <c r="AF24">
        <f>(AD24*60)+AE24</f>
        <v>30544</v>
      </c>
      <c r="AG24">
        <v>0</v>
      </c>
      <c r="AI24">
        <v>59</v>
      </c>
      <c r="AJ24">
        <f>(AH24*60)+AI24</f>
        <v>59</v>
      </c>
      <c r="AK24">
        <f>AB24/60</f>
        <v>919.36666666666667</v>
      </c>
      <c r="AL24">
        <f>AF24/60</f>
        <v>509.06666666666666</v>
      </c>
      <c r="AM24">
        <f>AJ24/60</f>
        <v>0.98333333333333328</v>
      </c>
      <c r="AP24" s="10" t="s">
        <v>10</v>
      </c>
      <c r="AQ24" s="10" t="s">
        <v>15</v>
      </c>
      <c r="AR24" s="10" t="s">
        <v>16</v>
      </c>
      <c r="AS24" s="10" t="s">
        <v>2</v>
      </c>
      <c r="AT24" s="10" t="s">
        <v>18</v>
      </c>
      <c r="AU24" s="10" t="s">
        <v>17</v>
      </c>
      <c r="AV24" s="10" t="s">
        <v>2</v>
      </c>
      <c r="AW24" s="10" t="s">
        <v>18</v>
      </c>
      <c r="AX24" s="10" t="s">
        <v>17</v>
      </c>
      <c r="AY24" s="10" t="s">
        <v>2</v>
      </c>
      <c r="AZ24" s="10" t="s">
        <v>18</v>
      </c>
      <c r="BA24" s="10" t="s">
        <v>17</v>
      </c>
      <c r="BB24" s="10" t="s">
        <v>2</v>
      </c>
      <c r="BC24" s="10" t="s">
        <v>18</v>
      </c>
      <c r="BD24" s="10" t="s">
        <v>17</v>
      </c>
      <c r="BE24" s="10" t="s">
        <v>2</v>
      </c>
      <c r="BF24" s="10" t="s">
        <v>18</v>
      </c>
      <c r="BG24" s="10" t="s">
        <v>17</v>
      </c>
      <c r="BH24" s="10" t="s">
        <v>741</v>
      </c>
    </row>
    <row r="25" spans="1:60">
      <c r="A25" t="s">
        <v>51</v>
      </c>
      <c r="B25" t="s">
        <v>26</v>
      </c>
      <c r="C25">
        <v>3</v>
      </c>
      <c r="D25">
        <v>4.5810000000000004</v>
      </c>
      <c r="E25">
        <v>8.2116000000000007</v>
      </c>
      <c r="F25">
        <v>16.1557</v>
      </c>
      <c r="G25" s="12">
        <f t="shared" si="2"/>
        <v>2.9783281733746132</v>
      </c>
      <c r="M25">
        <v>3.5266999999999999</v>
      </c>
      <c r="N25">
        <f t="shared" si="3"/>
        <v>2.9784604822792415</v>
      </c>
      <c r="U25" s="14">
        <v>44463</v>
      </c>
      <c r="V25" s="32">
        <v>0.50624999999999998</v>
      </c>
      <c r="Y25">
        <v>39</v>
      </c>
      <c r="Z25">
        <f>(Y25*24)+1</f>
        <v>937</v>
      </c>
      <c r="AA25">
        <f>60-3</f>
        <v>57</v>
      </c>
      <c r="AB25">
        <f t="shared" ref="AB25:AB28" si="4">(Z25*60)+AA25</f>
        <v>56277</v>
      </c>
      <c r="AC25">
        <v>22</v>
      </c>
      <c r="AD25">
        <f>(AC25*24)-1</f>
        <v>527</v>
      </c>
      <c r="AE25">
        <f>60-21</f>
        <v>39</v>
      </c>
      <c r="AF25">
        <f t="shared" ref="AF25:AF28" si="5">(AD25*60)+AE25</f>
        <v>31659</v>
      </c>
      <c r="AG25">
        <v>1</v>
      </c>
      <c r="AH25">
        <f>(AG25*24)-5</f>
        <v>19</v>
      </c>
      <c r="AI25">
        <v>36</v>
      </c>
      <c r="AJ25">
        <f t="shared" ref="AJ25:AJ28" si="6">(AH25*60)+AI25</f>
        <v>1176</v>
      </c>
      <c r="AK25">
        <f t="shared" ref="AK25:AK28" si="7">AB25/60</f>
        <v>937.95</v>
      </c>
      <c r="AL25">
        <f t="shared" ref="AL25:AL28" si="8">AF25/60</f>
        <v>527.65</v>
      </c>
      <c r="AM25">
        <f t="shared" ref="AM25:AM28" si="9">AJ25/60</f>
        <v>19.600000000000001</v>
      </c>
      <c r="AP25" t="s">
        <v>712</v>
      </c>
      <c r="AQ25">
        <v>0</v>
      </c>
      <c r="AR25">
        <v>0</v>
      </c>
      <c r="AZ25">
        <v>0</v>
      </c>
    </row>
    <row r="26" spans="1:60">
      <c r="A26" t="s">
        <v>51</v>
      </c>
      <c r="B26" t="s">
        <v>27</v>
      </c>
      <c r="C26">
        <v>5</v>
      </c>
      <c r="D26">
        <v>4.6100000000000003</v>
      </c>
      <c r="E26">
        <v>14.7544</v>
      </c>
      <c r="F26">
        <v>27.483799999999999</v>
      </c>
      <c r="G26" s="12">
        <f t="shared" si="2"/>
        <v>5.0883642930856556</v>
      </c>
      <c r="M26">
        <v>5.9856999999999996</v>
      </c>
      <c r="N26">
        <f t="shared" si="3"/>
        <v>5.0886467004204921</v>
      </c>
      <c r="U26" s="14">
        <v>44466</v>
      </c>
      <c r="V26" s="32">
        <v>0.47916666666666669</v>
      </c>
      <c r="W26" s="32">
        <v>0.47361111111111115</v>
      </c>
      <c r="Y26">
        <v>42</v>
      </c>
      <c r="Z26">
        <f>(Y26*24)+1</f>
        <v>1009</v>
      </c>
      <c r="AA26">
        <f>30-12</f>
        <v>18</v>
      </c>
      <c r="AB26">
        <f t="shared" si="4"/>
        <v>60558</v>
      </c>
      <c r="AC26">
        <v>25</v>
      </c>
      <c r="AD26">
        <f>(AC26*24)-1</f>
        <v>599</v>
      </c>
      <c r="AE26">
        <v>0</v>
      </c>
      <c r="AF26">
        <f t="shared" si="5"/>
        <v>35940</v>
      </c>
      <c r="AG26">
        <v>4</v>
      </c>
      <c r="AH26">
        <f>(AG26*24)-6</f>
        <v>90</v>
      </c>
      <c r="AI26">
        <v>49</v>
      </c>
      <c r="AJ26">
        <f t="shared" si="6"/>
        <v>5449</v>
      </c>
      <c r="AK26">
        <f t="shared" si="7"/>
        <v>1009.3</v>
      </c>
      <c r="AL26">
        <f t="shared" si="8"/>
        <v>599</v>
      </c>
      <c r="AM26">
        <f t="shared" si="9"/>
        <v>90.816666666666663</v>
      </c>
      <c r="AP26" t="s">
        <v>715</v>
      </c>
      <c r="AQ26" t="s">
        <v>495</v>
      </c>
      <c r="AR26">
        <v>0.1</v>
      </c>
      <c r="AS26">
        <v>4.9880000000000004</v>
      </c>
      <c r="AT26">
        <v>0.28710000000000002</v>
      </c>
      <c r="AU26">
        <v>0.83179999999999998</v>
      </c>
      <c r="AV26" t="s">
        <v>716</v>
      </c>
      <c r="AW26" t="s">
        <v>717</v>
      </c>
      <c r="AX26" t="s">
        <v>718</v>
      </c>
      <c r="AY26">
        <v>9.3309999999999995</v>
      </c>
      <c r="AZ26">
        <v>8.0267999999999997</v>
      </c>
      <c r="BA26">
        <v>34.458799999999997</v>
      </c>
      <c r="BB26">
        <v>10.631</v>
      </c>
      <c r="BC26">
        <v>1.4481999999999999</v>
      </c>
      <c r="BD26">
        <v>5.1942000000000004</v>
      </c>
      <c r="BE26">
        <v>17.617999999999999</v>
      </c>
      <c r="BF26">
        <v>6.9699999999999998E-2</v>
      </c>
      <c r="BG26">
        <v>0.1386</v>
      </c>
    </row>
    <row r="27" spans="1:60">
      <c r="A27" t="s">
        <v>51</v>
      </c>
      <c r="B27" t="s">
        <v>53</v>
      </c>
      <c r="C27">
        <v>2.5</v>
      </c>
      <c r="D27">
        <v>4.5679999999999996</v>
      </c>
      <c r="E27">
        <v>6.2823000000000002</v>
      </c>
      <c r="F27">
        <v>13.6859</v>
      </c>
      <c r="G27" s="12">
        <f t="shared" si="2"/>
        <v>2.3561339009287927</v>
      </c>
      <c r="M27">
        <v>2.8016999999999999</v>
      </c>
      <c r="N27">
        <f t="shared" si="3"/>
        <v>2.3563030979146999</v>
      </c>
      <c r="U27" s="14">
        <v>44467</v>
      </c>
      <c r="V27" s="32">
        <v>0.47916666666666669</v>
      </c>
      <c r="Y27">
        <v>43</v>
      </c>
      <c r="Z27">
        <f>(Y27*24)+1</f>
        <v>1033</v>
      </c>
      <c r="AA27">
        <f>30-12</f>
        <v>18</v>
      </c>
      <c r="AB27">
        <f t="shared" si="4"/>
        <v>61998</v>
      </c>
      <c r="AC27">
        <v>26</v>
      </c>
      <c r="AD27">
        <f>(AC27*24)-1</f>
        <v>623</v>
      </c>
      <c r="AF27">
        <f t="shared" si="5"/>
        <v>37380</v>
      </c>
      <c r="AG27">
        <v>5</v>
      </c>
      <c r="AH27">
        <f>(AG27*24)-6</f>
        <v>114</v>
      </c>
      <c r="AI27">
        <v>57</v>
      </c>
      <c r="AJ27">
        <f t="shared" si="6"/>
        <v>6897</v>
      </c>
      <c r="AK27">
        <f t="shared" si="7"/>
        <v>1033.3</v>
      </c>
      <c r="AL27">
        <f t="shared" si="8"/>
        <v>623</v>
      </c>
      <c r="AM27">
        <f t="shared" si="9"/>
        <v>114.95</v>
      </c>
      <c r="AQ27" t="s">
        <v>490</v>
      </c>
      <c r="AR27">
        <v>0.5</v>
      </c>
      <c r="AS27">
        <v>4.9850000000000003</v>
      </c>
      <c r="AT27">
        <v>0.17330000000000001</v>
      </c>
      <c r="AU27">
        <v>0.31859999999999999</v>
      </c>
      <c r="AV27" t="s">
        <v>719</v>
      </c>
      <c r="AW27" t="s">
        <v>720</v>
      </c>
      <c r="AX27" t="s">
        <v>721</v>
      </c>
      <c r="AY27">
        <v>9.3379999999999992</v>
      </c>
      <c r="AZ27">
        <v>49.8461</v>
      </c>
      <c r="BA27">
        <v>211.39189999999999</v>
      </c>
    </row>
    <row r="28" spans="1:60">
      <c r="A28" t="s">
        <v>51</v>
      </c>
      <c r="B28" t="s">
        <v>53</v>
      </c>
      <c r="C28">
        <v>2.5</v>
      </c>
      <c r="D28">
        <v>4.5650000000000004</v>
      </c>
      <c r="E28">
        <v>6.6948999999999996</v>
      </c>
      <c r="F28">
        <v>14.021699999999999</v>
      </c>
      <c r="G28" s="12">
        <f t="shared" si="2"/>
        <v>2.4891963364293086</v>
      </c>
      <c r="M28">
        <v>2.9567000000000001</v>
      </c>
      <c r="N28">
        <f t="shared" si="3"/>
        <v>2.4893160559512575</v>
      </c>
      <c r="U28" s="14">
        <v>44468</v>
      </c>
      <c r="V28" s="32">
        <v>0.46111111111111108</v>
      </c>
      <c r="W28" s="32">
        <v>0.45763888888888887</v>
      </c>
      <c r="X28" s="32">
        <v>0.5180555555555556</v>
      </c>
      <c r="Y28" s="32" t="s">
        <v>139</v>
      </c>
      <c r="Z28">
        <f>(44*24)</f>
        <v>1056</v>
      </c>
      <c r="AA28">
        <f>60-8</f>
        <v>52</v>
      </c>
      <c r="AB28">
        <f t="shared" si="4"/>
        <v>63412</v>
      </c>
      <c r="AC28">
        <v>27</v>
      </c>
      <c r="AD28">
        <f>(AC28*24)-2</f>
        <v>646</v>
      </c>
      <c r="AE28">
        <f>60-26</f>
        <v>34</v>
      </c>
      <c r="AF28">
        <f t="shared" si="5"/>
        <v>38794</v>
      </c>
      <c r="AG28">
        <v>6</v>
      </c>
      <c r="AH28">
        <f>(AG28*24)-6</f>
        <v>138</v>
      </c>
      <c r="AI28">
        <v>26</v>
      </c>
      <c r="AJ28">
        <f t="shared" si="6"/>
        <v>8306</v>
      </c>
      <c r="AK28">
        <f t="shared" si="7"/>
        <v>1056.8666666666666</v>
      </c>
      <c r="AL28">
        <f t="shared" si="8"/>
        <v>646.56666666666672</v>
      </c>
      <c r="AM28">
        <f t="shared" si="9"/>
        <v>138.43333333333334</v>
      </c>
      <c r="AQ28" t="s">
        <v>491</v>
      </c>
      <c r="AR28">
        <v>1</v>
      </c>
      <c r="AS28">
        <v>4.9850000000000003</v>
      </c>
      <c r="AT28">
        <v>7.4999999999999997E-3</v>
      </c>
      <c r="AU28">
        <v>4.4900000000000002E-2</v>
      </c>
      <c r="AV28" t="s">
        <v>722</v>
      </c>
      <c r="AW28" t="s">
        <v>723</v>
      </c>
      <c r="AX28" t="s">
        <v>724</v>
      </c>
      <c r="AY28">
        <v>9.3510000000000009</v>
      </c>
      <c r="AZ28">
        <v>106.2771</v>
      </c>
      <c r="BA28">
        <v>434.59140000000002</v>
      </c>
      <c r="BE28">
        <v>17.600999999999999</v>
      </c>
      <c r="BF28">
        <v>3.6700000000000003E-2</v>
      </c>
      <c r="BG28">
        <v>7.5499999999999998E-2</v>
      </c>
    </row>
    <row r="29" spans="1:60">
      <c r="A29" t="s">
        <v>51</v>
      </c>
      <c r="B29" t="s">
        <v>53</v>
      </c>
      <c r="C29">
        <v>2.5</v>
      </c>
      <c r="D29">
        <v>4.5650000000000004</v>
      </c>
      <c r="E29">
        <v>6.7058999999999997</v>
      </c>
      <c r="F29">
        <v>14.468400000000001</v>
      </c>
      <c r="G29" s="12">
        <f t="shared" si="2"/>
        <v>2.4927438080495357</v>
      </c>
      <c r="M29">
        <v>2.9607999999999999</v>
      </c>
      <c r="N29">
        <f t="shared" si="3"/>
        <v>2.4928344632283532</v>
      </c>
      <c r="AQ29" t="s">
        <v>492</v>
      </c>
      <c r="AR29">
        <v>2.5</v>
      </c>
      <c r="AV29" t="s">
        <v>725</v>
      </c>
      <c r="AW29" t="s">
        <v>726</v>
      </c>
      <c r="AX29" t="s">
        <v>727</v>
      </c>
      <c r="AY29">
        <v>9.4179999999999993</v>
      </c>
      <c r="AZ29">
        <v>279.02330000000001</v>
      </c>
      <c r="BA29">
        <v>990.29010000000005</v>
      </c>
      <c r="BB29">
        <v>10.191000000000001</v>
      </c>
      <c r="BC29">
        <v>0.4476</v>
      </c>
      <c r="BD29">
        <v>0.55310000000000004</v>
      </c>
      <c r="BE29">
        <v>15.510999999999999</v>
      </c>
      <c r="BF29">
        <v>3.7999999999999999E-2</v>
      </c>
      <c r="BG29">
        <v>8.0600000000000005E-2</v>
      </c>
    </row>
    <row r="30" spans="1:60">
      <c r="A30" t="s">
        <v>51</v>
      </c>
      <c r="B30" t="s">
        <v>19</v>
      </c>
      <c r="C30">
        <v>0</v>
      </c>
      <c r="D30">
        <v>7.048</v>
      </c>
      <c r="E30">
        <v>0.97209999999999996</v>
      </c>
      <c r="F30">
        <v>4.0167999999999999</v>
      </c>
      <c r="G30" s="12">
        <f t="shared" si="2"/>
        <v>0.64360810113519096</v>
      </c>
      <c r="H30">
        <v>12.445</v>
      </c>
      <c r="I30">
        <v>3.1236000000000002</v>
      </c>
      <c r="J30">
        <v>6.3959000000000001</v>
      </c>
      <c r="M30" t="s">
        <v>928</v>
      </c>
      <c r="AQ30" t="s">
        <v>493</v>
      </c>
      <c r="AR30">
        <v>5</v>
      </c>
      <c r="AS30">
        <v>4.944</v>
      </c>
      <c r="AT30">
        <v>6.5500000000000003E-2</v>
      </c>
      <c r="AU30">
        <v>0.28899999999999998</v>
      </c>
      <c r="AV30" t="s">
        <v>728</v>
      </c>
      <c r="AW30" t="s">
        <v>729</v>
      </c>
      <c r="AX30" t="s">
        <v>730</v>
      </c>
      <c r="AY30">
        <v>9.5340000000000007</v>
      </c>
      <c r="AZ30">
        <v>567.55629999999996</v>
      </c>
      <c r="BA30">
        <v>1537.8805</v>
      </c>
      <c r="BB30">
        <v>10.571</v>
      </c>
      <c r="BC30">
        <v>1.1399999999999999</v>
      </c>
      <c r="BD30">
        <v>1.2401</v>
      </c>
      <c r="BE30" t="s">
        <v>731</v>
      </c>
      <c r="BF30" t="s">
        <v>732</v>
      </c>
      <c r="BG30" t="s">
        <v>733</v>
      </c>
    </row>
    <row r="31" spans="1:60">
      <c r="A31" t="s">
        <v>51</v>
      </c>
      <c r="B31" t="s">
        <v>20</v>
      </c>
      <c r="C31">
        <v>0</v>
      </c>
      <c r="D31">
        <v>7.0179999999999998</v>
      </c>
      <c r="E31">
        <v>1.5465</v>
      </c>
      <c r="F31">
        <v>4.1338999999999997</v>
      </c>
      <c r="G31" s="12">
        <f t="shared" si="2"/>
        <v>0.82885061919504643</v>
      </c>
      <c r="H31">
        <v>12.364000000000001</v>
      </c>
      <c r="I31">
        <v>2.8386999999999998</v>
      </c>
      <c r="J31">
        <v>6.4435000000000002</v>
      </c>
      <c r="M31">
        <v>0.46029999999999999</v>
      </c>
      <c r="AQ31" t="s">
        <v>494</v>
      </c>
      <c r="AR31">
        <v>10</v>
      </c>
      <c r="AV31" t="s">
        <v>734</v>
      </c>
      <c r="AW31" t="s">
        <v>735</v>
      </c>
      <c r="AX31" t="s">
        <v>736</v>
      </c>
      <c r="AY31">
        <v>9.718</v>
      </c>
      <c r="AZ31">
        <v>1133.2126000000001</v>
      </c>
      <c r="BA31">
        <v>2123.3150999999998</v>
      </c>
      <c r="BB31">
        <v>10.587999999999999</v>
      </c>
      <c r="BC31">
        <v>2.4026999999999998</v>
      </c>
      <c r="BD31">
        <v>2.3388</v>
      </c>
      <c r="BE31">
        <v>17.581</v>
      </c>
      <c r="BF31">
        <v>6.0600000000000001E-2</v>
      </c>
      <c r="BG31">
        <v>0.1211</v>
      </c>
    </row>
    <row r="32" spans="1:60">
      <c r="A32" t="s">
        <v>51</v>
      </c>
      <c r="B32" t="s">
        <v>52</v>
      </c>
      <c r="C32">
        <v>0</v>
      </c>
      <c r="D32">
        <v>7.125</v>
      </c>
      <c r="E32">
        <v>1.4316</v>
      </c>
      <c r="F32">
        <v>4.4696999999999996</v>
      </c>
      <c r="G32" s="12">
        <f t="shared" si="2"/>
        <v>0.79179566563467496</v>
      </c>
      <c r="H32">
        <v>12.685</v>
      </c>
      <c r="I32">
        <v>3.1520999999999999</v>
      </c>
      <c r="J32">
        <v>7.0145</v>
      </c>
      <c r="M32">
        <v>0</v>
      </c>
      <c r="AQ32" t="s">
        <v>400</v>
      </c>
      <c r="AR32">
        <v>0</v>
      </c>
      <c r="AS32">
        <v>6.4610000000000003</v>
      </c>
      <c r="AT32">
        <v>0.56479999999999997</v>
      </c>
      <c r="AU32">
        <v>2.2805</v>
      </c>
      <c r="AV32">
        <v>10.728</v>
      </c>
      <c r="AW32">
        <v>1.4489000000000001</v>
      </c>
      <c r="AX32">
        <v>5.1510999999999996</v>
      </c>
    </row>
    <row r="33" spans="1:60">
      <c r="A33" t="s">
        <v>51</v>
      </c>
      <c r="B33" t="s">
        <v>44</v>
      </c>
      <c r="C33">
        <v>0</v>
      </c>
      <c r="D33">
        <v>7.1340000000000003</v>
      </c>
      <c r="E33">
        <v>1.4086000000000001</v>
      </c>
      <c r="F33">
        <v>4.3949999999999996</v>
      </c>
      <c r="G33" s="12">
        <f t="shared" si="2"/>
        <v>0.78437822497420018</v>
      </c>
      <c r="H33">
        <v>12.661</v>
      </c>
      <c r="I33">
        <v>3.0754999999999999</v>
      </c>
      <c r="J33">
        <v>6.5841000000000003</v>
      </c>
      <c r="M33">
        <v>0.4647</v>
      </c>
      <c r="AQ33" t="s">
        <v>400</v>
      </c>
      <c r="AR33">
        <v>0</v>
      </c>
      <c r="AS33">
        <v>6.4080000000000004</v>
      </c>
      <c r="AT33">
        <v>1.0712999999999999</v>
      </c>
      <c r="AU33">
        <v>2.4746000000000001</v>
      </c>
      <c r="AV33">
        <v>10.621</v>
      </c>
      <c r="AW33">
        <v>1.4375</v>
      </c>
      <c r="AX33">
        <v>5.1501000000000001</v>
      </c>
    </row>
    <row r="34" spans="1:60">
      <c r="A34" t="s">
        <v>51</v>
      </c>
      <c r="B34" t="s">
        <v>45</v>
      </c>
      <c r="C34">
        <v>0</v>
      </c>
      <c r="D34">
        <v>7.1280000000000001</v>
      </c>
      <c r="E34">
        <v>1.1478999999999999</v>
      </c>
      <c r="F34">
        <v>3.8997000000000002</v>
      </c>
      <c r="G34" s="12">
        <f>(E34+1.0236)/3.1008</f>
        <v>0.70030314757481937</v>
      </c>
      <c r="H34">
        <v>12.645</v>
      </c>
      <c r="I34">
        <v>2.9586000000000001</v>
      </c>
      <c r="J34">
        <v>6.7678000000000003</v>
      </c>
      <c r="M34">
        <v>0</v>
      </c>
    </row>
    <row r="36" spans="1:60" ht="32">
      <c r="A36" s="10" t="s">
        <v>10</v>
      </c>
      <c r="B36" s="10" t="s">
        <v>15</v>
      </c>
      <c r="C36" s="10" t="s">
        <v>16</v>
      </c>
      <c r="D36" s="10" t="s">
        <v>2</v>
      </c>
      <c r="E36" s="10" t="s">
        <v>18</v>
      </c>
      <c r="F36" s="10" t="s">
        <v>17</v>
      </c>
      <c r="G36" s="208"/>
      <c r="H36" s="10" t="s">
        <v>2</v>
      </c>
      <c r="I36" s="10" t="s">
        <v>18</v>
      </c>
      <c r="J36" s="10" t="s">
        <v>17</v>
      </c>
      <c r="S36" s="213" t="s">
        <v>927</v>
      </c>
      <c r="AO36" t="s">
        <v>489</v>
      </c>
      <c r="AP36" s="10" t="s">
        <v>10</v>
      </c>
      <c r="AQ36" s="10" t="s">
        <v>15</v>
      </c>
      <c r="AR36" s="10" t="s">
        <v>16</v>
      </c>
      <c r="AS36" s="10" t="s">
        <v>2</v>
      </c>
      <c r="AT36" s="10" t="s">
        <v>18</v>
      </c>
      <c r="AU36" s="10" t="s">
        <v>17</v>
      </c>
      <c r="AV36" s="10" t="s">
        <v>2</v>
      </c>
      <c r="AW36" s="10" t="s">
        <v>18</v>
      </c>
      <c r="AX36" s="10" t="s">
        <v>17</v>
      </c>
      <c r="AY36" s="151" t="s">
        <v>2</v>
      </c>
      <c r="AZ36" s="151" t="s">
        <v>18</v>
      </c>
      <c r="BA36" s="151" t="s">
        <v>17</v>
      </c>
      <c r="BB36" s="10" t="s">
        <v>2</v>
      </c>
      <c r="BC36" s="10" t="s">
        <v>18</v>
      </c>
      <c r="BD36" s="10" t="s">
        <v>17</v>
      </c>
      <c r="BE36" s="10" t="s">
        <v>2</v>
      </c>
      <c r="BF36" s="10" t="s">
        <v>18</v>
      </c>
      <c r="BG36" s="10" t="s">
        <v>17</v>
      </c>
      <c r="BH36" s="10" t="s">
        <v>1085</v>
      </c>
    </row>
    <row r="37" spans="1:60">
      <c r="A37" t="s">
        <v>54</v>
      </c>
      <c r="B37" t="s">
        <v>55</v>
      </c>
      <c r="C37">
        <v>0.1</v>
      </c>
      <c r="D37">
        <v>10.678000000000001</v>
      </c>
      <c r="E37">
        <v>7.8863000000000003</v>
      </c>
      <c r="F37">
        <v>21.161000000000001</v>
      </c>
      <c r="K37" t="s">
        <v>77</v>
      </c>
      <c r="AP37" t="s">
        <v>1071</v>
      </c>
      <c r="AQ37">
        <v>0</v>
      </c>
      <c r="AR37">
        <v>0</v>
      </c>
    </row>
    <row r="38" spans="1:60">
      <c r="A38" t="s">
        <v>54</v>
      </c>
      <c r="B38" t="s">
        <v>56</v>
      </c>
      <c r="C38">
        <v>1</v>
      </c>
      <c r="D38">
        <v>10.673999999999999</v>
      </c>
      <c r="E38">
        <v>100.36799999999999</v>
      </c>
      <c r="F38">
        <v>272.83150000000001</v>
      </c>
      <c r="K38" t="s">
        <v>79</v>
      </c>
      <c r="AQ38" t="s">
        <v>495</v>
      </c>
      <c r="AR38">
        <v>0.1</v>
      </c>
      <c r="AS38" t="s">
        <v>1073</v>
      </c>
      <c r="AT38" t="s">
        <v>1074</v>
      </c>
      <c r="AU38" t="s">
        <v>1075</v>
      </c>
      <c r="AV38">
        <v>6.3310000000000004</v>
      </c>
      <c r="AW38">
        <v>0.62450000000000006</v>
      </c>
      <c r="AX38">
        <v>1.4851000000000001</v>
      </c>
      <c r="AY38">
        <v>9.1280000000000001</v>
      </c>
      <c r="AZ38">
        <v>7.4085999999999999</v>
      </c>
      <c r="BA38">
        <v>33.526499999999999</v>
      </c>
      <c r="BB38">
        <v>10.364000000000001</v>
      </c>
      <c r="BC38">
        <v>0.16200000000000001</v>
      </c>
      <c r="BD38">
        <v>0.60609999999999997</v>
      </c>
      <c r="BE38">
        <v>17.021000000000001</v>
      </c>
      <c r="BF38">
        <v>0.1074</v>
      </c>
      <c r="BG38">
        <v>0.2263</v>
      </c>
    </row>
    <row r="39" spans="1:60">
      <c r="A39" t="s">
        <v>54</v>
      </c>
      <c r="B39" t="s">
        <v>57</v>
      </c>
      <c r="C39">
        <v>5</v>
      </c>
      <c r="D39">
        <v>10.788</v>
      </c>
      <c r="E39">
        <v>536.76649999999995</v>
      </c>
      <c r="F39">
        <v>1302.9077</v>
      </c>
      <c r="AQ39" t="s">
        <v>490</v>
      </c>
      <c r="AR39">
        <v>0.5</v>
      </c>
      <c r="AS39">
        <v>4.431</v>
      </c>
      <c r="AT39">
        <v>6.4399999999999999E-2</v>
      </c>
      <c r="AU39">
        <v>0.30180000000000001</v>
      </c>
      <c r="AV39">
        <v>6.3280000000000003</v>
      </c>
      <c r="AW39">
        <v>0.1701</v>
      </c>
      <c r="AX39">
        <v>0.96450000000000002</v>
      </c>
      <c r="AY39">
        <v>9.1379999999999999</v>
      </c>
      <c r="AZ39">
        <v>46.250799999999998</v>
      </c>
      <c r="BA39">
        <v>206.0018</v>
      </c>
      <c r="BB39">
        <v>10.361000000000001</v>
      </c>
      <c r="BC39">
        <v>0.1065</v>
      </c>
      <c r="BD39">
        <v>0.41470000000000001</v>
      </c>
      <c r="BE39">
        <v>17.018000000000001</v>
      </c>
      <c r="BF39">
        <v>0.1154</v>
      </c>
      <c r="BG39">
        <v>0.23760000000000001</v>
      </c>
    </row>
    <row r="40" spans="1:60">
      <c r="A40" t="s">
        <v>54</v>
      </c>
      <c r="B40" t="s">
        <v>58</v>
      </c>
      <c r="C40">
        <v>10</v>
      </c>
      <c r="D40">
        <v>10.961</v>
      </c>
      <c r="E40">
        <v>1092.7968000000001</v>
      </c>
      <c r="F40">
        <v>1965.5165999999999</v>
      </c>
      <c r="AQ40" t="s">
        <v>491</v>
      </c>
      <c r="AR40">
        <v>1</v>
      </c>
      <c r="AV40">
        <v>6.3250000000000002</v>
      </c>
      <c r="AW40">
        <v>0.1052</v>
      </c>
      <c r="AX40">
        <v>0.57530000000000003</v>
      </c>
      <c r="AY40">
        <v>9.1509999999999998</v>
      </c>
      <c r="AZ40">
        <v>86.658900000000003</v>
      </c>
      <c r="BA40">
        <v>374.79809999999998</v>
      </c>
      <c r="BB40">
        <v>10.358000000000001</v>
      </c>
      <c r="BC40">
        <v>0.1216</v>
      </c>
      <c r="BD40">
        <v>0.48149999999999998</v>
      </c>
      <c r="BE40">
        <v>17.018000000000001</v>
      </c>
      <c r="BF40">
        <v>0.1769</v>
      </c>
      <c r="BG40">
        <v>0.36559999999999998</v>
      </c>
    </row>
    <row r="41" spans="1:60">
      <c r="A41" t="s">
        <v>54</v>
      </c>
      <c r="B41" t="s">
        <v>59</v>
      </c>
      <c r="C41">
        <v>0.5</v>
      </c>
      <c r="D41">
        <v>10.661</v>
      </c>
      <c r="E41">
        <v>48.387500000000003</v>
      </c>
      <c r="F41">
        <v>126.6909</v>
      </c>
      <c r="AQ41" t="s">
        <v>492</v>
      </c>
      <c r="AR41">
        <v>2.5</v>
      </c>
      <c r="AS41" t="s">
        <v>1076</v>
      </c>
      <c r="AT41" t="s">
        <v>1077</v>
      </c>
      <c r="AU41" t="s">
        <v>1078</v>
      </c>
      <c r="AV41">
        <v>6.3150000000000004</v>
      </c>
      <c r="AW41">
        <v>0.3498</v>
      </c>
      <c r="AX41">
        <v>1.7673000000000001</v>
      </c>
      <c r="AY41">
        <v>9.2080000000000002</v>
      </c>
      <c r="AZ41">
        <v>238.2706</v>
      </c>
      <c r="BA41">
        <v>904.16309999999999</v>
      </c>
      <c r="BB41">
        <v>10.345000000000001</v>
      </c>
      <c r="BC41">
        <v>0.3695</v>
      </c>
      <c r="BD41">
        <v>0.9546</v>
      </c>
      <c r="BE41">
        <v>17.007999999999999</v>
      </c>
      <c r="BF41">
        <v>0.19789999999999999</v>
      </c>
      <c r="BG41">
        <v>0.41489999999999999</v>
      </c>
    </row>
    <row r="42" spans="1:60">
      <c r="A42" t="s">
        <v>54</v>
      </c>
      <c r="B42" t="s">
        <v>60</v>
      </c>
      <c r="C42">
        <v>1</v>
      </c>
      <c r="D42">
        <v>10.667999999999999</v>
      </c>
      <c r="E42">
        <v>103.56610000000001</v>
      </c>
      <c r="F42">
        <v>280.93040000000002</v>
      </c>
      <c r="AQ42" t="s">
        <v>493</v>
      </c>
      <c r="AR42">
        <v>5</v>
      </c>
      <c r="AS42">
        <v>4.4009999999999998</v>
      </c>
      <c r="AT42">
        <v>4.6199999999999998E-2</v>
      </c>
      <c r="AU42">
        <v>0.17810000000000001</v>
      </c>
      <c r="AV42">
        <v>6.2910000000000004</v>
      </c>
      <c r="AW42">
        <v>0.58579999999999999</v>
      </c>
      <c r="AX42">
        <v>1.3854</v>
      </c>
      <c r="AY42">
        <v>9.3179999999999996</v>
      </c>
      <c r="AZ42">
        <v>533.04169999999999</v>
      </c>
      <c r="BA42">
        <v>1512.1556</v>
      </c>
      <c r="BB42">
        <v>10.271000000000001</v>
      </c>
      <c r="BC42">
        <v>1.0908</v>
      </c>
      <c r="BD42">
        <v>1.4762</v>
      </c>
      <c r="BE42">
        <v>16.994</v>
      </c>
      <c r="BF42">
        <v>0.1552</v>
      </c>
      <c r="BG42">
        <v>0.3226</v>
      </c>
    </row>
    <row r="43" spans="1:60">
      <c r="A43" t="s">
        <v>54</v>
      </c>
      <c r="B43" t="s">
        <v>61</v>
      </c>
      <c r="C43">
        <v>2.5</v>
      </c>
      <c r="D43">
        <v>10.691000000000001</v>
      </c>
      <c r="E43">
        <v>264.16309999999999</v>
      </c>
      <c r="F43">
        <v>739.32849999999996</v>
      </c>
      <c r="AQ43" t="s">
        <v>494</v>
      </c>
      <c r="AR43">
        <v>10</v>
      </c>
      <c r="AS43" t="s">
        <v>1079</v>
      </c>
      <c r="AT43" t="s">
        <v>1080</v>
      </c>
      <c r="AU43" t="s">
        <v>1081</v>
      </c>
      <c r="AV43">
        <v>6.2709999999999999</v>
      </c>
      <c r="AW43">
        <v>0.73680000000000001</v>
      </c>
      <c r="AX43">
        <v>2.3433999999999999</v>
      </c>
      <c r="AY43">
        <v>9.4779999999999998</v>
      </c>
      <c r="AZ43">
        <v>1001.8172</v>
      </c>
      <c r="BA43">
        <v>2044.3108999999999</v>
      </c>
      <c r="BB43">
        <v>10.348000000000001</v>
      </c>
      <c r="BC43">
        <v>2.5087000000000002</v>
      </c>
      <c r="BD43">
        <v>3.8191999999999999</v>
      </c>
      <c r="BE43">
        <v>16.984000000000002</v>
      </c>
      <c r="BF43">
        <v>0.25390000000000001</v>
      </c>
      <c r="BG43">
        <v>0.5302</v>
      </c>
    </row>
    <row r="44" spans="1:60">
      <c r="A44" t="s">
        <v>54</v>
      </c>
      <c r="B44" t="s">
        <v>19</v>
      </c>
      <c r="C44">
        <v>0</v>
      </c>
      <c r="D44">
        <v>7.0540000000000003</v>
      </c>
      <c r="E44">
        <v>0.55589999999999995</v>
      </c>
      <c r="F44">
        <v>2.9956</v>
      </c>
      <c r="H44">
        <v>12.464</v>
      </c>
      <c r="I44">
        <v>3.2690999999999999</v>
      </c>
      <c r="J44">
        <v>7.7404000000000002</v>
      </c>
      <c r="AQ44" t="s">
        <v>400</v>
      </c>
      <c r="AR44">
        <v>0</v>
      </c>
      <c r="AS44">
        <v>6.3440000000000003</v>
      </c>
      <c r="AT44">
        <v>2.6827000000000001</v>
      </c>
      <c r="AU44">
        <v>6.726</v>
      </c>
      <c r="AV44">
        <v>10.420999999999999</v>
      </c>
      <c r="AW44">
        <v>3.8102999999999998</v>
      </c>
      <c r="AX44">
        <v>13.6013</v>
      </c>
      <c r="AY44">
        <v>12.281000000000001</v>
      </c>
      <c r="AZ44">
        <v>7.7600000000000002E-2</v>
      </c>
      <c r="BA44">
        <v>7.4800000000000005E-2</v>
      </c>
      <c r="BB44">
        <v>14.058</v>
      </c>
      <c r="BC44">
        <v>1.3763000000000001</v>
      </c>
      <c r="BD44">
        <v>0.48420000000000002</v>
      </c>
      <c r="BE44">
        <v>17.138000000000002</v>
      </c>
      <c r="BF44">
        <v>4.9599999999999998E-2</v>
      </c>
      <c r="BG44">
        <v>9.5699999999999993E-2</v>
      </c>
    </row>
    <row r="45" spans="1:60">
      <c r="A45" t="s">
        <v>54</v>
      </c>
      <c r="B45" t="s">
        <v>62</v>
      </c>
      <c r="C45">
        <v>0</v>
      </c>
      <c r="D45">
        <v>7.0209999999999999</v>
      </c>
      <c r="E45">
        <v>1.1848000000000001</v>
      </c>
      <c r="F45">
        <v>3.9074</v>
      </c>
      <c r="H45">
        <v>12.388</v>
      </c>
      <c r="I45">
        <v>2.6798999999999999</v>
      </c>
      <c r="J45">
        <v>7.2304000000000004</v>
      </c>
      <c r="AQ45" t="s">
        <v>400</v>
      </c>
      <c r="AR45">
        <v>0</v>
      </c>
      <c r="AS45">
        <v>6.3280000000000003</v>
      </c>
      <c r="AT45">
        <v>1.0445</v>
      </c>
      <c r="AU45">
        <v>6.2145000000000001</v>
      </c>
      <c r="AV45">
        <v>10.351000000000001</v>
      </c>
      <c r="AW45">
        <v>3.4811999999999999</v>
      </c>
      <c r="AX45">
        <v>13.411300000000001</v>
      </c>
      <c r="BE45">
        <v>17.018000000000001</v>
      </c>
      <c r="BF45">
        <v>3.6499999999999998E-2</v>
      </c>
      <c r="BG45">
        <v>7.85E-2</v>
      </c>
    </row>
    <row r="46" spans="1:60">
      <c r="A46" t="s">
        <v>54</v>
      </c>
      <c r="B46" t="s">
        <v>63</v>
      </c>
      <c r="C46">
        <v>0</v>
      </c>
      <c r="D46">
        <v>7.0179999999999998</v>
      </c>
      <c r="E46">
        <v>0.99919999999999998</v>
      </c>
      <c r="F46">
        <v>4.3640999999999996</v>
      </c>
      <c r="H46">
        <v>12.435</v>
      </c>
      <c r="I46">
        <v>2.9222000000000001</v>
      </c>
      <c r="J46">
        <v>7.2020999999999997</v>
      </c>
    </row>
    <row r="47" spans="1:60" ht="31">
      <c r="A47" t="s">
        <v>54</v>
      </c>
      <c r="B47" t="s">
        <v>64</v>
      </c>
      <c r="C47">
        <v>0</v>
      </c>
      <c r="D47">
        <v>7.0540000000000003</v>
      </c>
      <c r="E47">
        <v>1.109</v>
      </c>
      <c r="F47">
        <v>3.7610000000000001</v>
      </c>
      <c r="H47">
        <v>12.388</v>
      </c>
      <c r="I47">
        <v>3.2913000000000001</v>
      </c>
      <c r="J47">
        <v>7.5728</v>
      </c>
      <c r="AP47" s="10" t="s">
        <v>10</v>
      </c>
      <c r="AQ47" s="10" t="s">
        <v>15</v>
      </c>
      <c r="AR47" s="10" t="s">
        <v>16</v>
      </c>
      <c r="AS47" s="10" t="s">
        <v>2</v>
      </c>
      <c r="AT47" s="10" t="s">
        <v>18</v>
      </c>
      <c r="AU47" s="10" t="s">
        <v>17</v>
      </c>
      <c r="AV47" s="10" t="s">
        <v>2</v>
      </c>
      <c r="AW47" s="10" t="s">
        <v>18</v>
      </c>
      <c r="AX47" s="10" t="s">
        <v>17</v>
      </c>
      <c r="AY47" s="151" t="s">
        <v>2</v>
      </c>
      <c r="AZ47" s="151" t="s">
        <v>18</v>
      </c>
      <c r="BA47" s="151" t="s">
        <v>17</v>
      </c>
      <c r="BB47" s="10" t="s">
        <v>2</v>
      </c>
      <c r="BC47" s="10" t="s">
        <v>18</v>
      </c>
      <c r="BD47" s="10" t="s">
        <v>17</v>
      </c>
      <c r="BE47" s="10" t="s">
        <v>2</v>
      </c>
      <c r="BF47" s="10" t="s">
        <v>18</v>
      </c>
      <c r="BG47" s="10" t="s">
        <v>17</v>
      </c>
      <c r="BH47" s="10" t="s">
        <v>1188</v>
      </c>
    </row>
    <row r="48" spans="1:60">
      <c r="A48" t="s">
        <v>54</v>
      </c>
      <c r="B48" t="s">
        <v>65</v>
      </c>
      <c r="C48">
        <v>0</v>
      </c>
      <c r="D48">
        <v>6.9980000000000002</v>
      </c>
      <c r="E48">
        <v>1.2547999999999999</v>
      </c>
      <c r="F48">
        <v>4.6810999999999998</v>
      </c>
      <c r="H48">
        <v>12.368</v>
      </c>
      <c r="I48">
        <v>2.5354999999999999</v>
      </c>
      <c r="J48">
        <v>6.9295</v>
      </c>
      <c r="AP48" t="s">
        <v>1072</v>
      </c>
      <c r="AQ48">
        <v>0</v>
      </c>
      <c r="AR48">
        <v>0</v>
      </c>
    </row>
    <row r="49" spans="1:59">
      <c r="AQ49" t="s">
        <v>495</v>
      </c>
      <c r="AR49">
        <v>0.1</v>
      </c>
      <c r="AS49" t="s">
        <v>1082</v>
      </c>
      <c r="AT49" t="s">
        <v>1083</v>
      </c>
      <c r="AU49" t="s">
        <v>1084</v>
      </c>
      <c r="AV49">
        <v>6.3150000000000004</v>
      </c>
      <c r="AW49">
        <v>0.65210000000000001</v>
      </c>
      <c r="AX49">
        <v>1.5345</v>
      </c>
      <c r="AY49">
        <v>9.1010000000000009</v>
      </c>
      <c r="AZ49">
        <v>7.4368999999999996</v>
      </c>
      <c r="BA49">
        <v>33.165900000000001</v>
      </c>
      <c r="BB49">
        <v>10.327999999999999</v>
      </c>
      <c r="BC49">
        <v>0.17100000000000001</v>
      </c>
      <c r="BD49">
        <v>0.63590000000000002</v>
      </c>
      <c r="BE49">
        <v>16.931000000000001</v>
      </c>
      <c r="BF49">
        <v>0.1479</v>
      </c>
      <c r="BG49">
        <v>0.2994</v>
      </c>
    </row>
    <row r="50" spans="1:59">
      <c r="AQ50" t="s">
        <v>490</v>
      </c>
      <c r="AR50">
        <v>0.5</v>
      </c>
      <c r="AS50">
        <v>4.4279999999999999</v>
      </c>
      <c r="AT50">
        <v>5.6800000000000003E-2</v>
      </c>
      <c r="AU50">
        <v>0.25679999999999997</v>
      </c>
      <c r="AV50">
        <v>6.3109999999999999</v>
      </c>
      <c r="AW50">
        <v>0.24110000000000001</v>
      </c>
      <c r="AX50">
        <v>0.95860000000000001</v>
      </c>
      <c r="AY50">
        <v>9.1080000000000005</v>
      </c>
      <c r="AZ50">
        <v>46.548099999999998</v>
      </c>
      <c r="BA50">
        <v>205.05119999999999</v>
      </c>
      <c r="BB50">
        <v>10.324999999999999</v>
      </c>
      <c r="BC50">
        <v>9.7799999999999998E-2</v>
      </c>
      <c r="BD50">
        <v>0.37880000000000003</v>
      </c>
      <c r="BE50">
        <v>16.934999999999999</v>
      </c>
      <c r="BF50">
        <v>0.1507</v>
      </c>
      <c r="BG50">
        <v>0.30209999999999998</v>
      </c>
    </row>
    <row r="51" spans="1:59" ht="31">
      <c r="A51" s="10" t="s">
        <v>10</v>
      </c>
      <c r="B51" s="10" t="s">
        <v>15</v>
      </c>
      <c r="C51" s="10" t="s">
        <v>16</v>
      </c>
      <c r="D51" s="10" t="s">
        <v>2</v>
      </c>
      <c r="E51" s="10" t="s">
        <v>18</v>
      </c>
      <c r="F51" s="10" t="s">
        <v>17</v>
      </c>
      <c r="G51" s="208"/>
      <c r="H51" s="10" t="s">
        <v>2</v>
      </c>
      <c r="I51" s="10" t="s">
        <v>18</v>
      </c>
      <c r="J51" s="10" t="s">
        <v>17</v>
      </c>
      <c r="AQ51" t="s">
        <v>491</v>
      </c>
      <c r="AR51">
        <v>1</v>
      </c>
      <c r="AS51">
        <v>4.444</v>
      </c>
      <c r="AT51">
        <v>3.4299999999999997E-2</v>
      </c>
      <c r="AU51">
        <v>0.1181</v>
      </c>
      <c r="AV51">
        <v>6.3079999999999998</v>
      </c>
      <c r="AW51">
        <v>0.48730000000000001</v>
      </c>
      <c r="AX51">
        <v>0.70240000000000002</v>
      </c>
      <c r="AY51">
        <v>9.1240000000000006</v>
      </c>
      <c r="AZ51">
        <v>101.99679999999999</v>
      </c>
      <c r="BA51">
        <v>433.32600000000002</v>
      </c>
      <c r="BB51">
        <v>10.314</v>
      </c>
      <c r="BC51">
        <v>0.1037</v>
      </c>
      <c r="BD51">
        <v>0.40799999999999997</v>
      </c>
      <c r="BE51">
        <v>16.934000000000001</v>
      </c>
      <c r="BF51">
        <v>0.1336</v>
      </c>
      <c r="BG51">
        <v>0.27010000000000001</v>
      </c>
    </row>
    <row r="52" spans="1:59">
      <c r="A52" t="s">
        <v>71</v>
      </c>
      <c r="B52" t="s">
        <v>66</v>
      </c>
      <c r="C52">
        <v>0.1</v>
      </c>
      <c r="D52">
        <v>10.904</v>
      </c>
      <c r="E52">
        <v>8.0503</v>
      </c>
      <c r="F52">
        <v>21.224599999999999</v>
      </c>
      <c r="K52" t="s">
        <v>81</v>
      </c>
      <c r="AQ52" t="s">
        <v>492</v>
      </c>
      <c r="AR52">
        <v>2.5</v>
      </c>
      <c r="AS52">
        <v>4.931</v>
      </c>
      <c r="AT52">
        <v>5.04E-2</v>
      </c>
      <c r="AU52">
        <v>0.25190000000000001</v>
      </c>
      <c r="AV52">
        <v>6.298</v>
      </c>
      <c r="AW52">
        <v>0.83050000000000002</v>
      </c>
      <c r="AX52">
        <v>2.4851999999999999</v>
      </c>
      <c r="AY52">
        <v>9.1850000000000005</v>
      </c>
      <c r="AZ52">
        <v>262.8802</v>
      </c>
      <c r="BA52">
        <v>972.51279999999997</v>
      </c>
      <c r="BB52">
        <v>10.301</v>
      </c>
      <c r="BC52">
        <v>0.36509999999999998</v>
      </c>
      <c r="BD52">
        <v>0.84960000000000002</v>
      </c>
      <c r="BE52">
        <v>16.925000000000001</v>
      </c>
      <c r="BF52">
        <v>0.245</v>
      </c>
      <c r="BG52">
        <v>0.51149999999999995</v>
      </c>
    </row>
    <row r="53" spans="1:59">
      <c r="A53" t="s">
        <v>71</v>
      </c>
      <c r="B53" t="s">
        <v>67</v>
      </c>
      <c r="C53">
        <v>0.5</v>
      </c>
      <c r="D53">
        <v>10.911</v>
      </c>
      <c r="E53">
        <v>45.265799999999999</v>
      </c>
      <c r="F53">
        <v>122.3475</v>
      </c>
      <c r="K53" t="s">
        <v>80</v>
      </c>
      <c r="AQ53" t="s">
        <v>493</v>
      </c>
      <c r="AR53">
        <v>5</v>
      </c>
      <c r="AV53">
        <v>6.2809999999999997</v>
      </c>
      <c r="AW53">
        <v>0.4012</v>
      </c>
      <c r="AX53">
        <v>1.3531</v>
      </c>
      <c r="AY53">
        <v>9.2910000000000004</v>
      </c>
      <c r="AZ53">
        <v>533.60329999999999</v>
      </c>
      <c r="BA53">
        <v>1518.6146000000001</v>
      </c>
      <c r="BB53">
        <v>10.281000000000001</v>
      </c>
      <c r="BC53">
        <v>1.4903999999999999</v>
      </c>
      <c r="BD53">
        <v>1.5788</v>
      </c>
      <c r="BE53">
        <v>16.917999999999999</v>
      </c>
      <c r="BF53">
        <v>0.12759999999999999</v>
      </c>
      <c r="BG53">
        <v>0.25359999999999999</v>
      </c>
    </row>
    <row r="54" spans="1:59">
      <c r="A54" t="s">
        <v>71</v>
      </c>
      <c r="B54" t="s">
        <v>68</v>
      </c>
      <c r="C54">
        <v>2.5</v>
      </c>
      <c r="D54">
        <v>10.981</v>
      </c>
      <c r="E54">
        <v>244.99100000000001</v>
      </c>
      <c r="F54">
        <v>676.44370000000004</v>
      </c>
      <c r="AQ54" t="s">
        <v>494</v>
      </c>
      <c r="AR54">
        <v>10</v>
      </c>
      <c r="AS54">
        <v>6.2539999999999996</v>
      </c>
      <c r="AT54">
        <v>0.36620000000000003</v>
      </c>
      <c r="AU54">
        <v>1.0039</v>
      </c>
      <c r="AY54">
        <v>9.4610000000000003</v>
      </c>
      <c r="AZ54">
        <v>1063.5856000000001</v>
      </c>
      <c r="BA54">
        <v>2108.5855999999999</v>
      </c>
      <c r="BB54">
        <v>10.321</v>
      </c>
      <c r="BC54">
        <v>3.1042000000000001</v>
      </c>
      <c r="BD54">
        <v>3.1261999999999999</v>
      </c>
      <c r="BE54">
        <v>16.908000000000001</v>
      </c>
      <c r="BF54">
        <v>0.1716</v>
      </c>
      <c r="BG54">
        <v>0.35610000000000003</v>
      </c>
    </row>
    <row r="55" spans="1:59">
      <c r="A55" t="s">
        <v>71</v>
      </c>
      <c r="B55" t="s">
        <v>57</v>
      </c>
      <c r="C55">
        <v>5</v>
      </c>
      <c r="D55">
        <v>11.081</v>
      </c>
      <c r="E55">
        <v>514.67150000000004</v>
      </c>
      <c r="F55">
        <v>1172.3703</v>
      </c>
      <c r="AQ55" t="s">
        <v>400</v>
      </c>
      <c r="AR55">
        <v>0</v>
      </c>
      <c r="AS55">
        <v>6.3460000000000001</v>
      </c>
      <c r="AT55">
        <v>1.7823</v>
      </c>
      <c r="AU55">
        <v>6.3177000000000003</v>
      </c>
      <c r="AV55">
        <v>10.384</v>
      </c>
      <c r="AW55">
        <v>3.5272999999999999</v>
      </c>
      <c r="AX55">
        <v>13.2852</v>
      </c>
      <c r="AY55">
        <v>17.074000000000002</v>
      </c>
      <c r="AZ55">
        <v>3.4700000000000002E-2</v>
      </c>
      <c r="BA55">
        <v>7.1499999999999994E-2</v>
      </c>
    </row>
    <row r="56" spans="1:59">
      <c r="A56" t="s">
        <v>71</v>
      </c>
      <c r="B56" t="s">
        <v>69</v>
      </c>
      <c r="C56">
        <v>7.5</v>
      </c>
      <c r="D56">
        <v>11.183999999999999</v>
      </c>
      <c r="E56">
        <v>810.29809999999998</v>
      </c>
      <c r="F56">
        <v>1542.1137000000001</v>
      </c>
      <c r="AQ56" t="s">
        <v>400</v>
      </c>
      <c r="AR56">
        <v>0</v>
      </c>
      <c r="AS56">
        <v>6.3209999999999997</v>
      </c>
      <c r="AT56">
        <v>1.0474000000000001</v>
      </c>
      <c r="AU56">
        <v>6.0320999999999998</v>
      </c>
      <c r="AV56">
        <v>10.324999999999999</v>
      </c>
      <c r="AW56">
        <v>3.5133999999999999</v>
      </c>
      <c r="AX56">
        <v>13.280799999999999</v>
      </c>
      <c r="AY56">
        <v>16.940999999999999</v>
      </c>
      <c r="AZ56">
        <v>3.4200000000000001E-2</v>
      </c>
      <c r="BA56">
        <v>7.2300000000000003E-2</v>
      </c>
    </row>
    <row r="57" spans="1:59">
      <c r="A57" t="s">
        <v>71</v>
      </c>
      <c r="B57" t="s">
        <v>69</v>
      </c>
      <c r="C57">
        <v>7.5</v>
      </c>
      <c r="D57">
        <v>11.183999999999999</v>
      </c>
      <c r="E57">
        <v>821.00440000000003</v>
      </c>
      <c r="F57">
        <v>1560.6802</v>
      </c>
    </row>
    <row r="58" spans="1:59">
      <c r="A58" t="s">
        <v>71</v>
      </c>
      <c r="B58" t="s">
        <v>70</v>
      </c>
      <c r="C58">
        <v>0</v>
      </c>
      <c r="D58" t="s">
        <v>73</v>
      </c>
    </row>
    <row r="59" spans="1:59" ht="31">
      <c r="A59" t="s">
        <v>71</v>
      </c>
      <c r="B59" t="s">
        <v>20</v>
      </c>
      <c r="C59">
        <v>0</v>
      </c>
      <c r="D59">
        <v>7.1710000000000003</v>
      </c>
      <c r="E59">
        <v>2.1909999999999998</v>
      </c>
      <c r="F59">
        <v>7.2317999999999998</v>
      </c>
      <c r="H59">
        <v>12.667999999999999</v>
      </c>
      <c r="I59">
        <v>4.3506999999999998</v>
      </c>
      <c r="J59">
        <v>9.5747</v>
      </c>
      <c r="AO59" t="s">
        <v>489</v>
      </c>
      <c r="AP59" s="10" t="s">
        <v>10</v>
      </c>
      <c r="AQ59" s="10" t="s">
        <v>15</v>
      </c>
      <c r="AR59" s="10" t="s">
        <v>16</v>
      </c>
      <c r="AS59" s="10" t="s">
        <v>2</v>
      </c>
      <c r="AT59" s="10" t="s">
        <v>18</v>
      </c>
      <c r="AU59" s="10" t="s">
        <v>17</v>
      </c>
      <c r="AV59" s="10" t="s">
        <v>2</v>
      </c>
      <c r="AW59" s="10" t="s">
        <v>18</v>
      </c>
      <c r="AX59" s="10" t="s">
        <v>17</v>
      </c>
      <c r="AY59" s="441" t="s">
        <v>2</v>
      </c>
      <c r="AZ59" s="441" t="s">
        <v>18</v>
      </c>
      <c r="BA59" s="441" t="s">
        <v>17</v>
      </c>
      <c r="BB59" s="10" t="s">
        <v>2</v>
      </c>
      <c r="BC59" s="10" t="s">
        <v>18</v>
      </c>
      <c r="BD59" s="10" t="s">
        <v>17</v>
      </c>
      <c r="BE59" s="10" t="s">
        <v>2</v>
      </c>
      <c r="BF59" s="10" t="s">
        <v>18</v>
      </c>
      <c r="BG59" s="10" t="s">
        <v>17</v>
      </c>
    </row>
    <row r="60" spans="1:59">
      <c r="A60" t="s">
        <v>71</v>
      </c>
      <c r="B60" t="s">
        <v>63</v>
      </c>
      <c r="C60">
        <v>0</v>
      </c>
      <c r="D60">
        <v>7.1509999999999998</v>
      </c>
      <c r="E60">
        <v>2.4337</v>
      </c>
      <c r="F60">
        <v>8.0223999999999993</v>
      </c>
      <c r="H60">
        <v>12.667999999999999</v>
      </c>
      <c r="I60">
        <v>4.0670000000000002</v>
      </c>
      <c r="J60">
        <v>10.664099999999999</v>
      </c>
      <c r="AP60" t="s">
        <v>1565</v>
      </c>
      <c r="AQ60">
        <v>0</v>
      </c>
      <c r="AR60">
        <v>0</v>
      </c>
    </row>
    <row r="61" spans="1:59">
      <c r="AQ61" t="s">
        <v>495</v>
      </c>
      <c r="AR61">
        <v>0.1</v>
      </c>
      <c r="AS61">
        <v>6.1680000000000001</v>
      </c>
      <c r="AT61">
        <v>3779</v>
      </c>
      <c r="AU61">
        <v>1.1278999999999999</v>
      </c>
      <c r="AV61">
        <v>8.7650000000000006</v>
      </c>
      <c r="AW61">
        <v>7.8265000000000002</v>
      </c>
      <c r="AX61">
        <v>33.792999999999999</v>
      </c>
      <c r="AY61">
        <v>9.8710000000000004</v>
      </c>
      <c r="AZ61">
        <v>3.7499999999999999E-2</v>
      </c>
      <c r="BA61">
        <v>0.11749999999999999</v>
      </c>
      <c r="BB61">
        <v>16.187999999999999</v>
      </c>
      <c r="BC61">
        <v>0.123</v>
      </c>
      <c r="BD61">
        <v>0.25469999999999998</v>
      </c>
    </row>
    <row r="62" spans="1:59" ht="46.5">
      <c r="A62" s="10" t="s">
        <v>10</v>
      </c>
      <c r="B62" s="10" t="s">
        <v>15</v>
      </c>
      <c r="C62" s="10" t="s">
        <v>16</v>
      </c>
      <c r="D62" s="10" t="s">
        <v>2</v>
      </c>
      <c r="E62" s="10" t="s">
        <v>18</v>
      </c>
      <c r="F62" s="10" t="s">
        <v>17</v>
      </c>
      <c r="G62" s="208" t="s">
        <v>901</v>
      </c>
      <c r="H62" s="10" t="s">
        <v>2</v>
      </c>
      <c r="I62" s="10" t="s">
        <v>18</v>
      </c>
      <c r="J62" s="10" t="s">
        <v>17</v>
      </c>
      <c r="K62" s="10" t="s">
        <v>2</v>
      </c>
      <c r="L62" s="10" t="s">
        <v>18</v>
      </c>
      <c r="M62" s="10" t="s">
        <v>17</v>
      </c>
      <c r="N62" s="10" t="s">
        <v>2</v>
      </c>
      <c r="O62" s="10" t="s">
        <v>18</v>
      </c>
      <c r="P62" s="10" t="s">
        <v>17</v>
      </c>
      <c r="Q62" s="10" t="s">
        <v>91</v>
      </c>
      <c r="R62" s="215" t="s">
        <v>921</v>
      </c>
      <c r="S62" s="10" t="s">
        <v>930</v>
      </c>
      <c r="AQ62" t="s">
        <v>490</v>
      </c>
      <c r="AR62">
        <v>0.5</v>
      </c>
      <c r="AS62">
        <v>6.1680000000000001</v>
      </c>
      <c r="AT62">
        <v>0.3599</v>
      </c>
      <c r="AU62">
        <v>0.91279999999999994</v>
      </c>
      <c r="AV62">
        <v>8.7810000000000006</v>
      </c>
      <c r="AW62">
        <v>50.673900000000003</v>
      </c>
      <c r="AX62">
        <v>217.69409999999999</v>
      </c>
      <c r="AY62">
        <v>9.8740000000000006</v>
      </c>
      <c r="AZ62">
        <v>0.2495</v>
      </c>
      <c r="BA62">
        <v>0.63249999999999995</v>
      </c>
      <c r="BB62">
        <v>16.190999999999999</v>
      </c>
      <c r="BC62">
        <v>0.1268</v>
      </c>
      <c r="BD62">
        <v>0.26719999999999999</v>
      </c>
    </row>
    <row r="63" spans="1:59">
      <c r="A63" s="10"/>
      <c r="B63" s="10"/>
      <c r="C63" s="10">
        <v>0</v>
      </c>
      <c r="D63" s="10"/>
      <c r="E63" s="10"/>
      <c r="F63" s="10">
        <v>0</v>
      </c>
      <c r="G63" s="208"/>
      <c r="H63" s="10"/>
      <c r="I63" s="10"/>
      <c r="J63" s="10"/>
      <c r="K63" s="10"/>
      <c r="L63" s="10"/>
      <c r="M63" s="10"/>
      <c r="N63" s="10"/>
      <c r="O63" s="10"/>
      <c r="P63" s="10"/>
      <c r="Q63" s="10"/>
      <c r="AQ63" t="s">
        <v>491</v>
      </c>
      <c r="AR63">
        <v>1</v>
      </c>
      <c r="AS63">
        <v>6.165</v>
      </c>
      <c r="AT63">
        <v>0.36149999999999999</v>
      </c>
      <c r="AU63">
        <v>1.0335000000000001</v>
      </c>
      <c r="AV63">
        <v>8.8010000000000002</v>
      </c>
      <c r="AW63">
        <v>108.38800000000001</v>
      </c>
      <c r="AX63">
        <v>448.71679999999998</v>
      </c>
      <c r="AY63">
        <v>9.8550000000000004</v>
      </c>
      <c r="AZ63">
        <v>0.29210000000000003</v>
      </c>
      <c r="BA63">
        <v>0.54039999999999999</v>
      </c>
      <c r="BB63">
        <v>16.190999999999999</v>
      </c>
      <c r="BC63">
        <v>0.28689999999999999</v>
      </c>
      <c r="BD63">
        <v>0.5988</v>
      </c>
    </row>
    <row r="64" spans="1:59">
      <c r="A64" t="s">
        <v>82</v>
      </c>
      <c r="B64" t="s">
        <v>21</v>
      </c>
      <c r="C64">
        <v>0.5</v>
      </c>
      <c r="D64">
        <v>4.3949999999999996</v>
      </c>
      <c r="E64">
        <v>1.5324</v>
      </c>
      <c r="F64">
        <v>8.5365000000000002</v>
      </c>
      <c r="G64" s="12">
        <f>(E64+0.036)/3.3113</f>
        <v>0.4736508319995168</v>
      </c>
      <c r="H64">
        <v>6.8609999999999998</v>
      </c>
      <c r="I64">
        <v>0.3296</v>
      </c>
      <c r="J64">
        <v>1.3998999999999999</v>
      </c>
      <c r="K64">
        <v>12.065</v>
      </c>
      <c r="L64">
        <v>3.1300000000000001E-2</v>
      </c>
      <c r="M64">
        <v>9.4700000000000006E-2</v>
      </c>
      <c r="N64">
        <v>19.885000000000002</v>
      </c>
      <c r="O64">
        <v>3.9800000000000002E-2</v>
      </c>
      <c r="P64">
        <v>6.8500000000000005E-2</v>
      </c>
      <c r="Q64" t="s">
        <v>885</v>
      </c>
      <c r="R64">
        <v>1.0165</v>
      </c>
      <c r="S64">
        <f>(R64-0.4251)/1.2512</f>
        <v>0.47266624040920707</v>
      </c>
      <c r="AQ64" t="s">
        <v>492</v>
      </c>
      <c r="AR64">
        <v>2.5</v>
      </c>
      <c r="AS64">
        <v>6.1509999999999998</v>
      </c>
      <c r="AT64">
        <v>0.41089999999999999</v>
      </c>
      <c r="AU64">
        <v>0.68940000000000001</v>
      </c>
      <c r="AV64">
        <v>8.8740000000000006</v>
      </c>
      <c r="AW64">
        <v>290.11079999999998</v>
      </c>
      <c r="AX64">
        <v>991.29489999999998</v>
      </c>
      <c r="AY64">
        <v>9.6110000000000007</v>
      </c>
      <c r="AZ64">
        <v>0.6663</v>
      </c>
      <c r="BA64">
        <v>1.1282000000000001</v>
      </c>
      <c r="BB64">
        <v>16.187999999999999</v>
      </c>
      <c r="BC64">
        <v>6.54E-2</v>
      </c>
      <c r="BD64">
        <v>0.1361</v>
      </c>
    </row>
    <row r="65" spans="1:59">
      <c r="A65" t="s">
        <v>82</v>
      </c>
      <c r="B65" t="s">
        <v>22</v>
      </c>
      <c r="C65">
        <v>1</v>
      </c>
      <c r="D65">
        <v>4.4009999999999998</v>
      </c>
      <c r="E65">
        <v>3.1448</v>
      </c>
      <c r="F65">
        <v>18.848199999999999</v>
      </c>
      <c r="G65" s="12">
        <f t="shared" ref="G65:G76" si="10">(E65+0.036)/3.3113</f>
        <v>0.96058949657234316</v>
      </c>
      <c r="H65">
        <v>6.8650000000000002</v>
      </c>
      <c r="I65">
        <v>0.13150000000000001</v>
      </c>
      <c r="J65">
        <v>0.3569</v>
      </c>
      <c r="N65">
        <v>19.878</v>
      </c>
      <c r="O65">
        <v>3.4599999999999999E-2</v>
      </c>
      <c r="P65">
        <v>6.3E-2</v>
      </c>
      <c r="R65">
        <v>1.6225000000000001</v>
      </c>
      <c r="S65">
        <f t="shared" ref="S65:S72" si="11">(R65-0.4251)/1.2512</f>
        <v>0.95700127877237851</v>
      </c>
      <c r="AQ65" t="s">
        <v>493</v>
      </c>
      <c r="AR65">
        <v>5</v>
      </c>
      <c r="AS65">
        <v>6.0750000000000002</v>
      </c>
      <c r="AT65">
        <v>1.2815000000000001</v>
      </c>
      <c r="AU65">
        <v>5.2271000000000001</v>
      </c>
      <c r="AV65">
        <v>8.9879999999999995</v>
      </c>
      <c r="AW65">
        <v>568.46950000000004</v>
      </c>
      <c r="AX65">
        <v>1528.9385</v>
      </c>
      <c r="AY65">
        <v>9.7910000000000004</v>
      </c>
      <c r="AZ65">
        <v>1.5703</v>
      </c>
      <c r="BA65">
        <v>2.4695999999999998</v>
      </c>
      <c r="BB65">
        <v>16.175000000000001</v>
      </c>
      <c r="BC65">
        <v>0.53180000000000005</v>
      </c>
      <c r="BD65">
        <v>1.1252</v>
      </c>
    </row>
    <row r="66" spans="1:59">
      <c r="A66" t="s">
        <v>82</v>
      </c>
      <c r="B66" t="s">
        <v>23</v>
      </c>
      <c r="C66">
        <v>1.5</v>
      </c>
      <c r="D66">
        <v>4.4080000000000004</v>
      </c>
      <c r="E66">
        <v>5.0452000000000004</v>
      </c>
      <c r="F66">
        <v>29.464099999999998</v>
      </c>
      <c r="G66" s="12">
        <f t="shared" si="10"/>
        <v>1.5345030652613776</v>
      </c>
      <c r="H66">
        <v>6.8680000000000003</v>
      </c>
      <c r="I66">
        <v>0.6694</v>
      </c>
      <c r="J66">
        <v>0.55179999999999996</v>
      </c>
      <c r="N66">
        <v>19.870999999999999</v>
      </c>
      <c r="O66">
        <v>6.13E-2</v>
      </c>
      <c r="P66">
        <v>0.1114</v>
      </c>
      <c r="R66">
        <v>2.3367</v>
      </c>
      <c r="S66">
        <f t="shared" si="11"/>
        <v>1.5278132992327365</v>
      </c>
      <c r="AQ66" t="s">
        <v>494</v>
      </c>
      <c r="AR66">
        <v>10</v>
      </c>
      <c r="AS66">
        <v>6.1050000000000004</v>
      </c>
      <c r="AT66">
        <v>0.96950000000000003</v>
      </c>
      <c r="AU66">
        <v>2.0602999999999998</v>
      </c>
      <c r="AV66">
        <v>9.1509999999999998</v>
      </c>
      <c r="AW66">
        <v>1065.6767</v>
      </c>
      <c r="AX66">
        <v>2063.2907</v>
      </c>
      <c r="AY66">
        <v>9.8610000000000007</v>
      </c>
      <c r="AZ66">
        <v>2.7429999999999999</v>
      </c>
      <c r="BA66">
        <v>3.9337</v>
      </c>
      <c r="BB66">
        <v>16.161000000000001</v>
      </c>
      <c r="BC66">
        <v>4.8300000000000003E-2</v>
      </c>
      <c r="BD66">
        <v>0.10539999999999999</v>
      </c>
    </row>
    <row r="67" spans="1:59">
      <c r="A67" t="s">
        <v>82</v>
      </c>
      <c r="B67" t="s">
        <v>24</v>
      </c>
      <c r="C67">
        <v>2</v>
      </c>
      <c r="D67">
        <v>4.4180000000000001</v>
      </c>
      <c r="E67">
        <v>6.7862999999999998</v>
      </c>
      <c r="F67">
        <v>40.275700000000001</v>
      </c>
      <c r="G67" s="12">
        <f t="shared" si="10"/>
        <v>2.0603086401111343</v>
      </c>
      <c r="H67">
        <v>6.8710000000000004</v>
      </c>
      <c r="I67">
        <v>0.64090000000000003</v>
      </c>
      <c r="J67">
        <v>0.59179999999999999</v>
      </c>
      <c r="N67">
        <v>19.881</v>
      </c>
      <c r="O67">
        <v>4.5999999999999999E-2</v>
      </c>
      <c r="P67">
        <v>8.1799999999999998E-2</v>
      </c>
      <c r="R67">
        <v>2.9910999999999999</v>
      </c>
      <c r="S67">
        <f t="shared" si="11"/>
        <v>2.0508312020460355</v>
      </c>
      <c r="AQ67" t="s">
        <v>400</v>
      </c>
      <c r="AR67">
        <v>0</v>
      </c>
      <c r="AV67">
        <v>6.1849999999999996</v>
      </c>
      <c r="AW67">
        <v>0.1986</v>
      </c>
      <c r="AX67">
        <v>0.20549999999999999</v>
      </c>
      <c r="AY67">
        <v>9.8979999999999997</v>
      </c>
      <c r="AZ67">
        <v>0.16719999999999999</v>
      </c>
      <c r="BA67">
        <v>0.59919999999999995</v>
      </c>
    </row>
    <row r="68" spans="1:59">
      <c r="A68" t="s">
        <v>82</v>
      </c>
      <c r="B68" t="s">
        <v>25</v>
      </c>
      <c r="C68">
        <v>2.5</v>
      </c>
      <c r="D68">
        <v>4.4249999999999998</v>
      </c>
      <c r="E68">
        <v>8.3629999999999995</v>
      </c>
      <c r="F68">
        <v>49.668700000000001</v>
      </c>
      <c r="G68" s="12">
        <f t="shared" si="10"/>
        <v>2.5364660405278889</v>
      </c>
      <c r="H68">
        <v>6.875</v>
      </c>
      <c r="I68">
        <v>0.6421</v>
      </c>
      <c r="J68">
        <v>0.53280000000000005</v>
      </c>
      <c r="N68">
        <v>19.881</v>
      </c>
      <c r="O68">
        <v>0.10100000000000001</v>
      </c>
      <c r="P68">
        <v>0.1782</v>
      </c>
      <c r="R68">
        <v>3.5836000000000001</v>
      </c>
      <c r="S68">
        <f t="shared" si="11"/>
        <v>2.5243765984654729</v>
      </c>
      <c r="AQ68" t="s">
        <v>400</v>
      </c>
      <c r="AR68">
        <v>0</v>
      </c>
      <c r="AS68">
        <v>5.0839999999999996</v>
      </c>
      <c r="AT68">
        <v>8.9800000000000005E-2</v>
      </c>
      <c r="AU68">
        <v>0.1135</v>
      </c>
      <c r="AV68">
        <v>6.1879999999999997</v>
      </c>
      <c r="AW68">
        <v>0.75800000000000001</v>
      </c>
      <c r="AX68">
        <v>0.63300000000000001</v>
      </c>
      <c r="AY68">
        <v>9.9339999999999993</v>
      </c>
      <c r="AZ68">
        <v>202</v>
      </c>
      <c r="BA68">
        <v>0.63859999999999995</v>
      </c>
      <c r="BB68">
        <v>11.098000000000001</v>
      </c>
      <c r="BC68">
        <v>0.31069999999999998</v>
      </c>
      <c r="BD68">
        <v>0.41520000000000001</v>
      </c>
      <c r="BE68">
        <v>23.777999999999999</v>
      </c>
      <c r="BF68">
        <v>0.12790000000000001</v>
      </c>
      <c r="BG68">
        <v>0.1182</v>
      </c>
    </row>
    <row r="69" spans="1:59">
      <c r="A69" t="s">
        <v>82</v>
      </c>
      <c r="B69" t="s">
        <v>26</v>
      </c>
      <c r="C69">
        <v>3</v>
      </c>
      <c r="D69">
        <v>4.431</v>
      </c>
      <c r="E69">
        <v>10.0189</v>
      </c>
      <c r="F69">
        <v>59.885100000000001</v>
      </c>
      <c r="G69" s="12">
        <f t="shared" si="10"/>
        <v>3.0365415395766013</v>
      </c>
      <c r="H69">
        <v>6.8780000000000001</v>
      </c>
      <c r="I69">
        <v>0.22270000000000001</v>
      </c>
      <c r="J69">
        <v>0.41260000000000002</v>
      </c>
      <c r="K69">
        <v>12.074</v>
      </c>
      <c r="L69">
        <v>6.08E-2</v>
      </c>
      <c r="M69">
        <v>0.1867</v>
      </c>
      <c r="N69">
        <v>19.881</v>
      </c>
      <c r="O69">
        <v>4.4699999999999997E-2</v>
      </c>
      <c r="P69">
        <v>0.08</v>
      </c>
      <c r="R69">
        <v>4.306</v>
      </c>
      <c r="S69">
        <f t="shared" si="11"/>
        <v>3.1017423273657285</v>
      </c>
    </row>
    <row r="70" spans="1:59" ht="31">
      <c r="A70" t="s">
        <v>82</v>
      </c>
      <c r="B70" t="s">
        <v>27</v>
      </c>
      <c r="C70">
        <v>5</v>
      </c>
      <c r="D70">
        <v>4.4509999999999996</v>
      </c>
      <c r="E70">
        <v>16.339700000000001</v>
      </c>
      <c r="F70">
        <v>91.912400000000005</v>
      </c>
      <c r="G70" s="12">
        <f t="shared" si="10"/>
        <v>4.9453990879714915</v>
      </c>
      <c r="H70">
        <v>6.8710000000000004</v>
      </c>
      <c r="I70">
        <v>0.86080000000000001</v>
      </c>
      <c r="J70">
        <v>1.766</v>
      </c>
      <c r="N70">
        <v>19.895</v>
      </c>
      <c r="O70">
        <v>9.0399999999999994E-2</v>
      </c>
      <c r="P70">
        <v>0.15809999999999999</v>
      </c>
      <c r="R70">
        <v>6.5815000000000001</v>
      </c>
      <c r="S70">
        <f t="shared" si="11"/>
        <v>4.9203964194373402</v>
      </c>
      <c r="AP70" s="10" t="s">
        <v>10</v>
      </c>
      <c r="AQ70" s="10" t="s">
        <v>15</v>
      </c>
      <c r="AR70" s="10" t="s">
        <v>16</v>
      </c>
      <c r="AS70" s="10" t="s">
        <v>2</v>
      </c>
      <c r="AT70" s="10" t="s">
        <v>18</v>
      </c>
      <c r="AU70" s="10" t="s">
        <v>17</v>
      </c>
      <c r="AV70" s="10" t="s">
        <v>2</v>
      </c>
      <c r="AW70" s="10" t="s">
        <v>18</v>
      </c>
      <c r="AX70" s="10" t="s">
        <v>17</v>
      </c>
      <c r="AY70" s="441" t="s">
        <v>2</v>
      </c>
      <c r="AZ70" s="441" t="s">
        <v>18</v>
      </c>
      <c r="BA70" s="441" t="s">
        <v>17</v>
      </c>
      <c r="BB70" s="10" t="s">
        <v>2</v>
      </c>
      <c r="BC70" s="10" t="s">
        <v>18</v>
      </c>
      <c r="BD70" s="10" t="s">
        <v>17</v>
      </c>
      <c r="BE70" s="10" t="s">
        <v>2</v>
      </c>
      <c r="BF70" s="10" t="s">
        <v>18</v>
      </c>
      <c r="BG70" s="10" t="s">
        <v>17</v>
      </c>
    </row>
    <row r="71" spans="1:59">
      <c r="A71" t="s">
        <v>82</v>
      </c>
      <c r="B71" t="s">
        <v>83</v>
      </c>
      <c r="C71">
        <v>1</v>
      </c>
      <c r="D71">
        <v>4.4009999999999998</v>
      </c>
      <c r="E71">
        <v>3.2075999999999998</v>
      </c>
      <c r="F71">
        <v>19.790500000000002</v>
      </c>
      <c r="G71" s="12">
        <f t="shared" si="10"/>
        <v>0.97955485760879402</v>
      </c>
      <c r="H71">
        <v>6.8579999999999997</v>
      </c>
      <c r="I71">
        <v>5.6899999999999999E-2</v>
      </c>
      <c r="J71">
        <v>0.3306</v>
      </c>
      <c r="K71">
        <v>0</v>
      </c>
      <c r="L71">
        <v>0</v>
      </c>
      <c r="M71">
        <v>0</v>
      </c>
      <c r="N71">
        <v>19.895</v>
      </c>
      <c r="O71">
        <v>4.1700000000000001E-2</v>
      </c>
      <c r="P71">
        <v>7.17E-2</v>
      </c>
      <c r="R71">
        <v>1.6460999999999999</v>
      </c>
      <c r="S71">
        <f t="shared" si="11"/>
        <v>0.97586317135549849</v>
      </c>
      <c r="AP71" t="s">
        <v>1566</v>
      </c>
      <c r="AQ71">
        <v>0</v>
      </c>
      <c r="AR71">
        <v>0</v>
      </c>
    </row>
    <row r="72" spans="1:59">
      <c r="A72" t="s">
        <v>82</v>
      </c>
      <c r="B72" t="s">
        <v>83</v>
      </c>
      <c r="C72">
        <v>1</v>
      </c>
      <c r="D72">
        <v>4.4009999999999998</v>
      </c>
      <c r="E72">
        <v>3.1861999999999999</v>
      </c>
      <c r="F72">
        <v>20.1753</v>
      </c>
      <c r="G72" s="12">
        <f t="shared" si="10"/>
        <v>0.97309213903904801</v>
      </c>
      <c r="H72">
        <v>6.8550000000000004</v>
      </c>
      <c r="I72">
        <v>5.3100000000000001E-2</v>
      </c>
      <c r="J72">
        <v>0.35099999999999998</v>
      </c>
      <c r="K72">
        <v>0</v>
      </c>
      <c r="L72">
        <v>0</v>
      </c>
      <c r="M72">
        <v>0</v>
      </c>
      <c r="N72">
        <v>19.864999999999998</v>
      </c>
      <c r="O72">
        <v>4.4200000000000003E-2</v>
      </c>
      <c r="P72">
        <v>7.9200000000000007E-2</v>
      </c>
      <c r="R72">
        <v>1.6380999999999999</v>
      </c>
      <c r="S72">
        <f t="shared" si="11"/>
        <v>0.96946930946291543</v>
      </c>
      <c r="AQ72" t="s">
        <v>495</v>
      </c>
      <c r="AR72">
        <v>0.1</v>
      </c>
      <c r="AS72">
        <v>6.1580000000000004</v>
      </c>
      <c r="AT72">
        <v>0.60980000000000001</v>
      </c>
      <c r="AU72">
        <v>1.3622000000000001</v>
      </c>
      <c r="AV72">
        <v>8.7379999999999995</v>
      </c>
      <c r="AW72">
        <v>8.2211999999999996</v>
      </c>
      <c r="AX72">
        <v>36.068800000000003</v>
      </c>
      <c r="AY72">
        <v>9.8439999999999994</v>
      </c>
      <c r="AZ72">
        <v>0.12520000000000001</v>
      </c>
      <c r="BA72">
        <v>0.40139999999999998</v>
      </c>
      <c r="BB72">
        <v>16.117999999999999</v>
      </c>
      <c r="BC72">
        <v>0.12640000000000001</v>
      </c>
      <c r="BD72">
        <v>0.26629999999999998</v>
      </c>
    </row>
    <row r="73" spans="1:59">
      <c r="A73" t="s">
        <v>82</v>
      </c>
      <c r="B73" t="s">
        <v>19</v>
      </c>
      <c r="C73">
        <v>0</v>
      </c>
      <c r="D73">
        <v>6.891</v>
      </c>
      <c r="E73">
        <v>2.5428000000000002</v>
      </c>
      <c r="F73">
        <v>12.929600000000001</v>
      </c>
      <c r="G73" s="12">
        <f t="shared" si="10"/>
        <v>0.77878778727388043</v>
      </c>
      <c r="H73">
        <v>12.081</v>
      </c>
      <c r="I73">
        <v>4.3596000000000004</v>
      </c>
      <c r="J73">
        <v>13.8101</v>
      </c>
      <c r="K73">
        <v>19.898</v>
      </c>
      <c r="L73">
        <v>0.18940000000000001</v>
      </c>
      <c r="M73">
        <v>0.3322</v>
      </c>
      <c r="R73">
        <v>0</v>
      </c>
      <c r="AQ73" t="s">
        <v>490</v>
      </c>
      <c r="AR73">
        <v>0.5</v>
      </c>
      <c r="AS73">
        <v>6.1609999999999996</v>
      </c>
      <c r="AT73">
        <v>0.70179999999999998</v>
      </c>
      <c r="AU73">
        <v>2.5219999999999998</v>
      </c>
      <c r="AV73">
        <v>8.7539999999999996</v>
      </c>
      <c r="AW73">
        <v>53.016300000000001</v>
      </c>
      <c r="AX73">
        <v>229.86799999999999</v>
      </c>
      <c r="AY73">
        <v>9.8480000000000008</v>
      </c>
      <c r="AZ73">
        <v>0.49759999999999999</v>
      </c>
      <c r="BA73">
        <v>1.5048999999999999</v>
      </c>
      <c r="BB73">
        <v>16.117999999999999</v>
      </c>
      <c r="BC73">
        <v>0.28939999999999999</v>
      </c>
      <c r="BD73">
        <v>0.61250000000000004</v>
      </c>
    </row>
    <row r="74" spans="1:59">
      <c r="A74" t="s">
        <v>82</v>
      </c>
      <c r="B74" t="s">
        <v>20</v>
      </c>
      <c r="C74">
        <v>0</v>
      </c>
      <c r="D74">
        <v>6.8680000000000003</v>
      </c>
      <c r="E74">
        <v>2.6589</v>
      </c>
      <c r="F74">
        <v>12.9506</v>
      </c>
      <c r="G74" s="12">
        <f t="shared" si="10"/>
        <v>0.81384954549572674</v>
      </c>
      <c r="H74">
        <v>12.054</v>
      </c>
      <c r="I74">
        <v>4.3695000000000004</v>
      </c>
      <c r="J74">
        <v>13.8367</v>
      </c>
      <c r="K74">
        <v>19.881</v>
      </c>
      <c r="L74">
        <v>0.21829999999999999</v>
      </c>
      <c r="M74">
        <v>0.38390000000000002</v>
      </c>
      <c r="R74">
        <v>0</v>
      </c>
      <c r="AQ74" t="s">
        <v>491</v>
      </c>
      <c r="AR74">
        <v>1</v>
      </c>
      <c r="AS74">
        <v>6.1509999999999998</v>
      </c>
      <c r="AT74">
        <v>0.42870000000000003</v>
      </c>
      <c r="AU74">
        <v>1.1737</v>
      </c>
      <c r="AV74">
        <v>8.7710000000000008</v>
      </c>
      <c r="AW74">
        <v>112.9813</v>
      </c>
      <c r="AX74">
        <v>471.19040000000001</v>
      </c>
      <c r="AY74">
        <v>9.8249999999999993</v>
      </c>
      <c r="AZ74">
        <v>0.39939999999999998</v>
      </c>
      <c r="BA74">
        <v>0.76190000000000002</v>
      </c>
      <c r="BB74">
        <v>16.105</v>
      </c>
      <c r="BC74">
        <v>0.47549999999999998</v>
      </c>
      <c r="BD74">
        <v>1.0062</v>
      </c>
    </row>
    <row r="75" spans="1:59">
      <c r="A75" t="s">
        <v>82</v>
      </c>
      <c r="B75" t="s">
        <v>84</v>
      </c>
      <c r="C75">
        <v>0</v>
      </c>
      <c r="D75">
        <v>6.8609999999999998</v>
      </c>
      <c r="E75">
        <v>2.6698</v>
      </c>
      <c r="F75">
        <v>13.5032</v>
      </c>
      <c r="G75" s="12">
        <f t="shared" si="10"/>
        <v>0.8171413040195693</v>
      </c>
      <c r="H75">
        <v>12.051</v>
      </c>
      <c r="I75">
        <v>4.3883999999999999</v>
      </c>
      <c r="J75">
        <v>13.900600000000001</v>
      </c>
      <c r="K75">
        <v>19.878</v>
      </c>
      <c r="L75">
        <v>0.2034</v>
      </c>
      <c r="M75">
        <v>0.35310000000000002</v>
      </c>
      <c r="R75">
        <v>0</v>
      </c>
      <c r="AQ75" t="s">
        <v>492</v>
      </c>
      <c r="AR75">
        <v>2.5</v>
      </c>
      <c r="AS75">
        <v>6.1449999999999996</v>
      </c>
      <c r="AT75">
        <v>0.31659999999999999</v>
      </c>
      <c r="AU75">
        <v>0.42049999999999998</v>
      </c>
      <c r="AV75">
        <v>8.8450000000000006</v>
      </c>
      <c r="AW75">
        <v>290.46179999999998</v>
      </c>
      <c r="AX75">
        <v>1035.9648999999999</v>
      </c>
      <c r="AY75">
        <v>9.7680000000000007</v>
      </c>
      <c r="AZ75">
        <v>0.84460000000000002</v>
      </c>
      <c r="BA75">
        <v>1.0794999999999999</v>
      </c>
      <c r="BB75">
        <v>16.097999999999999</v>
      </c>
      <c r="BC75">
        <v>0.16370000000000001</v>
      </c>
      <c r="BD75">
        <v>0.34620000000000001</v>
      </c>
    </row>
    <row r="76" spans="1:59">
      <c r="A76" t="s">
        <v>82</v>
      </c>
      <c r="B76" t="s">
        <v>45</v>
      </c>
      <c r="C76">
        <v>0</v>
      </c>
      <c r="D76">
        <v>6.8639999999999999</v>
      </c>
      <c r="E76">
        <v>2.681</v>
      </c>
      <c r="F76">
        <v>13.601599999999999</v>
      </c>
      <c r="G76" s="12">
        <f t="shared" si="10"/>
        <v>0.82052366140186628</v>
      </c>
      <c r="H76">
        <v>12.054</v>
      </c>
      <c r="I76">
        <v>4.4081999999999999</v>
      </c>
      <c r="J76">
        <v>13.8881</v>
      </c>
      <c r="K76">
        <v>19.873999999999999</v>
      </c>
      <c r="L76">
        <v>0.19470000000000001</v>
      </c>
      <c r="M76">
        <v>0.34029999999999999</v>
      </c>
      <c r="R76">
        <v>0</v>
      </c>
      <c r="AQ76" t="s">
        <v>493</v>
      </c>
      <c r="AR76">
        <v>5</v>
      </c>
      <c r="AS76">
        <v>6.1239999999999997</v>
      </c>
      <c r="AT76">
        <v>0.64400000000000002</v>
      </c>
      <c r="AU76">
        <v>2.3098999999999998</v>
      </c>
      <c r="AV76">
        <v>8.9540000000000006</v>
      </c>
      <c r="AW76">
        <v>585.48429999999996</v>
      </c>
      <c r="AX76">
        <v>1589.3206</v>
      </c>
      <c r="AY76">
        <v>9.8279999999999994</v>
      </c>
      <c r="AZ76">
        <v>1.9997</v>
      </c>
      <c r="BA76">
        <v>3.0436999999999999</v>
      </c>
      <c r="BB76">
        <v>16.081</v>
      </c>
      <c r="BC76">
        <v>1.1862999999999999</v>
      </c>
      <c r="BD76">
        <v>2.5495000000000001</v>
      </c>
    </row>
    <row r="77" spans="1:59">
      <c r="AQ77" t="s">
        <v>494</v>
      </c>
      <c r="AR77">
        <v>10</v>
      </c>
      <c r="AS77">
        <v>6.1050000000000004</v>
      </c>
      <c r="AT77">
        <v>0.72540000000000004</v>
      </c>
      <c r="AU77">
        <v>1.4021999999999999</v>
      </c>
      <c r="AV77">
        <v>9.1180000000000003</v>
      </c>
      <c r="AW77">
        <v>1095.2828999999999</v>
      </c>
      <c r="AX77">
        <v>2139.0387000000001</v>
      </c>
      <c r="AY77">
        <v>9.8610000000000007</v>
      </c>
      <c r="AZ77">
        <v>3.3058000000000001</v>
      </c>
      <c r="BA77">
        <v>3.3241000000000001</v>
      </c>
      <c r="BB77">
        <v>16.074999999999999</v>
      </c>
      <c r="BC77">
        <v>5.0200000000000002E-2</v>
      </c>
      <c r="BD77">
        <v>0.106</v>
      </c>
    </row>
    <row r="78" spans="1:59" ht="31">
      <c r="A78" s="10" t="s">
        <v>10</v>
      </c>
      <c r="B78" s="10" t="s">
        <v>15</v>
      </c>
      <c r="C78" s="10" t="s">
        <v>16</v>
      </c>
      <c r="D78" s="10" t="s">
        <v>2</v>
      </c>
      <c r="E78" s="10" t="s">
        <v>18</v>
      </c>
      <c r="F78" s="10" t="s">
        <v>17</v>
      </c>
      <c r="G78" s="208"/>
      <c r="H78" s="10" t="s">
        <v>2</v>
      </c>
      <c r="I78" s="10" t="s">
        <v>18</v>
      </c>
      <c r="J78" s="10" t="s">
        <v>17</v>
      </c>
      <c r="K78" s="10" t="s">
        <v>2</v>
      </c>
      <c r="L78" s="10" t="s">
        <v>18</v>
      </c>
      <c r="M78" s="10" t="s">
        <v>17</v>
      </c>
      <c r="N78" s="10" t="s">
        <v>2</v>
      </c>
      <c r="O78" s="10" t="s">
        <v>18</v>
      </c>
      <c r="P78" s="10" t="s">
        <v>17</v>
      </c>
      <c r="Q78" s="10" t="s">
        <v>90</v>
      </c>
      <c r="R78" s="215" t="s">
        <v>931</v>
      </c>
      <c r="AQ78" t="s">
        <v>400</v>
      </c>
      <c r="AR78">
        <v>0</v>
      </c>
      <c r="AS78">
        <v>6.1210000000000004</v>
      </c>
      <c r="AT78">
        <v>0.15859999999999999</v>
      </c>
      <c r="AU78">
        <v>2.87E-2</v>
      </c>
      <c r="AY78">
        <v>9.9079999999999995</v>
      </c>
      <c r="AZ78">
        <v>6.8699999999999997E-2</v>
      </c>
      <c r="BA78">
        <v>0.25230000000000002</v>
      </c>
    </row>
    <row r="79" spans="1:59">
      <c r="A79" s="10"/>
      <c r="B79" s="10"/>
      <c r="C79" s="10">
        <v>0</v>
      </c>
      <c r="D79" s="10"/>
      <c r="E79" s="10"/>
      <c r="F79" s="10">
        <v>0</v>
      </c>
      <c r="G79" s="208"/>
      <c r="H79" s="10"/>
      <c r="I79" s="10"/>
      <c r="J79" s="10"/>
      <c r="K79" s="10"/>
      <c r="L79" s="10"/>
      <c r="M79" s="10"/>
      <c r="N79" s="10"/>
      <c r="O79" s="10"/>
      <c r="P79" s="10"/>
      <c r="Q79" s="10"/>
      <c r="AQ79" t="s">
        <v>400</v>
      </c>
      <c r="AR79">
        <v>0</v>
      </c>
      <c r="AS79">
        <v>6.1609999999999996</v>
      </c>
      <c r="AT79">
        <v>0.2636</v>
      </c>
      <c r="AU79">
        <v>0.35639999999999999</v>
      </c>
      <c r="AY79">
        <v>9.8480000000000008</v>
      </c>
      <c r="AZ79">
        <v>8.4199999999999997E-2</v>
      </c>
      <c r="BA79">
        <v>0.308</v>
      </c>
    </row>
    <row r="80" spans="1:59">
      <c r="A80" t="s">
        <v>87</v>
      </c>
      <c r="B80" t="s">
        <v>21</v>
      </c>
      <c r="C80">
        <v>0.5</v>
      </c>
      <c r="D80">
        <v>4.3810000000000002</v>
      </c>
      <c r="E80">
        <v>1.5857000000000001</v>
      </c>
      <c r="F80">
        <v>9.1759000000000004</v>
      </c>
      <c r="G80" s="12">
        <f>(E80+0.0699)/3.3142</f>
        <v>0.49954740208798509</v>
      </c>
      <c r="H80">
        <v>6.8310000000000004</v>
      </c>
      <c r="I80">
        <v>0.29139999999999999</v>
      </c>
      <c r="J80">
        <v>1.3512</v>
      </c>
      <c r="N80">
        <v>19.818000000000001</v>
      </c>
      <c r="O80">
        <v>3.7900000000000003E-2</v>
      </c>
      <c r="P80">
        <v>6.5799999999999997E-2</v>
      </c>
      <c r="Q80" t="s">
        <v>886</v>
      </c>
      <c r="R80">
        <v>1.0365</v>
      </c>
      <c r="S80">
        <f>(R80-0.4143)/1.2456</f>
        <v>0.49951830443159917</v>
      </c>
    </row>
    <row r="81" spans="1:62" ht="31">
      <c r="A81" t="s">
        <v>87</v>
      </c>
      <c r="B81" t="s">
        <v>22</v>
      </c>
      <c r="C81">
        <v>1</v>
      </c>
      <c r="D81">
        <v>4.3879999999999999</v>
      </c>
      <c r="E81">
        <v>3.2218</v>
      </c>
      <c r="F81">
        <v>19.7806</v>
      </c>
      <c r="G81" s="12">
        <f t="shared" ref="G81:G92" si="12">(E81+0.0699)/3.3142</f>
        <v>0.99321103131977551</v>
      </c>
      <c r="H81">
        <v>6.8280000000000003</v>
      </c>
      <c r="I81">
        <v>5.4699999999999999E-2</v>
      </c>
      <c r="J81">
        <v>0.32400000000000001</v>
      </c>
      <c r="N81">
        <v>19.811</v>
      </c>
      <c r="O81">
        <v>3.9399999999999998E-2</v>
      </c>
      <c r="P81">
        <v>7.0400000000000004E-2</v>
      </c>
      <c r="R81">
        <v>1.6514</v>
      </c>
      <c r="S81">
        <f t="shared" ref="S81:S88" si="13">(R81-0.4143)/1.2456</f>
        <v>0.99317597944765557</v>
      </c>
      <c r="AP81" s="10" t="s">
        <v>10</v>
      </c>
      <c r="AQ81" s="10" t="s">
        <v>15</v>
      </c>
      <c r="AR81" s="10" t="s">
        <v>16</v>
      </c>
      <c r="AS81" s="10" t="s">
        <v>2</v>
      </c>
      <c r="AT81" s="10" t="s">
        <v>18</v>
      </c>
      <c r="AU81" s="10" t="s">
        <v>17</v>
      </c>
      <c r="AV81" s="10" t="s">
        <v>2</v>
      </c>
      <c r="AW81" s="10" t="s">
        <v>18</v>
      </c>
      <c r="AX81" s="10" t="s">
        <v>17</v>
      </c>
      <c r="AY81" s="441" t="s">
        <v>2</v>
      </c>
      <c r="AZ81" s="441" t="s">
        <v>18</v>
      </c>
      <c r="BA81" s="441" t="s">
        <v>17</v>
      </c>
      <c r="BB81" s="10" t="s">
        <v>2</v>
      </c>
      <c r="BC81" s="10" t="s">
        <v>18</v>
      </c>
      <c r="BD81" s="10" t="s">
        <v>17</v>
      </c>
      <c r="BE81" s="10" t="s">
        <v>2</v>
      </c>
      <c r="BF81" s="10" t="s">
        <v>18</v>
      </c>
      <c r="BG81" s="10" t="s">
        <v>17</v>
      </c>
    </row>
    <row r="82" spans="1:62">
      <c r="A82" t="s">
        <v>87</v>
      </c>
      <c r="B82" t="s">
        <v>23</v>
      </c>
      <c r="C82">
        <v>1.5</v>
      </c>
      <c r="D82">
        <v>4.3979999999999997</v>
      </c>
      <c r="E82">
        <v>4.8882000000000003</v>
      </c>
      <c r="F82">
        <v>30.506799999999998</v>
      </c>
      <c r="G82" s="12">
        <f t="shared" si="12"/>
        <v>1.4960171383742682</v>
      </c>
      <c r="H82">
        <v>6.8339999999999996</v>
      </c>
      <c r="I82">
        <v>5.7299999999999997E-2</v>
      </c>
      <c r="J82">
        <v>0.3372</v>
      </c>
      <c r="N82">
        <v>19.811</v>
      </c>
      <c r="O82">
        <v>5.8900000000000001E-2</v>
      </c>
      <c r="P82">
        <v>0.1048</v>
      </c>
      <c r="R82">
        <v>2.2776999999999998</v>
      </c>
      <c r="S82">
        <f t="shared" si="13"/>
        <v>1.4959858702633269</v>
      </c>
      <c r="AP82" t="s">
        <v>1567</v>
      </c>
      <c r="AQ82">
        <v>0</v>
      </c>
      <c r="AR82">
        <v>0</v>
      </c>
    </row>
    <row r="83" spans="1:62">
      <c r="A83" t="s">
        <v>87</v>
      </c>
      <c r="B83" t="s">
        <v>24</v>
      </c>
      <c r="C83">
        <v>2</v>
      </c>
      <c r="D83">
        <v>4.4050000000000002</v>
      </c>
      <c r="E83">
        <v>6.5903999999999998</v>
      </c>
      <c r="F83">
        <v>41.334200000000003</v>
      </c>
      <c r="G83" s="12">
        <f t="shared" si="12"/>
        <v>2.0096252489288515</v>
      </c>
      <c r="H83">
        <v>6.835</v>
      </c>
      <c r="I83">
        <v>4.8000000000000001E-2</v>
      </c>
      <c r="J83">
        <v>0.28220000000000001</v>
      </c>
      <c r="N83">
        <v>19.818000000000001</v>
      </c>
      <c r="O83">
        <v>3.9399999999999998E-2</v>
      </c>
      <c r="P83">
        <v>7.1300000000000002E-2</v>
      </c>
      <c r="R83">
        <v>2.9174000000000002</v>
      </c>
      <c r="S83">
        <f t="shared" si="13"/>
        <v>2.0095536287732823</v>
      </c>
      <c r="AQ83" t="s">
        <v>495</v>
      </c>
      <c r="AR83">
        <v>0.1</v>
      </c>
      <c r="AS83">
        <v>6.1609999999999996</v>
      </c>
      <c r="AT83">
        <v>0.78449999999999998</v>
      </c>
      <c r="AU83">
        <v>1.1840999999999999</v>
      </c>
      <c r="AV83">
        <v>6.6509999999999998</v>
      </c>
      <c r="AW83">
        <v>2.4500000000000001E-2</v>
      </c>
      <c r="AX83">
        <v>7.9799999999999996E-2</v>
      </c>
      <c r="AY83">
        <v>8.7409999999999997</v>
      </c>
      <c r="AZ83">
        <v>8.1898</v>
      </c>
      <c r="BA83">
        <v>36.631799999999998</v>
      </c>
      <c r="BB83">
        <v>16.148</v>
      </c>
      <c r="BC83">
        <v>0.1167</v>
      </c>
      <c r="BD83">
        <v>0.2417</v>
      </c>
    </row>
    <row r="84" spans="1:62">
      <c r="A84" t="s">
        <v>87</v>
      </c>
      <c r="B84" t="s">
        <v>25</v>
      </c>
      <c r="C84">
        <v>2.5</v>
      </c>
      <c r="D84">
        <v>4.4109999999999996</v>
      </c>
      <c r="E84">
        <v>8.1747999999999994</v>
      </c>
      <c r="F84">
        <v>50.879100000000001</v>
      </c>
      <c r="G84" s="12">
        <f t="shared" si="12"/>
        <v>2.4876893367931929</v>
      </c>
      <c r="H84">
        <v>6.8380000000000001</v>
      </c>
      <c r="I84">
        <v>4.6399999999999997E-2</v>
      </c>
      <c r="J84">
        <v>0.27279999999999999</v>
      </c>
      <c r="N84">
        <v>19.818000000000001</v>
      </c>
      <c r="O84">
        <v>4.1799999999999997E-2</v>
      </c>
      <c r="P84">
        <v>7.4099999999999999E-2</v>
      </c>
      <c r="R84">
        <v>3.5129000000000001</v>
      </c>
      <c r="S84">
        <f t="shared" si="13"/>
        <v>2.4876364804110471</v>
      </c>
      <c r="AQ84" t="s">
        <v>490</v>
      </c>
      <c r="AR84">
        <v>0.5</v>
      </c>
      <c r="AS84">
        <v>6.1609999999999996</v>
      </c>
      <c r="AT84">
        <v>0.51129999999999998</v>
      </c>
      <c r="AU84">
        <v>1.8619000000000001</v>
      </c>
      <c r="AV84">
        <v>8.7539999999999996</v>
      </c>
      <c r="AW84">
        <v>52.973700000000001</v>
      </c>
      <c r="AX84">
        <v>233.75880000000001</v>
      </c>
      <c r="AY84">
        <v>9.8409999999999993</v>
      </c>
      <c r="AZ84">
        <v>0.2752</v>
      </c>
      <c r="BA84">
        <v>0.66679999999999995</v>
      </c>
      <c r="BB84">
        <v>16.143999999999998</v>
      </c>
      <c r="BC84">
        <v>0.1673</v>
      </c>
      <c r="BD84">
        <v>0.34520000000000001</v>
      </c>
    </row>
    <row r="85" spans="1:62">
      <c r="A85" t="s">
        <v>87</v>
      </c>
      <c r="B85" t="s">
        <v>26</v>
      </c>
      <c r="C85">
        <v>3</v>
      </c>
      <c r="D85">
        <v>4.4180000000000001</v>
      </c>
      <c r="E85">
        <v>9.9586000000000006</v>
      </c>
      <c r="F85">
        <v>61.409199999999998</v>
      </c>
      <c r="G85" s="12">
        <f t="shared" si="12"/>
        <v>3.0259187737613908</v>
      </c>
      <c r="H85">
        <v>6.8380000000000001</v>
      </c>
      <c r="I85">
        <v>0.1142</v>
      </c>
      <c r="J85">
        <v>0.31469999999999998</v>
      </c>
      <c r="N85">
        <v>0</v>
      </c>
      <c r="O85">
        <v>0</v>
      </c>
      <c r="P85">
        <v>0</v>
      </c>
      <c r="R85">
        <v>4.1833</v>
      </c>
      <c r="S85">
        <f t="shared" si="13"/>
        <v>3.0258509955041748</v>
      </c>
      <c r="AQ85" t="s">
        <v>491</v>
      </c>
      <c r="AR85">
        <v>1</v>
      </c>
      <c r="AS85">
        <v>6.1580000000000004</v>
      </c>
      <c r="AT85">
        <v>0.64549999999999996</v>
      </c>
      <c r="AU85">
        <v>1.1875</v>
      </c>
      <c r="AV85">
        <v>8.7739999999999991</v>
      </c>
      <c r="AW85">
        <v>112.4</v>
      </c>
      <c r="AX85">
        <v>476.40609999999998</v>
      </c>
      <c r="AY85">
        <v>9.8179999999999996</v>
      </c>
      <c r="AZ85">
        <v>0.15010000000000001</v>
      </c>
      <c r="BA85">
        <v>0.38490000000000002</v>
      </c>
      <c r="BB85">
        <v>16.138000000000002</v>
      </c>
      <c r="BC85">
        <v>0.28920000000000001</v>
      </c>
      <c r="BD85">
        <v>0.61240000000000006</v>
      </c>
    </row>
    <row r="86" spans="1:62">
      <c r="A86" t="s">
        <v>87</v>
      </c>
      <c r="B86" t="s">
        <v>27</v>
      </c>
      <c r="C86">
        <v>5</v>
      </c>
      <c r="D86">
        <v>4.4379999999999997</v>
      </c>
      <c r="E86">
        <v>16.467600000000001</v>
      </c>
      <c r="F86">
        <v>93.518199999999993</v>
      </c>
      <c r="G86" s="12">
        <f t="shared" si="12"/>
        <v>4.9898919799649999</v>
      </c>
      <c r="H86">
        <v>6.8339999999999996</v>
      </c>
      <c r="I86">
        <v>0.83150000000000002</v>
      </c>
      <c r="J86">
        <v>1.8158000000000001</v>
      </c>
      <c r="N86">
        <v>19.821000000000002</v>
      </c>
      <c r="O86">
        <v>4.2000000000000003E-2</v>
      </c>
      <c r="P86">
        <v>7.4700000000000003E-2</v>
      </c>
      <c r="R86">
        <v>6.6295999999999999</v>
      </c>
      <c r="S86">
        <f t="shared" si="13"/>
        <v>4.9898041104688504</v>
      </c>
      <c r="AQ86" t="s">
        <v>492</v>
      </c>
      <c r="AR86">
        <v>2.5</v>
      </c>
      <c r="AS86">
        <v>6.1440000000000001</v>
      </c>
      <c r="AT86">
        <v>0.35599999999999998</v>
      </c>
      <c r="AU86">
        <v>0.59830000000000005</v>
      </c>
      <c r="AV86">
        <v>8.8480000000000008</v>
      </c>
      <c r="AW86">
        <v>289.25510000000003</v>
      </c>
      <c r="AX86">
        <v>1038.5772999999999</v>
      </c>
      <c r="AY86">
        <v>9.6180000000000003</v>
      </c>
      <c r="AZ86">
        <v>0.87270000000000003</v>
      </c>
      <c r="BA86">
        <v>1.1021000000000001</v>
      </c>
      <c r="BB86">
        <v>16.128</v>
      </c>
      <c r="BC86">
        <v>8.3599999999999994E-2</v>
      </c>
      <c r="BD86">
        <v>0.18149999999999999</v>
      </c>
    </row>
    <row r="87" spans="1:62">
      <c r="A87" t="s">
        <v>87</v>
      </c>
      <c r="B87" t="s">
        <v>83</v>
      </c>
      <c r="C87">
        <v>1.5</v>
      </c>
      <c r="D87">
        <v>4.3949999999999996</v>
      </c>
      <c r="E87">
        <v>4.8940000000000001</v>
      </c>
      <c r="F87">
        <v>31.383600000000001</v>
      </c>
      <c r="G87" s="12">
        <f t="shared" si="12"/>
        <v>1.4977671836340594</v>
      </c>
      <c r="H87">
        <v>6.8280000000000003</v>
      </c>
      <c r="I87">
        <v>6.0699999999999997E-2</v>
      </c>
      <c r="J87">
        <v>0.36020000000000002</v>
      </c>
      <c r="K87">
        <v>0</v>
      </c>
      <c r="L87">
        <v>0</v>
      </c>
      <c r="M87">
        <v>0</v>
      </c>
      <c r="N87">
        <v>19.808</v>
      </c>
      <c r="O87">
        <v>5.5E-2</v>
      </c>
      <c r="P87">
        <v>9.8400000000000001E-2</v>
      </c>
      <c r="R87">
        <v>2.2799</v>
      </c>
      <c r="S87">
        <f t="shared" si="13"/>
        <v>1.4977520873474632</v>
      </c>
      <c r="AQ87" t="s">
        <v>493</v>
      </c>
      <c r="AR87">
        <v>5</v>
      </c>
      <c r="AS87">
        <v>6.1349999999999998</v>
      </c>
      <c r="AT87">
        <v>0.4909</v>
      </c>
      <c r="AU87">
        <v>1.0298</v>
      </c>
      <c r="AV87">
        <v>8.9649999999999999</v>
      </c>
      <c r="AW87">
        <v>585.26919999999996</v>
      </c>
      <c r="AX87">
        <v>1590.4933000000001</v>
      </c>
      <c r="AY87">
        <v>9.8149999999999995</v>
      </c>
      <c r="AZ87">
        <v>1.9752000000000001</v>
      </c>
      <c r="BA87">
        <v>2.2694000000000001</v>
      </c>
      <c r="BB87">
        <v>16.120999999999999</v>
      </c>
      <c r="BC87">
        <v>0.47560000000000002</v>
      </c>
      <c r="BD87">
        <v>1.0065999999999999</v>
      </c>
    </row>
    <row r="88" spans="1:62">
      <c r="A88" t="s">
        <v>87</v>
      </c>
      <c r="B88" t="s">
        <v>83</v>
      </c>
      <c r="C88">
        <v>1.5</v>
      </c>
      <c r="D88">
        <v>4.391</v>
      </c>
      <c r="E88">
        <v>4.9020000000000001</v>
      </c>
      <c r="F88">
        <v>31.907900000000001</v>
      </c>
      <c r="G88" s="12">
        <f t="shared" si="12"/>
        <v>1.5001810391648058</v>
      </c>
      <c r="H88">
        <v>6.8239999999999998</v>
      </c>
      <c r="I88">
        <v>6.0499999999999998E-2</v>
      </c>
      <c r="J88">
        <v>0.3579</v>
      </c>
      <c r="K88">
        <v>0</v>
      </c>
      <c r="L88">
        <v>0</v>
      </c>
      <c r="M88">
        <v>0</v>
      </c>
      <c r="N88">
        <v>19.777999999999999</v>
      </c>
      <c r="O88">
        <v>5.6000000000000001E-2</v>
      </c>
      <c r="P88">
        <v>9.8199999999999996E-2</v>
      </c>
      <c r="R88">
        <v>2.2829000000000002</v>
      </c>
      <c r="S88">
        <f t="shared" si="13"/>
        <v>1.5001605651894672</v>
      </c>
      <c r="AQ88" t="s">
        <v>494</v>
      </c>
      <c r="AR88">
        <v>10</v>
      </c>
      <c r="AS88">
        <v>6.1109999999999998</v>
      </c>
      <c r="AT88">
        <v>0.67120000000000002</v>
      </c>
      <c r="AU88">
        <v>1.1491</v>
      </c>
      <c r="AV88">
        <v>9.1280000000000001</v>
      </c>
      <c r="AW88">
        <v>1095.7293999999999</v>
      </c>
      <c r="AX88">
        <v>2139.8341999999998</v>
      </c>
      <c r="AY88">
        <v>9.8610000000000007</v>
      </c>
      <c r="AZ88">
        <v>3.6402999999999999</v>
      </c>
      <c r="BA88">
        <v>3.4165000000000001</v>
      </c>
      <c r="BB88">
        <v>16.100999999999999</v>
      </c>
      <c r="BC88">
        <v>5.4100000000000002E-2</v>
      </c>
      <c r="BD88">
        <v>0.1104</v>
      </c>
    </row>
    <row r="89" spans="1:62">
      <c r="A89" t="s">
        <v>87</v>
      </c>
      <c r="B89" t="s">
        <v>19</v>
      </c>
      <c r="C89">
        <v>0</v>
      </c>
      <c r="D89">
        <v>6.8879999999999999</v>
      </c>
      <c r="E89">
        <v>1.9367000000000001</v>
      </c>
      <c r="F89">
        <v>9.8132000000000001</v>
      </c>
      <c r="G89" s="12">
        <f t="shared" si="12"/>
        <v>0.60545531349948711</v>
      </c>
      <c r="H89">
        <v>12.101000000000001</v>
      </c>
      <c r="I89">
        <v>3.1842999999999999</v>
      </c>
      <c r="J89">
        <v>10.184900000000001</v>
      </c>
      <c r="K89">
        <v>19.937999999999999</v>
      </c>
      <c r="L89">
        <v>0.14499999999999999</v>
      </c>
      <c r="M89">
        <v>0.25950000000000001</v>
      </c>
      <c r="R89">
        <v>0</v>
      </c>
      <c r="AQ89" t="s">
        <v>400</v>
      </c>
      <c r="AR89">
        <v>0</v>
      </c>
      <c r="AS89">
        <v>6.1909999999999998</v>
      </c>
      <c r="AT89">
        <v>0.5595</v>
      </c>
      <c r="AU89">
        <v>2.3416000000000001</v>
      </c>
      <c r="AY89">
        <v>9.9039999999999999</v>
      </c>
      <c r="AZ89">
        <v>1.423</v>
      </c>
      <c r="BA89">
        <v>5.2828999999999997</v>
      </c>
      <c r="BB89">
        <v>16.263999999999999</v>
      </c>
      <c r="BC89">
        <v>4.9200000000000001E-2</v>
      </c>
      <c r="BD89">
        <v>9.2700000000000005E-2</v>
      </c>
    </row>
    <row r="90" spans="1:62">
      <c r="A90" t="s">
        <v>87</v>
      </c>
      <c r="B90" t="s">
        <v>20</v>
      </c>
      <c r="C90">
        <v>0</v>
      </c>
      <c r="D90">
        <v>6.8380000000000001</v>
      </c>
      <c r="E90">
        <v>1.9939</v>
      </c>
      <c r="F90">
        <v>9.8095999999999997</v>
      </c>
      <c r="G90" s="12">
        <f t="shared" si="12"/>
        <v>0.62271438054432449</v>
      </c>
      <c r="H90">
        <v>12.010999999999999</v>
      </c>
      <c r="I90">
        <v>3.1709000000000001</v>
      </c>
      <c r="J90">
        <v>10.1912</v>
      </c>
      <c r="K90">
        <v>19.811</v>
      </c>
      <c r="L90">
        <v>0.1459</v>
      </c>
      <c r="M90">
        <v>0.26069999999999999</v>
      </c>
      <c r="R90">
        <v>0</v>
      </c>
      <c r="AQ90" t="s">
        <v>400</v>
      </c>
      <c r="AR90">
        <v>0</v>
      </c>
      <c r="AS90">
        <v>6.1509999999999998</v>
      </c>
      <c r="AT90">
        <v>0.38719999999999999</v>
      </c>
      <c r="AU90">
        <v>1.9628000000000001</v>
      </c>
      <c r="AY90">
        <v>9.8510000000000009</v>
      </c>
      <c r="AZ90">
        <v>0.4083</v>
      </c>
      <c r="BA90">
        <v>1.5146999999999999</v>
      </c>
      <c r="BB90">
        <v>16.151</v>
      </c>
      <c r="BC90">
        <v>4.5600000000000002E-2</v>
      </c>
      <c r="BD90">
        <v>9.6699999999999994E-2</v>
      </c>
    </row>
    <row r="91" spans="1:62">
      <c r="A91" t="s">
        <v>87</v>
      </c>
      <c r="B91" t="s">
        <v>84</v>
      </c>
      <c r="C91">
        <v>0</v>
      </c>
      <c r="D91">
        <v>6.8310000000000004</v>
      </c>
      <c r="E91">
        <v>2.1061000000000001</v>
      </c>
      <c r="F91">
        <v>9.8821999999999992</v>
      </c>
      <c r="G91" s="12">
        <f t="shared" si="12"/>
        <v>0.65656870436304393</v>
      </c>
      <c r="H91">
        <v>12.004</v>
      </c>
      <c r="I91">
        <v>3.1737000000000002</v>
      </c>
      <c r="J91">
        <v>10.1173</v>
      </c>
      <c r="K91">
        <v>19.800999999999998</v>
      </c>
      <c r="L91">
        <v>0.14499999999999999</v>
      </c>
      <c r="M91">
        <v>0.25819999999999999</v>
      </c>
      <c r="R91">
        <v>0</v>
      </c>
    </row>
    <row r="92" spans="1:62" ht="31">
      <c r="A92" t="s">
        <v>87</v>
      </c>
      <c r="B92" t="s">
        <v>45</v>
      </c>
      <c r="C92">
        <v>0</v>
      </c>
      <c r="D92">
        <v>6.8310000000000004</v>
      </c>
      <c r="E92">
        <v>2.0979999999999999</v>
      </c>
      <c r="F92">
        <v>9.9393999999999991</v>
      </c>
      <c r="G92" s="12">
        <f t="shared" si="12"/>
        <v>0.65412467563816301</v>
      </c>
      <c r="H92">
        <v>12.000999999999999</v>
      </c>
      <c r="I92">
        <v>3.1983999999999999</v>
      </c>
      <c r="J92">
        <v>10.1412</v>
      </c>
      <c r="K92">
        <v>19.788</v>
      </c>
      <c r="L92">
        <v>0.1474</v>
      </c>
      <c r="M92">
        <v>0.26079999999999998</v>
      </c>
      <c r="R92">
        <v>0</v>
      </c>
      <c r="AP92" s="10" t="s">
        <v>10</v>
      </c>
      <c r="AQ92" s="10" t="s">
        <v>15</v>
      </c>
      <c r="AR92" s="10" t="s">
        <v>16</v>
      </c>
      <c r="AS92" s="10" t="s">
        <v>2</v>
      </c>
      <c r="AT92" s="10" t="s">
        <v>18</v>
      </c>
      <c r="AU92" s="10" t="s">
        <v>17</v>
      </c>
      <c r="AV92" s="10" t="s">
        <v>2</v>
      </c>
      <c r="AW92" s="10" t="s">
        <v>18</v>
      </c>
      <c r="AX92" s="10" t="s">
        <v>17</v>
      </c>
      <c r="AY92" s="10" t="s">
        <v>2</v>
      </c>
      <c r="AZ92" s="10" t="s">
        <v>18</v>
      </c>
      <c r="BA92" s="10" t="s">
        <v>17</v>
      </c>
      <c r="BB92" s="441" t="s">
        <v>2</v>
      </c>
      <c r="BC92" s="441" t="s">
        <v>18</v>
      </c>
      <c r="BD92" s="441" t="s">
        <v>17</v>
      </c>
      <c r="BE92" s="10" t="s">
        <v>2</v>
      </c>
      <c r="BF92" s="10" t="s">
        <v>18</v>
      </c>
      <c r="BG92" s="10" t="s">
        <v>17</v>
      </c>
      <c r="BH92" s="10" t="s">
        <v>2</v>
      </c>
      <c r="BI92" s="10" t="s">
        <v>18</v>
      </c>
      <c r="BJ92" s="10" t="s">
        <v>17</v>
      </c>
    </row>
    <row r="93" spans="1:62">
      <c r="AP93" t="s">
        <v>1568</v>
      </c>
      <c r="AQ93">
        <v>0</v>
      </c>
      <c r="AR93">
        <v>0</v>
      </c>
    </row>
    <row r="94" spans="1:62" ht="46.5">
      <c r="A94" s="10" t="s">
        <v>10</v>
      </c>
      <c r="B94" s="10" t="s">
        <v>15</v>
      </c>
      <c r="C94" s="10" t="s">
        <v>16</v>
      </c>
      <c r="D94" s="10" t="s">
        <v>2</v>
      </c>
      <c r="E94" s="10" t="s">
        <v>18</v>
      </c>
      <c r="F94" s="10" t="s">
        <v>17</v>
      </c>
      <c r="G94" s="208"/>
      <c r="H94" s="10" t="s">
        <v>2</v>
      </c>
      <c r="I94" s="10" t="s">
        <v>18</v>
      </c>
      <c r="J94" s="10" t="s">
        <v>17</v>
      </c>
      <c r="K94" s="10" t="s">
        <v>2</v>
      </c>
      <c r="L94" s="10" t="s">
        <v>18</v>
      </c>
      <c r="M94" s="10" t="s">
        <v>17</v>
      </c>
      <c r="N94" s="10" t="s">
        <v>2</v>
      </c>
      <c r="O94" s="10" t="s">
        <v>18</v>
      </c>
      <c r="P94" s="10" t="s">
        <v>17</v>
      </c>
      <c r="Q94" s="10" t="s">
        <v>89</v>
      </c>
      <c r="R94" s="215" t="s">
        <v>931</v>
      </c>
      <c r="AQ94" t="s">
        <v>495</v>
      </c>
      <c r="AR94">
        <v>0.1</v>
      </c>
      <c r="AS94">
        <v>6.1779999999999999</v>
      </c>
      <c r="AT94">
        <v>0.68459999999999999</v>
      </c>
      <c r="AU94">
        <v>0.75019999999999998</v>
      </c>
      <c r="AV94">
        <v>8.7579999999999991</v>
      </c>
      <c r="AW94">
        <v>8.2233000000000001</v>
      </c>
      <c r="AX94">
        <v>36.665300000000002</v>
      </c>
      <c r="BB94">
        <v>9.8510000000000009</v>
      </c>
      <c r="BC94">
        <v>3.0700000000000002E-2</v>
      </c>
      <c r="BD94">
        <v>9.5799999999999996E-2</v>
      </c>
      <c r="BE94">
        <v>16.154</v>
      </c>
      <c r="BF94">
        <v>0.1157</v>
      </c>
      <c r="BG94">
        <v>2462</v>
      </c>
    </row>
    <row r="95" spans="1:62">
      <c r="A95" s="10"/>
      <c r="B95" s="10"/>
      <c r="C95" s="10">
        <v>0</v>
      </c>
      <c r="D95" s="10"/>
      <c r="E95" s="10"/>
      <c r="F95" s="10">
        <v>0</v>
      </c>
      <c r="G95" s="208"/>
      <c r="H95" s="10"/>
      <c r="I95" s="10"/>
      <c r="J95" s="10"/>
      <c r="K95" s="10"/>
      <c r="L95" s="10"/>
      <c r="M95" s="10"/>
      <c r="N95" s="10"/>
      <c r="O95" s="10"/>
      <c r="P95" s="10"/>
      <c r="Q95" s="10"/>
      <c r="AQ95" t="s">
        <v>490</v>
      </c>
      <c r="AR95">
        <v>0.5</v>
      </c>
      <c r="AS95">
        <v>4.915</v>
      </c>
      <c r="AT95">
        <v>5.91E-2</v>
      </c>
      <c r="AU95">
        <v>0.13539999999999999</v>
      </c>
      <c r="AV95">
        <v>6.1779999999999999</v>
      </c>
      <c r="AW95">
        <v>0.75449999999999995</v>
      </c>
      <c r="AX95">
        <v>1.1462000000000001</v>
      </c>
      <c r="AY95">
        <v>8.7710000000000008</v>
      </c>
      <c r="AZ95">
        <v>52.998399999999997</v>
      </c>
      <c r="BA95">
        <v>233.5077</v>
      </c>
      <c r="BB95">
        <v>9.8510000000000009</v>
      </c>
      <c r="BC95">
        <v>0.2666</v>
      </c>
      <c r="BD95">
        <v>0.64790000000000003</v>
      </c>
      <c r="BE95">
        <v>16.148</v>
      </c>
      <c r="BF95">
        <v>0.1585</v>
      </c>
      <c r="BG95">
        <v>0.33160000000000001</v>
      </c>
    </row>
    <row r="96" spans="1:62">
      <c r="A96" t="s">
        <v>88</v>
      </c>
      <c r="B96" t="s">
        <v>21</v>
      </c>
      <c r="C96">
        <v>0.5</v>
      </c>
      <c r="D96">
        <v>4.3810000000000002</v>
      </c>
      <c r="E96">
        <v>1.6014999999999999</v>
      </c>
      <c r="F96">
        <v>9.9251000000000005</v>
      </c>
      <c r="G96" s="12">
        <f>(E96-0.3254)/3.2261</f>
        <v>0.39555500449459097</v>
      </c>
      <c r="H96">
        <v>6.8209999999999997</v>
      </c>
      <c r="I96">
        <v>0.37159999999999999</v>
      </c>
      <c r="J96">
        <v>1.7901</v>
      </c>
      <c r="K96">
        <v>11.971</v>
      </c>
      <c r="L96">
        <v>0.1283</v>
      </c>
      <c r="M96">
        <v>0.4083</v>
      </c>
      <c r="N96">
        <v>19.731000000000002</v>
      </c>
      <c r="O96">
        <v>3.6400000000000002E-2</v>
      </c>
      <c r="P96">
        <v>6.7100000000000007E-2</v>
      </c>
      <c r="Q96" t="s">
        <v>887</v>
      </c>
      <c r="R96">
        <v>1.0425</v>
      </c>
      <c r="S96">
        <f>(R96-0.5629)/1.2124</f>
        <v>0.39557901682613006</v>
      </c>
      <c r="AQ96" t="s">
        <v>491</v>
      </c>
      <c r="AR96">
        <v>1</v>
      </c>
      <c r="AS96">
        <v>6.1680000000000001</v>
      </c>
      <c r="AT96">
        <v>1.0510999999999999</v>
      </c>
      <c r="AU96">
        <v>2.3443000000000001</v>
      </c>
      <c r="AY96">
        <v>8.7910000000000004</v>
      </c>
      <c r="AZ96">
        <v>112.7595</v>
      </c>
      <c r="BA96">
        <v>477.12990000000002</v>
      </c>
      <c r="BB96">
        <v>9.8209999999999997</v>
      </c>
      <c r="BC96">
        <v>0.30980000000000002</v>
      </c>
      <c r="BD96">
        <v>0.54930000000000001</v>
      </c>
      <c r="BE96">
        <v>16.143999999999998</v>
      </c>
      <c r="BF96">
        <v>0.25030000000000002</v>
      </c>
      <c r="BG96">
        <v>0.53569999999999995</v>
      </c>
    </row>
    <row r="97" spans="1:59">
      <c r="A97" t="s">
        <v>88</v>
      </c>
      <c r="B97" t="s">
        <v>22</v>
      </c>
      <c r="C97">
        <v>1</v>
      </c>
      <c r="D97">
        <v>4.391</v>
      </c>
      <c r="E97">
        <v>3.2538999999999998</v>
      </c>
      <c r="F97">
        <v>21.1065</v>
      </c>
      <c r="G97" s="12">
        <f t="shared" ref="G97:G106" si="14">(E97-0.3254)/3.2261</f>
        <v>0.90775239453209744</v>
      </c>
      <c r="H97">
        <v>6.8209999999999997</v>
      </c>
      <c r="I97">
        <v>5.74E-2</v>
      </c>
      <c r="J97">
        <v>0.34379999999999999</v>
      </c>
      <c r="N97">
        <v>19.724</v>
      </c>
      <c r="O97">
        <v>6.2E-2</v>
      </c>
      <c r="P97">
        <v>0.1133</v>
      </c>
      <c r="R97">
        <v>1.6635</v>
      </c>
      <c r="S97">
        <f t="shared" ref="S97:S103" si="15">(R97-0.5629)/1.2124</f>
        <v>0.90778620917189057</v>
      </c>
      <c r="AQ97" t="s">
        <v>492</v>
      </c>
      <c r="AR97">
        <v>2.5</v>
      </c>
    </row>
    <row r="98" spans="1:59">
      <c r="A98" t="s">
        <v>88</v>
      </c>
      <c r="B98" t="s">
        <v>23</v>
      </c>
      <c r="C98">
        <v>1.5</v>
      </c>
      <c r="D98">
        <v>4.4009999999999998</v>
      </c>
      <c r="E98">
        <v>4.9120999999999997</v>
      </c>
      <c r="F98">
        <v>31.895399999999999</v>
      </c>
      <c r="G98" s="12">
        <f t="shared" si="14"/>
        <v>1.4217476209664919</v>
      </c>
      <c r="H98">
        <v>6.8209999999999997</v>
      </c>
      <c r="I98">
        <v>5.9400000000000001E-2</v>
      </c>
      <c r="J98">
        <v>0.35189999999999999</v>
      </c>
      <c r="N98">
        <v>19.721</v>
      </c>
      <c r="O98">
        <v>5.9499999999999997E-2</v>
      </c>
      <c r="P98">
        <v>0.10780000000000001</v>
      </c>
      <c r="R98">
        <v>2.2867000000000002</v>
      </c>
      <c r="S98">
        <f t="shared" si="15"/>
        <v>1.4218079841636426</v>
      </c>
      <c r="AQ98" t="s">
        <v>493</v>
      </c>
      <c r="AR98">
        <v>5</v>
      </c>
    </row>
    <row r="99" spans="1:59">
      <c r="A99" t="s">
        <v>88</v>
      </c>
      <c r="B99" t="s">
        <v>24</v>
      </c>
      <c r="C99">
        <v>2</v>
      </c>
      <c r="D99">
        <v>4.4080000000000004</v>
      </c>
      <c r="E99">
        <v>6.5960999999999999</v>
      </c>
      <c r="F99">
        <v>42.478999999999999</v>
      </c>
      <c r="G99" s="12">
        <f t="shared" si="14"/>
        <v>1.9437401196491118</v>
      </c>
      <c r="H99">
        <v>6.8250000000000002</v>
      </c>
      <c r="I99">
        <v>4.8800000000000003E-2</v>
      </c>
      <c r="J99">
        <v>0.28860000000000002</v>
      </c>
      <c r="N99">
        <v>19.731000000000002</v>
      </c>
      <c r="O99">
        <v>3.6900000000000002E-2</v>
      </c>
      <c r="P99">
        <v>6.7100000000000007E-2</v>
      </c>
      <c r="R99">
        <v>2.9196</v>
      </c>
      <c r="S99">
        <f t="shared" si="15"/>
        <v>1.9438304190036293</v>
      </c>
      <c r="AQ99" t="s">
        <v>494</v>
      </c>
      <c r="AR99">
        <v>10</v>
      </c>
    </row>
    <row r="100" spans="1:59">
      <c r="A100" t="s">
        <v>88</v>
      </c>
      <c r="B100" t="s">
        <v>25</v>
      </c>
      <c r="C100">
        <v>2.5</v>
      </c>
      <c r="D100">
        <v>4.4139999999999997</v>
      </c>
      <c r="E100">
        <v>8.2218</v>
      </c>
      <c r="F100">
        <v>51.896900000000002</v>
      </c>
      <c r="G100" s="12">
        <f t="shared" si="14"/>
        <v>2.4476612628250827</v>
      </c>
      <c r="H100">
        <v>6.8239999999999998</v>
      </c>
      <c r="I100">
        <v>4.7100000000000003E-2</v>
      </c>
      <c r="J100">
        <v>0.27910000000000001</v>
      </c>
      <c r="N100">
        <v>19.724</v>
      </c>
      <c r="O100">
        <v>4.0399999999999998E-2</v>
      </c>
      <c r="P100">
        <v>7.1499999999999994E-2</v>
      </c>
      <c r="R100">
        <v>3.5306000000000002</v>
      </c>
      <c r="S100">
        <f t="shared" si="15"/>
        <v>2.4477895084130652</v>
      </c>
      <c r="AQ100" t="s">
        <v>400</v>
      </c>
      <c r="AR100">
        <v>0</v>
      </c>
      <c r="AS100">
        <v>6.218</v>
      </c>
      <c r="AT100">
        <v>0.1575</v>
      </c>
      <c r="AU100">
        <v>0.89400000000000002</v>
      </c>
      <c r="AV100">
        <v>8.5009999999999994</v>
      </c>
      <c r="AW100">
        <v>0.22600000000000001</v>
      </c>
      <c r="AX100">
        <v>0.28449999999999998</v>
      </c>
      <c r="AY100">
        <v>9.9009999999999998</v>
      </c>
      <c r="AZ100">
        <v>0.62070000000000003</v>
      </c>
      <c r="BA100">
        <v>2.3298000000000001</v>
      </c>
      <c r="BB100">
        <v>16.190999999999999</v>
      </c>
      <c r="BC100">
        <v>918</v>
      </c>
      <c r="BD100">
        <v>0.191</v>
      </c>
      <c r="BE100">
        <v>21.021000000000001</v>
      </c>
      <c r="BF100">
        <v>6.9199999999999998E-2</v>
      </c>
      <c r="BG100">
        <v>6.7599999999999993E-2</v>
      </c>
    </row>
    <row r="101" spans="1:59">
      <c r="A101" t="s">
        <v>88</v>
      </c>
      <c r="B101" t="s">
        <v>26</v>
      </c>
      <c r="C101">
        <v>3</v>
      </c>
      <c r="D101">
        <v>4.4240000000000004</v>
      </c>
      <c r="E101">
        <v>9.9665999999999997</v>
      </c>
      <c r="F101">
        <v>62.087000000000003</v>
      </c>
      <c r="G101" s="12">
        <f t="shared" si="14"/>
        <v>2.9885000464957687</v>
      </c>
      <c r="H101">
        <v>6.8310000000000004</v>
      </c>
      <c r="I101">
        <v>0.1132</v>
      </c>
      <c r="J101">
        <v>0.31240000000000001</v>
      </c>
      <c r="R101">
        <v>4.1863000000000001</v>
      </c>
      <c r="S101">
        <f t="shared" si="15"/>
        <v>2.9886176179478725</v>
      </c>
      <c r="AQ101" t="s">
        <v>400</v>
      </c>
      <c r="AR101">
        <v>0</v>
      </c>
      <c r="AS101">
        <v>6.1849999999999996</v>
      </c>
      <c r="AT101">
        <v>0.9143</v>
      </c>
      <c r="AU101">
        <v>1.1129</v>
      </c>
      <c r="AV101">
        <v>6.641</v>
      </c>
      <c r="AW101">
        <v>2.7300000000000001E-2</v>
      </c>
      <c r="AX101">
        <v>9.1499999999999998E-2</v>
      </c>
      <c r="AY101">
        <v>9.8650000000000002</v>
      </c>
      <c r="AZ101">
        <v>0.62390000000000001</v>
      </c>
      <c r="BA101">
        <v>2.3245</v>
      </c>
    </row>
    <row r="102" spans="1:59">
      <c r="A102" t="s">
        <v>88</v>
      </c>
      <c r="B102" t="s">
        <v>27</v>
      </c>
      <c r="C102">
        <v>5</v>
      </c>
      <c r="D102">
        <v>4.444</v>
      </c>
      <c r="E102">
        <v>16.4071</v>
      </c>
      <c r="F102">
        <v>93.212599999999995</v>
      </c>
      <c r="G102" s="12">
        <f t="shared" si="14"/>
        <v>4.9848733765227369</v>
      </c>
      <c r="H102">
        <v>6.8280000000000003</v>
      </c>
      <c r="I102">
        <v>0.84799999999999998</v>
      </c>
      <c r="J102">
        <v>1.8640000000000001</v>
      </c>
      <c r="N102">
        <v>19.728000000000002</v>
      </c>
      <c r="O102">
        <v>4.4200000000000003E-2</v>
      </c>
      <c r="P102">
        <v>7.9699999999999993E-2</v>
      </c>
      <c r="R102">
        <v>6.6067999999999998</v>
      </c>
      <c r="S102">
        <f t="shared" si="15"/>
        <v>4.985070933685253</v>
      </c>
    </row>
    <row r="103" spans="1:59" ht="31">
      <c r="A103" t="s">
        <v>88</v>
      </c>
      <c r="B103" t="s">
        <v>83</v>
      </c>
      <c r="C103">
        <v>1.5</v>
      </c>
      <c r="D103">
        <v>4.4039999999999999</v>
      </c>
      <c r="E103">
        <v>6.4875999999999996</v>
      </c>
      <c r="F103">
        <v>41.909300000000002</v>
      </c>
      <c r="G103" s="12">
        <f t="shared" si="14"/>
        <v>1.9101081801556055</v>
      </c>
      <c r="H103">
        <v>6.8140000000000001</v>
      </c>
      <c r="I103">
        <v>5.4399999999999997E-2</v>
      </c>
      <c r="J103">
        <v>0.32940000000000003</v>
      </c>
      <c r="N103">
        <v>19.718</v>
      </c>
      <c r="O103">
        <v>3.5400000000000001E-2</v>
      </c>
      <c r="P103">
        <v>6.6000000000000003E-2</v>
      </c>
      <c r="R103">
        <v>2.8788</v>
      </c>
      <c r="S103">
        <f t="shared" si="15"/>
        <v>1.9101781590234248</v>
      </c>
      <c r="AP103" s="10" t="s">
        <v>10</v>
      </c>
      <c r="AQ103" s="10" t="s">
        <v>15</v>
      </c>
      <c r="AR103" s="10" t="s">
        <v>16</v>
      </c>
      <c r="AS103" s="10" t="s">
        <v>2</v>
      </c>
      <c r="AT103" s="10" t="s">
        <v>18</v>
      </c>
      <c r="AU103" s="10" t="s">
        <v>17</v>
      </c>
      <c r="AV103" s="10" t="s">
        <v>2</v>
      </c>
      <c r="AW103" s="10" t="s">
        <v>18</v>
      </c>
      <c r="AX103" s="10" t="s">
        <v>17</v>
      </c>
      <c r="AY103" s="441" t="s">
        <v>2</v>
      </c>
      <c r="AZ103" s="441" t="s">
        <v>18</v>
      </c>
      <c r="BA103" s="441" t="s">
        <v>17</v>
      </c>
      <c r="BB103" s="10" t="s">
        <v>2</v>
      </c>
      <c r="BC103" s="10" t="s">
        <v>18</v>
      </c>
      <c r="BD103" s="10" t="s">
        <v>17</v>
      </c>
      <c r="BE103" s="10" t="s">
        <v>2</v>
      </c>
      <c r="BF103" s="10" t="s">
        <v>18</v>
      </c>
      <c r="BG103" s="10" t="s">
        <v>17</v>
      </c>
    </row>
    <row r="104" spans="1:59">
      <c r="A104" t="s">
        <v>88</v>
      </c>
      <c r="B104" t="s">
        <v>19</v>
      </c>
      <c r="C104">
        <v>0</v>
      </c>
      <c r="D104">
        <v>6.9039999999999999</v>
      </c>
      <c r="E104">
        <v>6.3571999999999997</v>
      </c>
      <c r="F104">
        <v>35.040100000000002</v>
      </c>
      <c r="G104" s="12">
        <f t="shared" si="14"/>
        <v>1.8696878584048848</v>
      </c>
      <c r="H104">
        <v>12.021000000000001</v>
      </c>
      <c r="I104">
        <v>10.342499999999999</v>
      </c>
      <c r="J104">
        <v>34.482199999999999</v>
      </c>
      <c r="K104">
        <v>19.834</v>
      </c>
      <c r="L104">
        <v>0.34160000000000001</v>
      </c>
      <c r="M104">
        <v>0.61780000000000002</v>
      </c>
      <c r="R104">
        <v>0</v>
      </c>
      <c r="AP104" t="s">
        <v>1591</v>
      </c>
      <c r="AQ104">
        <v>0</v>
      </c>
      <c r="AR104">
        <v>0</v>
      </c>
    </row>
    <row r="105" spans="1:59">
      <c r="A105" t="s">
        <v>88</v>
      </c>
      <c r="B105" t="s">
        <v>20</v>
      </c>
      <c r="C105">
        <v>0</v>
      </c>
      <c r="D105">
        <v>6.851</v>
      </c>
      <c r="E105">
        <v>6.4893999999999998</v>
      </c>
      <c r="F105">
        <v>34.374299999999998</v>
      </c>
      <c r="G105" s="12">
        <f t="shared" si="14"/>
        <v>1.910666129382226</v>
      </c>
      <c r="H105">
        <v>11.938000000000001</v>
      </c>
      <c r="I105">
        <v>10.282500000000001</v>
      </c>
      <c r="J105">
        <v>34.468600000000002</v>
      </c>
      <c r="K105">
        <v>19.731000000000002</v>
      </c>
      <c r="L105">
        <v>0.3226</v>
      </c>
      <c r="M105">
        <v>0.58079999999999998</v>
      </c>
      <c r="R105">
        <v>0</v>
      </c>
      <c r="AQ105" t="s">
        <v>495</v>
      </c>
      <c r="AR105">
        <v>0.1</v>
      </c>
      <c r="AS105">
        <v>6.1379999999999999</v>
      </c>
      <c r="AT105">
        <v>0.76400000000000001</v>
      </c>
      <c r="AU105">
        <v>1.4423999999999999</v>
      </c>
      <c r="AV105">
        <v>8.6839999999999993</v>
      </c>
      <c r="AW105">
        <v>8.2749000000000006</v>
      </c>
      <c r="AX105">
        <v>36.264800000000001</v>
      </c>
      <c r="AY105">
        <v>9.7680000000000007</v>
      </c>
      <c r="AZ105">
        <v>0.82110000000000005</v>
      </c>
      <c r="BA105">
        <v>2.9573</v>
      </c>
      <c r="BB105">
        <v>16.004000000000001</v>
      </c>
      <c r="BC105">
        <v>7.7200000000000005E-2</v>
      </c>
      <c r="BD105">
        <v>0.16450000000000001</v>
      </c>
    </row>
    <row r="106" spans="1:59">
      <c r="A106" t="s">
        <v>88</v>
      </c>
      <c r="B106" t="s">
        <v>84</v>
      </c>
      <c r="C106">
        <v>0</v>
      </c>
      <c r="D106">
        <v>6.8339999999999996</v>
      </c>
      <c r="E106">
        <v>6.4713000000000003</v>
      </c>
      <c r="F106">
        <v>34.762700000000002</v>
      </c>
      <c r="G106" s="12">
        <f t="shared" si="14"/>
        <v>1.9050556399367657</v>
      </c>
      <c r="H106">
        <v>11.928000000000001</v>
      </c>
      <c r="I106">
        <v>10.355399999999999</v>
      </c>
      <c r="J106">
        <v>34.564599999999999</v>
      </c>
      <c r="K106">
        <v>19.713999999999999</v>
      </c>
      <c r="L106">
        <v>0.32269999999999999</v>
      </c>
      <c r="M106">
        <v>0.58169999999999999</v>
      </c>
      <c r="R106">
        <v>0</v>
      </c>
      <c r="AQ106" t="s">
        <v>490</v>
      </c>
      <c r="AR106">
        <v>0.5</v>
      </c>
      <c r="AS106">
        <v>6.1349999999999998</v>
      </c>
      <c r="AT106">
        <v>0.61370000000000002</v>
      </c>
      <c r="AU106">
        <v>3.3087</v>
      </c>
      <c r="AV106">
        <v>8.6980000000000004</v>
      </c>
      <c r="AW106">
        <v>51.3431</v>
      </c>
      <c r="AX106">
        <v>223.40979999999999</v>
      </c>
      <c r="AY106">
        <v>9.7650000000000006</v>
      </c>
      <c r="AZ106">
        <v>1.3270999999999999</v>
      </c>
      <c r="BA106">
        <v>4.6776</v>
      </c>
      <c r="BB106">
        <v>16.004999999999999</v>
      </c>
      <c r="BC106">
        <v>0.37609999999999999</v>
      </c>
      <c r="BD106">
        <v>0.747</v>
      </c>
    </row>
    <row r="107" spans="1:59">
      <c r="AQ107" t="s">
        <v>491</v>
      </c>
      <c r="AR107">
        <v>1</v>
      </c>
      <c r="AS107">
        <v>6.1280000000000001</v>
      </c>
      <c r="AT107">
        <v>0.2747</v>
      </c>
      <c r="AU107">
        <v>1.1956</v>
      </c>
      <c r="AV107">
        <v>6.6280000000000001</v>
      </c>
      <c r="AW107">
        <v>2.6499999999999999E-2</v>
      </c>
      <c r="AX107">
        <v>8.5999999999999993E-2</v>
      </c>
      <c r="AY107">
        <v>8.7149999999999999</v>
      </c>
      <c r="AZ107">
        <v>108.6452</v>
      </c>
      <c r="BA107">
        <v>456.8322</v>
      </c>
      <c r="BB107">
        <v>15.997999999999999</v>
      </c>
      <c r="BC107">
        <v>0.154</v>
      </c>
      <c r="BD107">
        <v>0.3332</v>
      </c>
    </row>
    <row r="108" spans="1:59" ht="31">
      <c r="A108" s="10" t="s">
        <v>10</v>
      </c>
      <c r="B108" s="10" t="s">
        <v>15</v>
      </c>
      <c r="C108" s="10" t="s">
        <v>16</v>
      </c>
      <c r="D108" s="10" t="s">
        <v>2</v>
      </c>
      <c r="E108" s="10" t="s">
        <v>18</v>
      </c>
      <c r="F108" s="10" t="s">
        <v>17</v>
      </c>
      <c r="G108" s="208"/>
      <c r="H108" s="10" t="s">
        <v>2</v>
      </c>
      <c r="I108" s="10" t="s">
        <v>18</v>
      </c>
      <c r="J108" s="10" t="s">
        <v>17</v>
      </c>
      <c r="K108" s="10" t="s">
        <v>2</v>
      </c>
      <c r="L108" s="10" t="s">
        <v>18</v>
      </c>
      <c r="M108" s="10" t="s">
        <v>17</v>
      </c>
      <c r="N108" s="10" t="s">
        <v>2</v>
      </c>
      <c r="O108" s="10" t="s">
        <v>18</v>
      </c>
      <c r="P108" s="10" t="s">
        <v>17</v>
      </c>
      <c r="Q108" s="10" t="s">
        <v>113</v>
      </c>
      <c r="R108" s="215" t="s">
        <v>931</v>
      </c>
      <c r="AQ108" t="s">
        <v>492</v>
      </c>
      <c r="AR108">
        <v>2.5</v>
      </c>
    </row>
    <row r="109" spans="1:59">
      <c r="A109" s="10"/>
      <c r="B109" s="10"/>
      <c r="C109" s="10">
        <v>0</v>
      </c>
      <c r="D109" s="10"/>
      <c r="E109" s="10"/>
      <c r="F109" s="10">
        <v>0</v>
      </c>
      <c r="G109" s="208"/>
      <c r="H109" s="10"/>
      <c r="I109" s="10"/>
      <c r="J109" s="10"/>
      <c r="K109" s="10"/>
      <c r="L109" s="10"/>
      <c r="M109" s="10"/>
      <c r="N109" s="10"/>
      <c r="O109" s="10"/>
      <c r="P109" s="10"/>
      <c r="Q109" s="10"/>
      <c r="AQ109" t="s">
        <v>493</v>
      </c>
      <c r="AR109">
        <v>5</v>
      </c>
    </row>
    <row r="110" spans="1:59">
      <c r="A110" t="s">
        <v>107</v>
      </c>
      <c r="B110" t="s">
        <v>21</v>
      </c>
      <c r="C110">
        <v>0.5</v>
      </c>
      <c r="D110">
        <v>4.3780000000000001</v>
      </c>
      <c r="E110">
        <v>1.5578000000000001</v>
      </c>
      <c r="F110">
        <v>10.1591</v>
      </c>
      <c r="G110" s="12">
        <f>(E110+0.0373)/3.2894</f>
        <v>0.48492126223627408</v>
      </c>
      <c r="H110">
        <v>6.7910000000000004</v>
      </c>
      <c r="I110">
        <v>1.0757000000000001</v>
      </c>
      <c r="J110">
        <v>1.9149</v>
      </c>
      <c r="K110">
        <v>11.864000000000001</v>
      </c>
      <c r="L110">
        <v>0.12089999999999999</v>
      </c>
      <c r="M110">
        <v>0.3821</v>
      </c>
      <c r="N110">
        <v>19.478000000000002</v>
      </c>
      <c r="O110">
        <v>3.6700000000000003E-2</v>
      </c>
      <c r="P110">
        <v>6.8000000000000005E-2</v>
      </c>
      <c r="Q110" t="s">
        <v>888</v>
      </c>
      <c r="R110">
        <v>1.026</v>
      </c>
      <c r="S110">
        <f>(R110-0.2693)/1.2806</f>
        <v>0.59089489301889742</v>
      </c>
      <c r="AQ110" t="s">
        <v>494</v>
      </c>
      <c r="AR110">
        <v>10</v>
      </c>
    </row>
    <row r="111" spans="1:59">
      <c r="A111" t="s">
        <v>107</v>
      </c>
      <c r="B111" t="s">
        <v>22</v>
      </c>
      <c r="C111">
        <v>1</v>
      </c>
      <c r="D111">
        <v>4.3840000000000003</v>
      </c>
      <c r="E111">
        <v>3.2448999999999999</v>
      </c>
      <c r="F111">
        <v>21.3506</v>
      </c>
      <c r="G111" s="12">
        <f t="shared" ref="G111:G120" si="16">(E111+0.0373)/3.2894</f>
        <v>0.99781115096978168</v>
      </c>
      <c r="H111">
        <v>6.7880000000000003</v>
      </c>
      <c r="I111">
        <v>6.25E-2</v>
      </c>
      <c r="J111">
        <v>0.36990000000000001</v>
      </c>
      <c r="N111">
        <v>19.474</v>
      </c>
      <c r="O111">
        <v>7.4399999999999994E-2</v>
      </c>
      <c r="P111">
        <v>0.13600000000000001</v>
      </c>
      <c r="R111">
        <v>1.6600999999999999</v>
      </c>
      <c r="S111">
        <f t="shared" ref="S111:S117" si="17">(R111-0.2693)/1.2806</f>
        <v>1.086053412462908</v>
      </c>
      <c r="AQ111" t="s">
        <v>400</v>
      </c>
      <c r="AR111">
        <v>0</v>
      </c>
      <c r="AS111">
        <v>6.1539999999999999</v>
      </c>
      <c r="AT111">
        <v>0.32440000000000002</v>
      </c>
      <c r="AU111">
        <v>0.95640000000000003</v>
      </c>
      <c r="AY111">
        <v>9.8140000000000001</v>
      </c>
      <c r="AZ111">
        <v>0.65369999999999995</v>
      </c>
      <c r="BA111">
        <v>2.3723000000000001</v>
      </c>
    </row>
    <row r="112" spans="1:59">
      <c r="A112" t="s">
        <v>107</v>
      </c>
      <c r="B112" t="s">
        <v>23</v>
      </c>
      <c r="C112">
        <v>1.5</v>
      </c>
      <c r="D112">
        <v>4.3940000000000001</v>
      </c>
      <c r="E112">
        <v>4.8723000000000001</v>
      </c>
      <c r="F112">
        <v>32.0426</v>
      </c>
      <c r="G112" s="12">
        <f t="shared" si="16"/>
        <v>1.4925518331610628</v>
      </c>
      <c r="H112">
        <v>6.7880000000000003</v>
      </c>
      <c r="I112">
        <v>6.3700000000000007E-2</v>
      </c>
      <c r="J112">
        <v>0.37440000000000001</v>
      </c>
      <c r="N112">
        <v>19.471</v>
      </c>
      <c r="O112">
        <v>6.8099999999999994E-2</v>
      </c>
      <c r="P112">
        <v>0.12280000000000001</v>
      </c>
      <c r="R112">
        <v>2.2717000000000001</v>
      </c>
      <c r="S112">
        <f t="shared" si="17"/>
        <v>1.5636420427924411</v>
      </c>
      <c r="AQ112" t="s">
        <v>400</v>
      </c>
      <c r="AR112">
        <v>0</v>
      </c>
      <c r="AS112">
        <v>6.1379999999999999</v>
      </c>
      <c r="AT112">
        <v>0.93030000000000002</v>
      </c>
      <c r="AU112">
        <v>1.2930999999999999</v>
      </c>
      <c r="AY112">
        <v>9.7710000000000008</v>
      </c>
      <c r="AZ112">
        <v>0.71640000000000004</v>
      </c>
      <c r="BA112">
        <v>2.6215000000000002</v>
      </c>
    </row>
    <row r="113" spans="1:19">
      <c r="A113" t="s">
        <v>107</v>
      </c>
      <c r="B113" t="s">
        <v>24</v>
      </c>
      <c r="C113">
        <v>2</v>
      </c>
      <c r="D113">
        <v>4.4039999999999999</v>
      </c>
      <c r="E113">
        <v>6.5683999999999996</v>
      </c>
      <c r="F113">
        <v>42.697600000000001</v>
      </c>
      <c r="G113" s="12">
        <f t="shared" si="16"/>
        <v>2.0081777831823433</v>
      </c>
      <c r="H113">
        <v>6.7910000000000004</v>
      </c>
      <c r="I113">
        <v>4.8800000000000003E-2</v>
      </c>
      <c r="J113">
        <v>0.28810000000000002</v>
      </c>
      <c r="N113">
        <v>19.481000000000002</v>
      </c>
      <c r="O113">
        <v>3.6600000000000001E-2</v>
      </c>
      <c r="P113">
        <v>6.6400000000000001E-2</v>
      </c>
      <c r="R113">
        <v>2.9091999999999998</v>
      </c>
      <c r="S113">
        <f t="shared" si="17"/>
        <v>2.0614555677026396</v>
      </c>
    </row>
    <row r="114" spans="1:19">
      <c r="A114" t="s">
        <v>107</v>
      </c>
      <c r="B114" t="s">
        <v>25</v>
      </c>
      <c r="C114">
        <v>2.5</v>
      </c>
      <c r="D114">
        <v>4.4109999999999996</v>
      </c>
      <c r="E114">
        <v>8.2034000000000002</v>
      </c>
      <c r="F114">
        <v>52.0045</v>
      </c>
      <c r="G114" s="12">
        <f t="shared" si="16"/>
        <v>2.5052289171277438</v>
      </c>
      <c r="H114">
        <v>6.7939999999999996</v>
      </c>
      <c r="I114">
        <v>4.9399999999999999E-2</v>
      </c>
      <c r="J114">
        <v>0.2903</v>
      </c>
      <c r="N114">
        <v>19.474</v>
      </c>
      <c r="O114">
        <v>4.3700000000000003E-2</v>
      </c>
      <c r="P114">
        <v>7.8100000000000003E-2</v>
      </c>
      <c r="R114">
        <v>3.5236000000000001</v>
      </c>
      <c r="S114">
        <f t="shared" si="17"/>
        <v>2.5412306731219743</v>
      </c>
    </row>
    <row r="115" spans="1:19">
      <c r="A115" t="s">
        <v>107</v>
      </c>
      <c r="B115" t="s">
        <v>26</v>
      </c>
      <c r="C115">
        <v>3</v>
      </c>
      <c r="D115">
        <v>4.4180000000000001</v>
      </c>
      <c r="E115">
        <v>9.9385999999999992</v>
      </c>
      <c r="F115">
        <v>62.165700000000001</v>
      </c>
      <c r="G115" s="12">
        <f t="shared" si="16"/>
        <v>3.032741533410348</v>
      </c>
      <c r="H115">
        <v>6.798</v>
      </c>
      <c r="I115">
        <v>0.11310000000000001</v>
      </c>
      <c r="J115">
        <v>0.3201</v>
      </c>
      <c r="R115">
        <v>4.1757999999999997</v>
      </c>
      <c r="S115">
        <f t="shared" si="17"/>
        <v>3.0505231922536309</v>
      </c>
    </row>
    <row r="116" spans="1:19">
      <c r="A116" t="s">
        <v>107</v>
      </c>
      <c r="B116" t="s">
        <v>27</v>
      </c>
      <c r="C116">
        <v>5</v>
      </c>
      <c r="D116">
        <v>4.4409999999999998</v>
      </c>
      <c r="E116">
        <v>16.383900000000001</v>
      </c>
      <c r="F116">
        <v>92.984999999999999</v>
      </c>
      <c r="G116" s="12">
        <f t="shared" si="16"/>
        <v>4.9921566243083841</v>
      </c>
      <c r="H116">
        <v>6.7949999999999999</v>
      </c>
      <c r="I116">
        <v>0.89610000000000001</v>
      </c>
      <c r="J116">
        <v>2.0981999999999998</v>
      </c>
      <c r="N116">
        <v>19.471</v>
      </c>
      <c r="O116">
        <v>4.8599999999999997E-2</v>
      </c>
      <c r="P116">
        <v>8.8700000000000001E-2</v>
      </c>
      <c r="R116">
        <v>6.5980999999999996</v>
      </c>
      <c r="S116">
        <f t="shared" si="17"/>
        <v>4.9420584101202554</v>
      </c>
    </row>
    <row r="117" spans="1:19">
      <c r="A117" t="s">
        <v>107</v>
      </c>
      <c r="B117" t="s">
        <v>83</v>
      </c>
      <c r="C117">
        <v>5</v>
      </c>
      <c r="D117">
        <v>4.4480000000000004</v>
      </c>
      <c r="E117">
        <v>16.3658</v>
      </c>
      <c r="F117">
        <v>95.402500000000003</v>
      </c>
      <c r="G117" s="12">
        <f t="shared" si="16"/>
        <v>4.9866541010518626</v>
      </c>
      <c r="H117">
        <v>6.8079999999999998</v>
      </c>
      <c r="I117">
        <v>0.83630000000000004</v>
      </c>
      <c r="J117">
        <v>1.9440999999999999</v>
      </c>
      <c r="N117">
        <v>19.521000000000001</v>
      </c>
      <c r="O117">
        <v>4.7600000000000003E-2</v>
      </c>
      <c r="P117">
        <v>8.4500000000000006E-2</v>
      </c>
      <c r="R117">
        <v>6.5913000000000004</v>
      </c>
      <c r="S117">
        <f t="shared" si="17"/>
        <v>4.9367483991878807</v>
      </c>
    </row>
    <row r="118" spans="1:19">
      <c r="A118" t="s">
        <v>107</v>
      </c>
      <c r="B118" t="s">
        <v>19</v>
      </c>
      <c r="C118">
        <v>0</v>
      </c>
      <c r="G118" s="12">
        <f t="shared" si="16"/>
        <v>1.1339454003769685E-2</v>
      </c>
      <c r="H118">
        <v>6.8440000000000003</v>
      </c>
      <c r="I118">
        <v>5.6418999999999997</v>
      </c>
      <c r="J118">
        <v>30.045999999999999</v>
      </c>
      <c r="K118">
        <v>11.881</v>
      </c>
      <c r="L118">
        <v>9.6761999999999997</v>
      </c>
      <c r="M118">
        <v>31.389299999999999</v>
      </c>
      <c r="N118">
        <v>19.544</v>
      </c>
      <c r="O118">
        <v>0.31830000000000003</v>
      </c>
      <c r="P118">
        <v>0.5796</v>
      </c>
      <c r="R118">
        <v>0</v>
      </c>
    </row>
    <row r="119" spans="1:19">
      <c r="A119" t="s">
        <v>107</v>
      </c>
      <c r="B119" t="s">
        <v>20</v>
      </c>
      <c r="C119">
        <v>0</v>
      </c>
      <c r="G119" s="12">
        <f t="shared" si="16"/>
        <v>1.1339454003769685E-2</v>
      </c>
      <c r="H119">
        <v>6.8140000000000001</v>
      </c>
      <c r="I119">
        <v>5.5827999999999998</v>
      </c>
      <c r="J119">
        <v>29.654800000000002</v>
      </c>
      <c r="K119">
        <v>11.837999999999999</v>
      </c>
      <c r="L119">
        <v>9.3147000000000002</v>
      </c>
      <c r="M119">
        <v>31.069099999999999</v>
      </c>
      <c r="N119">
        <v>19.488</v>
      </c>
      <c r="O119">
        <v>0.32319999999999999</v>
      </c>
      <c r="P119">
        <v>0.58330000000000004</v>
      </c>
      <c r="R119">
        <v>0</v>
      </c>
    </row>
    <row r="120" spans="1:19">
      <c r="A120" t="s">
        <v>107</v>
      </c>
      <c r="B120" t="s">
        <v>84</v>
      </c>
      <c r="C120">
        <v>0</v>
      </c>
      <c r="D120">
        <v>4.3810000000000002</v>
      </c>
      <c r="E120">
        <v>4.7399999999999998E-2</v>
      </c>
      <c r="F120">
        <v>0.2099</v>
      </c>
      <c r="G120" s="12">
        <f t="shared" si="16"/>
        <v>2.5749376786040005E-2</v>
      </c>
      <c r="H120">
        <v>6.8239999999999998</v>
      </c>
      <c r="I120">
        <v>6.1280000000000001</v>
      </c>
      <c r="J120">
        <v>30.832100000000001</v>
      </c>
      <c r="K120">
        <v>11.868</v>
      </c>
      <c r="L120">
        <v>9.5495999999999999</v>
      </c>
      <c r="M120">
        <v>31.6509</v>
      </c>
      <c r="N120">
        <v>19.524000000000001</v>
      </c>
      <c r="O120">
        <v>0.34989999999999999</v>
      </c>
      <c r="P120">
        <v>0.63039999999999996</v>
      </c>
      <c r="R120">
        <v>0.45839999999999997</v>
      </c>
    </row>
    <row r="122" spans="1:19" ht="31">
      <c r="A122" s="10" t="s">
        <v>10</v>
      </c>
      <c r="B122" s="10" t="s">
        <v>15</v>
      </c>
      <c r="C122" s="10" t="s">
        <v>16</v>
      </c>
      <c r="D122" s="10" t="s">
        <v>2</v>
      </c>
      <c r="E122" s="10" t="s">
        <v>18</v>
      </c>
      <c r="F122" s="10" t="s">
        <v>17</v>
      </c>
      <c r="G122" s="208"/>
      <c r="H122" s="10" t="s">
        <v>2</v>
      </c>
      <c r="I122" s="10" t="s">
        <v>18</v>
      </c>
      <c r="J122" s="10" t="s">
        <v>17</v>
      </c>
      <c r="K122" s="10" t="s">
        <v>2</v>
      </c>
      <c r="L122" s="10" t="s">
        <v>18</v>
      </c>
      <c r="M122" s="10" t="s">
        <v>17</v>
      </c>
      <c r="N122" s="10" t="s">
        <v>2</v>
      </c>
      <c r="O122" s="10" t="s">
        <v>18</v>
      </c>
      <c r="P122" s="10" t="s">
        <v>17</v>
      </c>
      <c r="Q122" s="10" t="s">
        <v>114</v>
      </c>
      <c r="R122" s="215" t="s">
        <v>932</v>
      </c>
    </row>
    <row r="123" spans="1:19">
      <c r="A123" s="10"/>
      <c r="B123" s="10"/>
      <c r="C123" s="10">
        <v>0</v>
      </c>
      <c r="D123" s="10"/>
      <c r="E123" s="10"/>
      <c r="F123" s="10">
        <v>0</v>
      </c>
      <c r="G123" s="208"/>
      <c r="H123" s="10"/>
      <c r="I123" s="10"/>
      <c r="J123" s="10"/>
      <c r="K123" s="10"/>
      <c r="L123" s="10"/>
      <c r="M123" s="10"/>
      <c r="N123" s="10"/>
      <c r="O123" s="10"/>
      <c r="P123" s="10"/>
      <c r="Q123" s="10"/>
    </row>
    <row r="124" spans="1:19">
      <c r="A124" t="s">
        <v>108</v>
      </c>
      <c r="B124" t="s">
        <v>21</v>
      </c>
      <c r="C124">
        <v>0.5</v>
      </c>
      <c r="D124">
        <v>4.3609999999999998</v>
      </c>
      <c r="E124">
        <v>1.6426000000000001</v>
      </c>
      <c r="F124">
        <v>10.552300000000001</v>
      </c>
      <c r="G124" s="12">
        <f>(E124+0.006)/3.3476</f>
        <v>0.49247221890309478</v>
      </c>
      <c r="H124">
        <v>6.7469999999999999</v>
      </c>
      <c r="I124">
        <v>0.32729999999999998</v>
      </c>
      <c r="J124">
        <v>1.5934999999999999</v>
      </c>
      <c r="K124">
        <v>11.763999999999999</v>
      </c>
      <c r="L124">
        <v>4.6199999999999998E-2</v>
      </c>
      <c r="M124">
        <v>0.14990000000000001</v>
      </c>
      <c r="N124">
        <v>19.111000000000001</v>
      </c>
      <c r="O124">
        <v>3.6700000000000003E-2</v>
      </c>
      <c r="P124">
        <v>6.7599999999999993E-2</v>
      </c>
    </row>
    <row r="125" spans="1:19">
      <c r="A125" t="s">
        <v>108</v>
      </c>
      <c r="B125" t="s">
        <v>22</v>
      </c>
      <c r="C125">
        <v>1</v>
      </c>
      <c r="D125">
        <v>4.3710000000000004</v>
      </c>
      <c r="E125">
        <v>3.3161</v>
      </c>
      <c r="F125">
        <v>22.162099999999999</v>
      </c>
      <c r="G125" s="12">
        <f t="shared" ref="G125:G135" si="18">(E125+0.006)/3.3476</f>
        <v>0.99238260246146492</v>
      </c>
      <c r="H125">
        <v>6.7450000000000001</v>
      </c>
      <c r="I125">
        <v>6.3799999999999996E-2</v>
      </c>
      <c r="J125">
        <v>0.38929999999999998</v>
      </c>
      <c r="N125">
        <v>19.111000000000001</v>
      </c>
      <c r="O125">
        <v>7.3599999999999999E-2</v>
      </c>
      <c r="P125">
        <v>0.1389</v>
      </c>
      <c r="Q125" t="s">
        <v>889</v>
      </c>
      <c r="R125">
        <v>1.0579000000000001</v>
      </c>
      <c r="S125">
        <f>(R125-0.1712)/1.3987</f>
        <v>0.63394580682061918</v>
      </c>
    </row>
    <row r="126" spans="1:19">
      <c r="A126" t="s">
        <v>108</v>
      </c>
      <c r="B126" t="s">
        <v>23</v>
      </c>
      <c r="C126">
        <v>1.5</v>
      </c>
      <c r="D126">
        <v>4.3810000000000002</v>
      </c>
      <c r="E126">
        <v>5.0258000000000003</v>
      </c>
      <c r="F126">
        <v>33.596800000000002</v>
      </c>
      <c r="G126" s="12">
        <f t="shared" si="18"/>
        <v>1.5031067033098342</v>
      </c>
      <c r="H126">
        <v>6.7439999999999998</v>
      </c>
      <c r="I126">
        <v>6.6500000000000004E-2</v>
      </c>
      <c r="J126">
        <v>0.40479999999999999</v>
      </c>
      <c r="N126">
        <v>19.120999999999999</v>
      </c>
      <c r="O126">
        <v>8.0199999999999994E-2</v>
      </c>
      <c r="P126">
        <v>0.15129999999999999</v>
      </c>
      <c r="R126">
        <v>1.6869000000000001</v>
      </c>
      <c r="S126">
        <f t="shared" ref="S126:S138" si="19">(R126-0.1712)/1.3987</f>
        <v>1.0836491027382569</v>
      </c>
    </row>
    <row r="127" spans="1:19">
      <c r="A127" t="s">
        <v>108</v>
      </c>
      <c r="B127" t="s">
        <v>24</v>
      </c>
      <c r="C127">
        <v>2</v>
      </c>
      <c r="D127">
        <v>4.3879999999999999</v>
      </c>
      <c r="E127">
        <v>6.6891999999999996</v>
      </c>
      <c r="F127">
        <v>44.479799999999997</v>
      </c>
      <c r="G127" s="12">
        <f t="shared" si="18"/>
        <v>2</v>
      </c>
      <c r="H127">
        <v>6.7480000000000002</v>
      </c>
      <c r="I127">
        <v>4.1200000000000001E-2</v>
      </c>
      <c r="J127">
        <v>0.29289999999999999</v>
      </c>
      <c r="N127">
        <v>19.100999999999999</v>
      </c>
      <c r="O127">
        <v>4.7E-2</v>
      </c>
      <c r="P127">
        <v>8.6999999999999994E-2</v>
      </c>
      <c r="R127">
        <v>2.3294000000000001</v>
      </c>
      <c r="S127">
        <f t="shared" si="19"/>
        <v>1.5430042182026169</v>
      </c>
    </row>
    <row r="128" spans="1:19">
      <c r="A128" t="s">
        <v>108</v>
      </c>
      <c r="B128" t="s">
        <v>25</v>
      </c>
      <c r="C128">
        <v>2.5</v>
      </c>
      <c r="D128">
        <v>4.3949999999999996</v>
      </c>
      <c r="E128">
        <v>8.4304000000000006</v>
      </c>
      <c r="F128">
        <v>54.349200000000003</v>
      </c>
      <c r="G128" s="12">
        <f t="shared" si="18"/>
        <v>2.5201338272195009</v>
      </c>
      <c r="H128">
        <v>6.7450000000000001</v>
      </c>
      <c r="I128">
        <v>5.2600000000000001E-2</v>
      </c>
      <c r="J128">
        <v>0.32119999999999999</v>
      </c>
      <c r="N128">
        <v>19.114999999999998</v>
      </c>
      <c r="O128">
        <v>4.9700000000000001E-2</v>
      </c>
      <c r="P128">
        <v>9.4799999999999995E-2</v>
      </c>
      <c r="R128">
        <v>2.9546000000000001</v>
      </c>
      <c r="S128">
        <f t="shared" si="19"/>
        <v>1.9899907056552515</v>
      </c>
    </row>
    <row r="129" spans="1:24">
      <c r="A129" t="s">
        <v>108</v>
      </c>
      <c r="B129" t="s">
        <v>26</v>
      </c>
      <c r="C129">
        <v>3</v>
      </c>
      <c r="D129">
        <v>4.4009999999999998</v>
      </c>
      <c r="E129">
        <v>10.170299999999999</v>
      </c>
      <c r="F129">
        <v>64.785300000000007</v>
      </c>
      <c r="G129" s="12">
        <f t="shared" si="18"/>
        <v>3.0398793165252718</v>
      </c>
      <c r="H129">
        <v>6.7480000000000002</v>
      </c>
      <c r="I129">
        <v>4.5999999999999999E-2</v>
      </c>
      <c r="J129">
        <v>0.27960000000000002</v>
      </c>
      <c r="N129">
        <v>19.097999999999999</v>
      </c>
      <c r="O129">
        <v>3.1699999999999999E-2</v>
      </c>
      <c r="P129">
        <v>5.8799999999999998E-2</v>
      </c>
      <c r="R129">
        <v>3.609</v>
      </c>
      <c r="S129">
        <f t="shared" si="19"/>
        <v>2.4578537213126475</v>
      </c>
    </row>
    <row r="130" spans="1:24">
      <c r="A130" t="s">
        <v>108</v>
      </c>
      <c r="B130" t="s">
        <v>27</v>
      </c>
      <c r="C130">
        <v>5</v>
      </c>
      <c r="D130">
        <v>4.4240000000000004</v>
      </c>
      <c r="E130">
        <v>16.628</v>
      </c>
      <c r="F130">
        <v>96.683700000000002</v>
      </c>
      <c r="G130" s="12">
        <f t="shared" si="18"/>
        <v>4.9689329669016615</v>
      </c>
      <c r="H130">
        <v>6.7510000000000003</v>
      </c>
      <c r="I130">
        <v>0.88759999999999994</v>
      </c>
      <c r="J130">
        <v>2.0859000000000001</v>
      </c>
      <c r="N130">
        <v>19.131</v>
      </c>
      <c r="O130">
        <v>6.0100000000000001E-2</v>
      </c>
      <c r="P130">
        <v>0.1109</v>
      </c>
      <c r="R130">
        <v>4.2629000000000001</v>
      </c>
      <c r="S130">
        <f t="shared" si="19"/>
        <v>2.9253592621720168</v>
      </c>
    </row>
    <row r="131" spans="1:24">
      <c r="A131" t="s">
        <v>108</v>
      </c>
      <c r="B131" t="s">
        <v>83</v>
      </c>
      <c r="C131">
        <v>0.5</v>
      </c>
      <c r="D131">
        <v>4.3579999999999997</v>
      </c>
      <c r="E131">
        <v>1.6105</v>
      </c>
      <c r="F131">
        <v>10.194699999999999</v>
      </c>
      <c r="G131" s="12">
        <f t="shared" si="18"/>
        <v>0.4828832596487036</v>
      </c>
      <c r="H131">
        <v>6.7450000000000001</v>
      </c>
      <c r="I131">
        <v>0.26900000000000002</v>
      </c>
      <c r="J131">
        <v>1.5739000000000001</v>
      </c>
      <c r="K131">
        <v>11.757999999999999</v>
      </c>
      <c r="L131">
        <v>4.7600000000000003E-2</v>
      </c>
      <c r="M131">
        <v>0.15210000000000001</v>
      </c>
      <c r="N131">
        <v>19.094999999999999</v>
      </c>
      <c r="O131">
        <v>3.61E-2</v>
      </c>
      <c r="P131">
        <v>6.5699999999999995E-2</v>
      </c>
      <c r="R131">
        <v>6.6898</v>
      </c>
      <c r="S131">
        <f t="shared" si="19"/>
        <v>4.6604704368342027</v>
      </c>
    </row>
    <row r="132" spans="1:24">
      <c r="A132" t="s">
        <v>108</v>
      </c>
      <c r="B132" t="s">
        <v>19</v>
      </c>
      <c r="C132">
        <v>0</v>
      </c>
      <c r="G132" s="12">
        <f t="shared" si="18"/>
        <v>1.7923288325964871E-3</v>
      </c>
      <c r="H132">
        <v>6.798</v>
      </c>
      <c r="I132">
        <v>4.4568000000000003</v>
      </c>
      <c r="J132">
        <v>22.8523</v>
      </c>
      <c r="K132">
        <v>11.804</v>
      </c>
      <c r="L132">
        <v>7.1841999999999997</v>
      </c>
      <c r="M132">
        <v>24.3813</v>
      </c>
      <c r="N132">
        <v>19.210999999999999</v>
      </c>
      <c r="O132">
        <v>0.30209999999999998</v>
      </c>
      <c r="P132">
        <v>0.53439999999999999</v>
      </c>
      <c r="R132">
        <v>0</v>
      </c>
      <c r="S132">
        <f t="shared" si="19"/>
        <v>-0.12239937084435547</v>
      </c>
    </row>
    <row r="133" spans="1:24">
      <c r="A133" t="s">
        <v>108</v>
      </c>
      <c r="B133" t="s">
        <v>20</v>
      </c>
      <c r="C133">
        <v>0</v>
      </c>
      <c r="G133" s="12">
        <f t="shared" si="18"/>
        <v>1.7923288325964871E-3</v>
      </c>
      <c r="H133">
        <v>6.774</v>
      </c>
      <c r="I133">
        <v>4.3090000000000002</v>
      </c>
      <c r="J133">
        <v>22.961400000000001</v>
      </c>
      <c r="K133">
        <v>11.750999999999999</v>
      </c>
      <c r="L133">
        <v>7.1395</v>
      </c>
      <c r="M133">
        <v>24.372299999999999</v>
      </c>
      <c r="N133">
        <v>19.128</v>
      </c>
      <c r="O133">
        <v>0.25690000000000002</v>
      </c>
      <c r="P133">
        <v>0.47920000000000001</v>
      </c>
      <c r="R133">
        <v>0</v>
      </c>
      <c r="S133">
        <f t="shared" si="19"/>
        <v>-0.12239937084435547</v>
      </c>
    </row>
    <row r="134" spans="1:24">
      <c r="A134" t="s">
        <v>108</v>
      </c>
      <c r="B134" t="s">
        <v>84</v>
      </c>
      <c r="C134">
        <v>0</v>
      </c>
      <c r="G134" s="12">
        <f t="shared" si="18"/>
        <v>1.7923288325964871E-3</v>
      </c>
      <c r="H134">
        <v>6.7510000000000003</v>
      </c>
      <c r="I134">
        <v>4.4494999999999996</v>
      </c>
      <c r="J134">
        <v>23.5869</v>
      </c>
      <c r="K134">
        <v>11.731</v>
      </c>
      <c r="L134">
        <v>7.1402000000000001</v>
      </c>
      <c r="M134">
        <v>24.1374</v>
      </c>
      <c r="N134">
        <v>19.097999999999999</v>
      </c>
      <c r="O134">
        <v>0.2477</v>
      </c>
      <c r="P134">
        <v>0.46300000000000002</v>
      </c>
      <c r="R134">
        <v>0</v>
      </c>
      <c r="S134">
        <f t="shared" si="19"/>
        <v>-0.12239937084435547</v>
      </c>
    </row>
    <row r="135" spans="1:24">
      <c r="A135" t="s">
        <v>108</v>
      </c>
      <c r="B135" t="s">
        <v>109</v>
      </c>
      <c r="G135" s="12">
        <f t="shared" si="18"/>
        <v>1.7923288325964871E-3</v>
      </c>
      <c r="K135">
        <v>11.725</v>
      </c>
      <c r="L135">
        <v>7.1543000000000001</v>
      </c>
      <c r="M135">
        <v>24.125</v>
      </c>
      <c r="N135">
        <v>19.088000000000001</v>
      </c>
      <c r="O135">
        <v>0.25190000000000001</v>
      </c>
      <c r="P135">
        <v>0.47089999999999999</v>
      </c>
      <c r="R135">
        <v>0</v>
      </c>
      <c r="S135">
        <f t="shared" si="19"/>
        <v>-0.12239937084435547</v>
      </c>
    </row>
    <row r="136" spans="1:24">
      <c r="A136" t="s">
        <v>108</v>
      </c>
      <c r="B136" t="s">
        <v>110</v>
      </c>
      <c r="C136">
        <v>1.5</v>
      </c>
      <c r="D136">
        <v>4.3739999999999997</v>
      </c>
      <c r="E136">
        <v>4.7271999999999998</v>
      </c>
      <c r="F136">
        <v>34.192500000000003</v>
      </c>
      <c r="N136">
        <v>19.088000000000001</v>
      </c>
      <c r="O136">
        <v>3.5299999999999998E-2</v>
      </c>
      <c r="P136">
        <v>6.5100000000000005E-2</v>
      </c>
      <c r="R136">
        <v>2.2172000000000001</v>
      </c>
      <c r="S136">
        <f t="shared" si="19"/>
        <v>1.4627868735254166</v>
      </c>
    </row>
    <row r="137" spans="1:24">
      <c r="A137" t="s">
        <v>108</v>
      </c>
      <c r="B137" t="s">
        <v>111</v>
      </c>
      <c r="C137">
        <v>2.5</v>
      </c>
      <c r="D137">
        <v>4.391</v>
      </c>
      <c r="E137">
        <v>8.0109999999999992</v>
      </c>
      <c r="F137">
        <v>55.716999999999999</v>
      </c>
      <c r="N137">
        <v>19.088000000000001</v>
      </c>
      <c r="O137">
        <v>4.3499999999999997E-2</v>
      </c>
      <c r="P137">
        <v>8.1900000000000001E-2</v>
      </c>
      <c r="R137">
        <v>3.4512999999999998</v>
      </c>
      <c r="S137">
        <f t="shared" si="19"/>
        <v>2.345106170015014</v>
      </c>
    </row>
    <row r="138" spans="1:24">
      <c r="A138" t="s">
        <v>108</v>
      </c>
      <c r="B138" t="s">
        <v>112</v>
      </c>
      <c r="C138">
        <v>3</v>
      </c>
      <c r="D138">
        <v>4.3970000000000002</v>
      </c>
      <c r="E138">
        <v>9.8884000000000007</v>
      </c>
      <c r="F138">
        <v>66.822699999999998</v>
      </c>
      <c r="N138">
        <v>19.103999999999999</v>
      </c>
      <c r="O138">
        <v>3.78E-2</v>
      </c>
      <c r="P138">
        <v>6.9000000000000006E-2</v>
      </c>
      <c r="R138">
        <v>4.1569000000000003</v>
      </c>
      <c r="S138">
        <f t="shared" si="19"/>
        <v>2.8495746049903485</v>
      </c>
    </row>
    <row r="140" spans="1:24" ht="31">
      <c r="A140" s="10" t="s">
        <v>10</v>
      </c>
      <c r="B140" s="10" t="s">
        <v>15</v>
      </c>
      <c r="C140" s="10" t="s">
        <v>16</v>
      </c>
      <c r="D140" s="10" t="s">
        <v>2</v>
      </c>
      <c r="E140" s="10" t="s">
        <v>18</v>
      </c>
      <c r="F140" s="10" t="s">
        <v>17</v>
      </c>
      <c r="G140" s="208"/>
      <c r="H140" s="10" t="s">
        <v>2</v>
      </c>
      <c r="I140" s="10" t="s">
        <v>18</v>
      </c>
      <c r="J140" s="10" t="s">
        <v>17</v>
      </c>
      <c r="K140" s="10" t="s">
        <v>2</v>
      </c>
      <c r="L140" s="10" t="s">
        <v>18</v>
      </c>
      <c r="M140" s="10" t="s">
        <v>17</v>
      </c>
      <c r="N140" s="10" t="s">
        <v>2</v>
      </c>
      <c r="O140" s="10" t="s">
        <v>18</v>
      </c>
      <c r="P140" s="10" t="s">
        <v>17</v>
      </c>
      <c r="Q140" s="10" t="s">
        <v>2</v>
      </c>
      <c r="R140" s="10" t="s">
        <v>18</v>
      </c>
      <c r="S140" s="10" t="s">
        <v>17</v>
      </c>
      <c r="T140" s="10" t="s">
        <v>2</v>
      </c>
      <c r="U140" s="10" t="s">
        <v>18</v>
      </c>
      <c r="V140" s="10" t="s">
        <v>17</v>
      </c>
      <c r="W140" s="215" t="s">
        <v>933</v>
      </c>
    </row>
    <row r="141" spans="1:24">
      <c r="A141" s="10"/>
      <c r="B141" s="10"/>
      <c r="C141" s="10">
        <v>0</v>
      </c>
      <c r="D141" s="10"/>
      <c r="E141" s="10"/>
      <c r="F141" s="10">
        <v>0</v>
      </c>
      <c r="G141" s="208"/>
      <c r="H141" s="10"/>
      <c r="I141" s="10"/>
      <c r="J141" s="10"/>
      <c r="K141" s="10"/>
      <c r="L141" s="10"/>
      <c r="M141" s="10"/>
      <c r="N141" s="10"/>
      <c r="O141" s="10"/>
      <c r="P141" s="10"/>
      <c r="Q141" s="10"/>
      <c r="R141" s="10"/>
      <c r="S141" s="10"/>
      <c r="T141" s="10"/>
      <c r="U141" s="10"/>
      <c r="V141" s="10"/>
    </row>
    <row r="142" spans="1:24">
      <c r="A142" t="s">
        <v>189</v>
      </c>
      <c r="B142" t="s">
        <v>21</v>
      </c>
      <c r="C142">
        <v>0.5</v>
      </c>
      <c r="D142">
        <v>4.3780000000000001</v>
      </c>
      <c r="E142">
        <v>1.4991000000000001</v>
      </c>
      <c r="F142">
        <v>9.9013000000000009</v>
      </c>
      <c r="G142" s="12">
        <f>(E142+0.0847)/3.2319</f>
        <v>0.49005229122188187</v>
      </c>
      <c r="H142">
        <v>6.7679999999999998</v>
      </c>
      <c r="I142">
        <v>0.80379999999999996</v>
      </c>
      <c r="J142">
        <v>1.55</v>
      </c>
      <c r="N142">
        <v>19.355</v>
      </c>
      <c r="O142">
        <v>3.3399999999999999E-2</v>
      </c>
      <c r="P142">
        <v>6.1699999999999998E-2</v>
      </c>
      <c r="W142">
        <v>1.004</v>
      </c>
      <c r="X142">
        <f>(W142-0.1823)/1.2913</f>
        <v>0.63633547587702322</v>
      </c>
    </row>
    <row r="143" spans="1:24">
      <c r="A143" t="s">
        <v>189</v>
      </c>
      <c r="B143" t="s">
        <v>22</v>
      </c>
      <c r="C143">
        <v>1</v>
      </c>
      <c r="D143">
        <v>4.3879999999999999</v>
      </c>
      <c r="E143">
        <v>3.1472000000000002</v>
      </c>
      <c r="F143">
        <v>20.935300000000002</v>
      </c>
      <c r="G143" s="12">
        <f t="shared" ref="G143:G152" si="20">(E143+0.0847)/3.2319</f>
        <v>1.0000000000000002</v>
      </c>
      <c r="H143">
        <v>6.7649999999999997</v>
      </c>
      <c r="I143">
        <v>5.74E-2</v>
      </c>
      <c r="J143">
        <v>0.35089999999999999</v>
      </c>
      <c r="N143">
        <v>19.350999999999999</v>
      </c>
      <c r="O143">
        <v>7.0900000000000005E-2</v>
      </c>
      <c r="P143">
        <v>0.1303</v>
      </c>
      <c r="W143">
        <v>1.6234</v>
      </c>
      <c r="X143">
        <f t="shared" ref="X143:X152" si="21">(W143-0.1823)/1.2913</f>
        <v>1.1160071246031134</v>
      </c>
    </row>
    <row r="144" spans="1:24">
      <c r="A144" t="s">
        <v>189</v>
      </c>
      <c r="B144" t="s">
        <v>23</v>
      </c>
      <c r="C144">
        <v>1.5</v>
      </c>
      <c r="D144">
        <v>4.3949999999999996</v>
      </c>
      <c r="E144">
        <v>4.7533000000000003</v>
      </c>
      <c r="F144">
        <v>31.7041</v>
      </c>
      <c r="G144" s="12">
        <f t="shared" si="20"/>
        <v>1.4969522571861753</v>
      </c>
      <c r="H144">
        <v>6.7679999999999998</v>
      </c>
      <c r="I144">
        <v>6.2300000000000001E-2</v>
      </c>
      <c r="J144">
        <v>0.3775</v>
      </c>
      <c r="N144">
        <v>19.358000000000001</v>
      </c>
      <c r="O144">
        <v>7.2599999999999998E-2</v>
      </c>
      <c r="P144">
        <v>0.1343</v>
      </c>
      <c r="R144" t="s">
        <v>190</v>
      </c>
      <c r="W144">
        <v>2.2269999999999999</v>
      </c>
      <c r="X144">
        <f t="shared" si="21"/>
        <v>1.5834430418957639</v>
      </c>
    </row>
    <row r="145" spans="1:24">
      <c r="A145" t="s">
        <v>189</v>
      </c>
      <c r="B145" t="s">
        <v>24</v>
      </c>
      <c r="C145">
        <v>2</v>
      </c>
      <c r="D145">
        <v>4.4039999999999999</v>
      </c>
      <c r="E145">
        <v>6.4043000000000001</v>
      </c>
      <c r="F145">
        <v>42.191499999999998</v>
      </c>
      <c r="G145" s="12">
        <f t="shared" si="20"/>
        <v>2.0077972709551655</v>
      </c>
      <c r="H145">
        <v>6.7679999999999998</v>
      </c>
      <c r="I145">
        <v>4.7899999999999998E-2</v>
      </c>
      <c r="J145">
        <v>0.29199999999999998</v>
      </c>
      <c r="N145">
        <v>19.358000000000001</v>
      </c>
      <c r="O145">
        <v>0.255</v>
      </c>
      <c r="P145">
        <v>0.47299999999999998</v>
      </c>
      <c r="W145">
        <v>2.8475000000000001</v>
      </c>
      <c r="X145">
        <f t="shared" si="21"/>
        <v>2.0639665453419038</v>
      </c>
    </row>
    <row r="146" spans="1:24">
      <c r="A146" t="s">
        <v>189</v>
      </c>
      <c r="B146" t="s">
        <v>25</v>
      </c>
      <c r="C146">
        <v>2.5</v>
      </c>
      <c r="D146">
        <v>4.4109999999999996</v>
      </c>
      <c r="E146">
        <v>7.9714999999999998</v>
      </c>
      <c r="F146">
        <v>51.408700000000003</v>
      </c>
      <c r="G146" s="12">
        <f t="shared" si="20"/>
        <v>2.4927132646430894</v>
      </c>
      <c r="H146">
        <v>6.7709999999999999</v>
      </c>
      <c r="I146">
        <v>4.8000000000000001E-2</v>
      </c>
      <c r="J146">
        <v>0.29110000000000003</v>
      </c>
      <c r="N146">
        <v>19.361000000000001</v>
      </c>
      <c r="O146">
        <v>0.1065</v>
      </c>
      <c r="P146">
        <v>0.19900000000000001</v>
      </c>
      <c r="W146">
        <v>3.4365000000000001</v>
      </c>
      <c r="X146">
        <f t="shared" si="21"/>
        <v>2.5200960272593513</v>
      </c>
    </row>
    <row r="147" spans="1:24">
      <c r="A147" t="s">
        <v>189</v>
      </c>
      <c r="B147" t="s">
        <v>26</v>
      </c>
      <c r="C147">
        <v>3</v>
      </c>
      <c r="D147">
        <v>4.4180000000000001</v>
      </c>
      <c r="E147">
        <v>9.7218999999999998</v>
      </c>
      <c r="F147">
        <v>61.845700000000001</v>
      </c>
      <c r="G147" s="12">
        <f t="shared" si="20"/>
        <v>3.0343141805130109</v>
      </c>
      <c r="H147">
        <v>6.7709999999999999</v>
      </c>
      <c r="I147">
        <v>0.13239999999999999</v>
      </c>
      <c r="J147">
        <v>0.44290000000000002</v>
      </c>
      <c r="R147" t="s">
        <v>890</v>
      </c>
      <c r="W147">
        <v>4.0942999999999996</v>
      </c>
      <c r="X147">
        <f t="shared" si="21"/>
        <v>3.0295051498489891</v>
      </c>
    </row>
    <row r="148" spans="1:24">
      <c r="A148" t="s">
        <v>189</v>
      </c>
      <c r="B148" t="s">
        <v>27</v>
      </c>
      <c r="C148">
        <v>5</v>
      </c>
      <c r="D148">
        <v>4.4409999999999998</v>
      </c>
      <c r="E148">
        <v>16.019100000000002</v>
      </c>
      <c r="F148">
        <v>92.608699999999999</v>
      </c>
      <c r="G148" s="12">
        <f t="shared" si="20"/>
        <v>4.9827655558649724</v>
      </c>
      <c r="H148">
        <v>6.7709999999999999</v>
      </c>
      <c r="I148">
        <v>0.80359999999999998</v>
      </c>
      <c r="J148">
        <v>1.8363</v>
      </c>
      <c r="N148">
        <v>19.355</v>
      </c>
      <c r="O148">
        <v>5.1499999999999997E-2</v>
      </c>
      <c r="P148">
        <v>9.6199999999999994E-2</v>
      </c>
      <c r="W148">
        <v>6.4610000000000003</v>
      </c>
      <c r="X148">
        <f t="shared" si="21"/>
        <v>4.8623093007047169</v>
      </c>
    </row>
    <row r="149" spans="1:24">
      <c r="A149" t="s">
        <v>189</v>
      </c>
      <c r="B149" t="s">
        <v>83</v>
      </c>
      <c r="C149">
        <v>1</v>
      </c>
      <c r="D149">
        <v>4.3840000000000003</v>
      </c>
      <c r="E149">
        <v>3.1322000000000001</v>
      </c>
      <c r="F149">
        <v>20.417200000000001</v>
      </c>
      <c r="G149" s="12">
        <f t="shared" si="20"/>
        <v>0.99535876728859185</v>
      </c>
      <c r="H149">
        <v>6.758</v>
      </c>
      <c r="I149">
        <v>6.4000000000000001E-2</v>
      </c>
      <c r="J149">
        <v>0.39029999999999998</v>
      </c>
      <c r="N149">
        <v>19.344000000000001</v>
      </c>
      <c r="O149">
        <v>0.14549999999999999</v>
      </c>
      <c r="P149">
        <v>0.27089999999999997</v>
      </c>
      <c r="W149">
        <v>1.6176999999999999</v>
      </c>
      <c r="X149">
        <f t="shared" si="21"/>
        <v>1.1115929683264927</v>
      </c>
    </row>
    <row r="150" spans="1:24">
      <c r="A150" t="s">
        <v>189</v>
      </c>
      <c r="B150" t="s">
        <v>19</v>
      </c>
      <c r="C150">
        <v>0</v>
      </c>
      <c r="G150" s="12">
        <f t="shared" si="20"/>
        <v>2.6207494043751355E-2</v>
      </c>
      <c r="H150">
        <v>6.8449999999999998</v>
      </c>
      <c r="I150">
        <v>1.9603999999999999</v>
      </c>
      <c r="J150">
        <v>7.7667000000000002</v>
      </c>
      <c r="K150">
        <v>11.837999999999999</v>
      </c>
      <c r="L150">
        <v>2.5722</v>
      </c>
      <c r="M150">
        <v>6.7013999999999996</v>
      </c>
      <c r="N150">
        <v>13.361000000000001</v>
      </c>
      <c r="O150">
        <v>0.52129999999999999</v>
      </c>
      <c r="P150">
        <v>0.54990000000000006</v>
      </c>
      <c r="Q150">
        <v>16.928000000000001</v>
      </c>
      <c r="R150">
        <v>4.0300000000000002E-2</v>
      </c>
      <c r="S150">
        <v>7.3599999999999999E-2</v>
      </c>
      <c r="T150">
        <v>19.428000000000001</v>
      </c>
      <c r="U150">
        <v>7.2599999999999998E-2</v>
      </c>
      <c r="V150">
        <v>0.13569999999999999</v>
      </c>
      <c r="W150">
        <v>0</v>
      </c>
      <c r="X150">
        <f t="shared" si="21"/>
        <v>-0.14117555951366839</v>
      </c>
    </row>
    <row r="151" spans="1:24">
      <c r="A151" t="s">
        <v>189</v>
      </c>
      <c r="B151" t="s">
        <v>20</v>
      </c>
      <c r="C151">
        <v>0</v>
      </c>
      <c r="G151" s="12">
        <f t="shared" si="20"/>
        <v>2.6207494043751355E-2</v>
      </c>
      <c r="H151">
        <v>6.7910000000000004</v>
      </c>
      <c r="I151">
        <v>1.4904999999999999</v>
      </c>
      <c r="J151">
        <v>6.5542999999999996</v>
      </c>
      <c r="K151">
        <v>11.778</v>
      </c>
      <c r="L151">
        <v>1.9378</v>
      </c>
      <c r="M151">
        <v>6.4349999999999996</v>
      </c>
      <c r="N151">
        <v>19.358000000000001</v>
      </c>
      <c r="O151">
        <v>7.8600000000000003E-2</v>
      </c>
      <c r="P151">
        <v>0.14480000000000001</v>
      </c>
      <c r="W151">
        <v>0</v>
      </c>
      <c r="X151">
        <f t="shared" si="21"/>
        <v>-0.14117555951366839</v>
      </c>
    </row>
    <row r="152" spans="1:24">
      <c r="A152" t="s">
        <v>189</v>
      </c>
      <c r="B152" t="s">
        <v>84</v>
      </c>
      <c r="C152">
        <v>0</v>
      </c>
      <c r="G152" s="12">
        <f t="shared" si="20"/>
        <v>2.6207494043751355E-2</v>
      </c>
      <c r="H152">
        <v>6.7809999999999997</v>
      </c>
      <c r="I152">
        <v>2.02</v>
      </c>
      <c r="J152">
        <v>6.8277999999999999</v>
      </c>
      <c r="K152">
        <v>11.765000000000001</v>
      </c>
      <c r="L152">
        <v>2.0105</v>
      </c>
      <c r="M152">
        <v>6.67</v>
      </c>
      <c r="N152">
        <v>19.338000000000001</v>
      </c>
      <c r="O152">
        <v>7.9200000000000007E-2</v>
      </c>
      <c r="P152">
        <v>0.1459</v>
      </c>
      <c r="W152">
        <v>0</v>
      </c>
      <c r="X152">
        <f t="shared" si="21"/>
        <v>-0.14117555951366839</v>
      </c>
    </row>
    <row r="154" spans="1:24" ht="62">
      <c r="A154" s="10" t="s">
        <v>10</v>
      </c>
      <c r="B154" s="10" t="s">
        <v>15</v>
      </c>
      <c r="C154" s="10" t="s">
        <v>16</v>
      </c>
      <c r="D154" s="10" t="s">
        <v>2</v>
      </c>
      <c r="E154" s="10" t="s">
        <v>18</v>
      </c>
      <c r="F154" s="10" t="s">
        <v>17</v>
      </c>
      <c r="G154" s="208"/>
      <c r="H154" s="10" t="s">
        <v>2</v>
      </c>
      <c r="I154" s="10" t="s">
        <v>18</v>
      </c>
      <c r="J154" s="10" t="s">
        <v>17</v>
      </c>
      <c r="K154" s="10" t="s">
        <v>2</v>
      </c>
      <c r="L154" s="10" t="s">
        <v>18</v>
      </c>
      <c r="M154" s="10" t="s">
        <v>17</v>
      </c>
      <c r="N154" s="10" t="s">
        <v>2</v>
      </c>
      <c r="O154" s="10" t="s">
        <v>18</v>
      </c>
      <c r="P154" s="10" t="s">
        <v>17</v>
      </c>
      <c r="R154" s="215" t="s">
        <v>933</v>
      </c>
      <c r="S154" s="10" t="s">
        <v>934</v>
      </c>
    </row>
    <row r="155" spans="1:24">
      <c r="A155" s="10"/>
      <c r="B155" s="10"/>
      <c r="C155" s="10">
        <v>0</v>
      </c>
      <c r="D155" s="10"/>
      <c r="E155" s="10"/>
      <c r="F155" s="10">
        <v>0</v>
      </c>
      <c r="G155" s="208"/>
      <c r="H155" s="10"/>
      <c r="I155" s="10"/>
      <c r="J155" s="10"/>
      <c r="K155" s="10"/>
      <c r="L155" s="10"/>
      <c r="M155" s="10"/>
      <c r="N155" s="10"/>
      <c r="O155" s="10"/>
      <c r="P155" s="10"/>
    </row>
    <row r="156" spans="1:24">
      <c r="A156" t="s">
        <v>195</v>
      </c>
      <c r="B156" t="s">
        <v>21</v>
      </c>
      <c r="C156">
        <v>0.5</v>
      </c>
      <c r="D156">
        <v>4.3979999999999997</v>
      </c>
      <c r="E156">
        <v>1.5525</v>
      </c>
      <c r="F156">
        <v>9.3980999999999995</v>
      </c>
      <c r="G156" s="12">
        <f>(E156+0.0883)/3.2883</f>
        <v>0.49898123650518506</v>
      </c>
      <c r="H156">
        <v>6.8010000000000002</v>
      </c>
      <c r="I156">
        <v>0.28520000000000001</v>
      </c>
      <c r="J156">
        <v>1.6916</v>
      </c>
      <c r="K156">
        <v>11.834</v>
      </c>
      <c r="L156">
        <v>7.0099999999999996E-2</v>
      </c>
      <c r="M156">
        <v>0.2291</v>
      </c>
      <c r="N156">
        <v>19.667999999999999</v>
      </c>
      <c r="O156">
        <v>4.3200000000000002E-2</v>
      </c>
      <c r="P156">
        <v>7.9299999999999995E-2</v>
      </c>
      <c r="Q156" t="s">
        <v>212</v>
      </c>
      <c r="R156">
        <v>1.0241</v>
      </c>
      <c r="S156">
        <f>(R156-0.4074)/1.2358</f>
        <v>0.49902896908884936</v>
      </c>
    </row>
    <row r="157" spans="1:24">
      <c r="A157" t="s">
        <v>195</v>
      </c>
      <c r="B157" t="s">
        <v>22</v>
      </c>
      <c r="C157">
        <v>1</v>
      </c>
      <c r="D157">
        <v>4.4050000000000002</v>
      </c>
      <c r="E157">
        <v>3.1534</v>
      </c>
      <c r="F157">
        <v>20.150099999999998</v>
      </c>
      <c r="G157" s="12">
        <f t="shared" ref="G157:G166" si="22">(E157+0.0883)/3.2883</f>
        <v>0.98582854362436512</v>
      </c>
      <c r="H157">
        <v>6.798</v>
      </c>
      <c r="I157">
        <v>6.0900000000000003E-2</v>
      </c>
      <c r="J157">
        <v>0.37890000000000001</v>
      </c>
      <c r="N157">
        <v>19.678000000000001</v>
      </c>
      <c r="O157">
        <v>6.9199999999999998E-2</v>
      </c>
      <c r="P157">
        <v>0.12909999999999999</v>
      </c>
      <c r="R157">
        <v>1.6256999999999999</v>
      </c>
      <c r="S157">
        <f t="shared" ref="S157:S162" si="23">(R157-0.4074)/1.2358</f>
        <v>0.98583913254571931</v>
      </c>
    </row>
    <row r="158" spans="1:24">
      <c r="A158" t="s">
        <v>195</v>
      </c>
      <c r="B158" t="s">
        <v>23</v>
      </c>
      <c r="C158">
        <v>1.5</v>
      </c>
      <c r="D158">
        <v>4.4139999999999997</v>
      </c>
      <c r="E158">
        <v>4.7354000000000003</v>
      </c>
      <c r="F158">
        <v>30.7729</v>
      </c>
      <c r="G158" s="12">
        <f t="shared" si="22"/>
        <v>1.4669281999817536</v>
      </c>
      <c r="H158">
        <v>6.798</v>
      </c>
      <c r="I158">
        <v>6.2E-2</v>
      </c>
      <c r="J158">
        <v>0.4032</v>
      </c>
      <c r="N158">
        <v>19.673999999999999</v>
      </c>
      <c r="O158">
        <v>8.4099999999999994E-2</v>
      </c>
      <c r="P158">
        <v>0.1532</v>
      </c>
      <c r="Q158" t="s">
        <v>891</v>
      </c>
      <c r="R158">
        <v>2.2202999999999999</v>
      </c>
      <c r="S158">
        <f t="shared" si="23"/>
        <v>1.4669849490208771</v>
      </c>
    </row>
    <row r="159" spans="1:24">
      <c r="A159" t="s">
        <v>195</v>
      </c>
      <c r="B159" t="s">
        <v>24</v>
      </c>
      <c r="C159">
        <v>2</v>
      </c>
      <c r="D159">
        <v>4.4240000000000004</v>
      </c>
      <c r="E159">
        <v>6.4612999999999996</v>
      </c>
      <c r="F159">
        <v>41.502899999999997</v>
      </c>
      <c r="G159" s="12">
        <f t="shared" si="22"/>
        <v>1.9917890703402974</v>
      </c>
      <c r="H159">
        <v>6.8010000000000002</v>
      </c>
      <c r="I159">
        <v>5.2900000000000003E-2</v>
      </c>
      <c r="J159">
        <v>0.32929999999999998</v>
      </c>
      <c r="N159">
        <v>19.673999999999999</v>
      </c>
      <c r="O159">
        <v>4.3299999999999998E-2</v>
      </c>
      <c r="P159">
        <v>7.9000000000000001E-2</v>
      </c>
      <c r="R159">
        <v>2.8689</v>
      </c>
      <c r="S159">
        <f t="shared" si="23"/>
        <v>1.9918271564978152</v>
      </c>
    </row>
    <row r="160" spans="1:24">
      <c r="A160" t="s">
        <v>195</v>
      </c>
      <c r="B160" t="s">
        <v>25</v>
      </c>
      <c r="C160">
        <v>2.5</v>
      </c>
      <c r="D160">
        <v>4.431</v>
      </c>
      <c r="E160">
        <v>8.3467000000000002</v>
      </c>
      <c r="F160">
        <v>50.786000000000001</v>
      </c>
      <c r="G160" s="12">
        <f t="shared" si="22"/>
        <v>2.5651552473922696</v>
      </c>
      <c r="H160">
        <v>6.7969999999999997</v>
      </c>
      <c r="I160">
        <v>1.4381999999999999</v>
      </c>
      <c r="J160">
        <v>0.63490000000000002</v>
      </c>
      <c r="N160">
        <v>19.677</v>
      </c>
      <c r="O160">
        <v>4.82E-2</v>
      </c>
      <c r="P160">
        <v>8.7999999999999995E-2</v>
      </c>
      <c r="R160">
        <v>3.5775000000000001</v>
      </c>
      <c r="S160">
        <f t="shared" si="23"/>
        <v>2.5652209095322869</v>
      </c>
    </row>
    <row r="161" spans="1:19">
      <c r="A161" t="s">
        <v>195</v>
      </c>
      <c r="B161" t="s">
        <v>26</v>
      </c>
      <c r="C161">
        <v>3</v>
      </c>
      <c r="D161">
        <v>4.4379999999999997</v>
      </c>
      <c r="E161">
        <v>9.8404000000000007</v>
      </c>
      <c r="F161">
        <v>61.246499999999997</v>
      </c>
      <c r="G161" s="12">
        <f t="shared" si="22"/>
        <v>3.0194021226773717</v>
      </c>
      <c r="H161">
        <v>6.8010000000000002</v>
      </c>
      <c r="I161">
        <v>4.7699999999999999E-2</v>
      </c>
      <c r="J161">
        <v>0.2944</v>
      </c>
      <c r="R161">
        <v>4.1388999999999996</v>
      </c>
      <c r="S161">
        <f t="shared" si="23"/>
        <v>3.0195015374656089</v>
      </c>
    </row>
    <row r="162" spans="1:19">
      <c r="A162" t="s">
        <v>195</v>
      </c>
      <c r="B162" t="s">
        <v>27</v>
      </c>
      <c r="C162">
        <v>5</v>
      </c>
      <c r="D162">
        <v>4.4610000000000003</v>
      </c>
      <c r="E162">
        <v>16.260899999999999</v>
      </c>
      <c r="F162">
        <v>92.012299999999996</v>
      </c>
      <c r="G162" s="12">
        <f t="shared" si="22"/>
        <v>4.9719307849040533</v>
      </c>
      <c r="H162">
        <v>6.8010000000000002</v>
      </c>
      <c r="I162">
        <v>0.86329999999999996</v>
      </c>
      <c r="J162">
        <v>1.9237</v>
      </c>
      <c r="N162">
        <v>19.675000000000001</v>
      </c>
      <c r="O162">
        <v>5.7299999999999997E-2</v>
      </c>
      <c r="P162">
        <v>0.10680000000000001</v>
      </c>
      <c r="R162">
        <v>6.5518999999999998</v>
      </c>
      <c r="S162">
        <f t="shared" si="23"/>
        <v>4.9720828613044183</v>
      </c>
    </row>
    <row r="163" spans="1:19">
      <c r="A163" t="s">
        <v>195</v>
      </c>
      <c r="G163" s="12">
        <f t="shared" si="22"/>
        <v>2.6852781072286593E-2</v>
      </c>
    </row>
    <row r="164" spans="1:19">
      <c r="A164" t="s">
        <v>195</v>
      </c>
      <c r="B164" t="s">
        <v>19</v>
      </c>
      <c r="C164">
        <v>0</v>
      </c>
      <c r="D164">
        <v>5.1680000000000001</v>
      </c>
      <c r="E164">
        <v>0.10349999999999999</v>
      </c>
      <c r="F164">
        <v>0.29899999999999999</v>
      </c>
      <c r="G164" s="12">
        <f t="shared" si="22"/>
        <v>5.8328011434479819E-2</v>
      </c>
      <c r="H164">
        <v>6.8780000000000001</v>
      </c>
      <c r="I164">
        <v>5.9508000000000001</v>
      </c>
      <c r="J164">
        <v>31.8765</v>
      </c>
      <c r="K164">
        <v>11.858000000000001</v>
      </c>
      <c r="L164">
        <v>5.8666</v>
      </c>
      <c r="M164">
        <v>20.087499999999999</v>
      </c>
      <c r="N164">
        <v>19.617999999999999</v>
      </c>
      <c r="O164">
        <v>0.21879999999999999</v>
      </c>
      <c r="P164">
        <v>0.39629999999999999</v>
      </c>
      <c r="R164">
        <v>0</v>
      </c>
    </row>
    <row r="165" spans="1:19">
      <c r="A165" t="s">
        <v>195</v>
      </c>
      <c r="B165" t="s">
        <v>20</v>
      </c>
      <c r="C165">
        <v>0</v>
      </c>
      <c r="D165">
        <v>5.1710000000000003</v>
      </c>
      <c r="E165">
        <v>8.7099999999999997E-2</v>
      </c>
      <c r="F165">
        <v>0.26069999999999999</v>
      </c>
      <c r="G165" s="12">
        <f t="shared" si="22"/>
        <v>5.3340631937475291E-2</v>
      </c>
      <c r="H165">
        <v>6.8739999999999997</v>
      </c>
      <c r="I165">
        <v>5.4535</v>
      </c>
      <c r="J165">
        <v>31.374099999999999</v>
      </c>
      <c r="K165">
        <v>11.840999999999999</v>
      </c>
      <c r="L165">
        <v>5.8238000000000003</v>
      </c>
      <c r="M165">
        <v>20.071000000000002</v>
      </c>
      <c r="N165">
        <v>19.687999999999999</v>
      </c>
      <c r="O165">
        <v>0.19289999999999999</v>
      </c>
      <c r="P165">
        <v>0.35449999999999998</v>
      </c>
      <c r="R165">
        <v>0</v>
      </c>
    </row>
    <row r="166" spans="1:19">
      <c r="A166" t="s">
        <v>195</v>
      </c>
      <c r="B166" t="s">
        <v>84</v>
      </c>
      <c r="C166">
        <v>0</v>
      </c>
      <c r="D166">
        <v>5.1539999999999999</v>
      </c>
      <c r="E166">
        <v>9.7299999999999998E-2</v>
      </c>
      <c r="F166">
        <v>0.26429999999999998</v>
      </c>
      <c r="G166" s="12">
        <f t="shared" si="22"/>
        <v>5.6442538697807375E-2</v>
      </c>
      <c r="H166">
        <v>6.851</v>
      </c>
      <c r="I166">
        <v>5.5956000000000001</v>
      </c>
      <c r="J166">
        <v>31.531700000000001</v>
      </c>
      <c r="K166">
        <v>11.814</v>
      </c>
      <c r="L166">
        <v>5.9974999999999996</v>
      </c>
      <c r="M166">
        <v>20.657800000000002</v>
      </c>
      <c r="N166">
        <v>19.670999999999999</v>
      </c>
      <c r="O166">
        <v>0.21199999999999999</v>
      </c>
      <c r="P166">
        <v>0.3891</v>
      </c>
      <c r="R166">
        <v>0</v>
      </c>
    </row>
    <row r="168" spans="1:19" ht="31">
      <c r="A168" s="10" t="s">
        <v>10</v>
      </c>
      <c r="B168" s="10" t="s">
        <v>15</v>
      </c>
      <c r="C168" s="10" t="s">
        <v>16</v>
      </c>
      <c r="D168" s="10" t="s">
        <v>2</v>
      </c>
      <c r="E168" s="10" t="s">
        <v>18</v>
      </c>
      <c r="F168" s="10" t="s">
        <v>17</v>
      </c>
      <c r="G168" s="208"/>
      <c r="H168" s="10" t="s">
        <v>2</v>
      </c>
      <c r="I168" s="10" t="s">
        <v>18</v>
      </c>
      <c r="J168" s="10" t="s">
        <v>17</v>
      </c>
      <c r="K168" s="10" t="s">
        <v>2</v>
      </c>
      <c r="L168" s="10" t="s">
        <v>18</v>
      </c>
      <c r="M168" s="10" t="s">
        <v>17</v>
      </c>
      <c r="N168" s="10" t="s">
        <v>2</v>
      </c>
      <c r="O168" s="10" t="s">
        <v>18</v>
      </c>
      <c r="P168" s="10" t="s">
        <v>17</v>
      </c>
      <c r="Q168" s="10" t="s">
        <v>224</v>
      </c>
      <c r="R168" s="215" t="s">
        <v>935</v>
      </c>
    </row>
    <row r="169" spans="1:19">
      <c r="A169" s="10"/>
      <c r="B169" s="10"/>
      <c r="C169" s="10">
        <v>0</v>
      </c>
      <c r="D169" s="10"/>
      <c r="E169" s="10"/>
      <c r="F169" s="10">
        <v>0</v>
      </c>
      <c r="G169" s="208"/>
      <c r="H169" s="10"/>
      <c r="I169" s="10"/>
      <c r="J169" s="10"/>
      <c r="K169" s="10"/>
      <c r="L169" s="10"/>
      <c r="M169" s="10"/>
      <c r="N169" s="10"/>
      <c r="O169" s="10"/>
      <c r="P169" s="10"/>
      <c r="Q169" s="10"/>
    </row>
    <row r="170" spans="1:19">
      <c r="A170" t="s">
        <v>221</v>
      </c>
      <c r="B170" t="s">
        <v>21</v>
      </c>
      <c r="C170">
        <v>0.5</v>
      </c>
      <c r="D170">
        <v>4.3710000000000004</v>
      </c>
      <c r="E170">
        <v>1.5847</v>
      </c>
      <c r="F170">
        <v>8.7363</v>
      </c>
      <c r="G170" s="12">
        <f>(E170-0.0995)/3.2569</f>
        <v>0.45601645736743535</v>
      </c>
      <c r="H170">
        <v>6.718</v>
      </c>
      <c r="I170">
        <v>0.43819999999999998</v>
      </c>
      <c r="J170">
        <v>2.4940000000000002</v>
      </c>
      <c r="K170">
        <v>11.618</v>
      </c>
      <c r="L170">
        <v>0.1249</v>
      </c>
      <c r="M170">
        <v>0.40699999999999997</v>
      </c>
      <c r="N170">
        <v>19.234000000000002</v>
      </c>
      <c r="O170">
        <v>3.9199999999999999E-2</v>
      </c>
      <c r="P170">
        <v>7.4499999999999997E-2</v>
      </c>
      <c r="R170">
        <v>1.0362</v>
      </c>
      <c r="S170">
        <f>(R170-0.4859)/1.2214</f>
        <v>0.45054855084329459</v>
      </c>
    </row>
    <row r="171" spans="1:19">
      <c r="A171" t="s">
        <v>221</v>
      </c>
      <c r="B171" t="s">
        <v>22</v>
      </c>
      <c r="C171">
        <v>1</v>
      </c>
      <c r="D171">
        <v>4.3780000000000001</v>
      </c>
      <c r="E171">
        <v>3.1677</v>
      </c>
      <c r="F171">
        <v>18.627800000000001</v>
      </c>
      <c r="G171" s="12">
        <f t="shared" ref="G171:G180" si="24">(E171-0.0995)/3.2569</f>
        <v>0.9420614694955326</v>
      </c>
      <c r="H171">
        <v>6.7149999999999999</v>
      </c>
      <c r="I171">
        <v>6.0600000000000001E-2</v>
      </c>
      <c r="J171">
        <v>0.37259999999999999</v>
      </c>
      <c r="N171">
        <v>19.231000000000002</v>
      </c>
      <c r="O171">
        <v>6.6299999999999998E-2</v>
      </c>
      <c r="P171">
        <v>0.12180000000000001</v>
      </c>
      <c r="Q171" t="s">
        <v>892</v>
      </c>
      <c r="R171">
        <v>1.6311</v>
      </c>
      <c r="S171">
        <f t="shared" ref="S171:S180" si="25">(R171-0.4859)/1.2214</f>
        <v>0.93761257573276569</v>
      </c>
    </row>
    <row r="172" spans="1:19">
      <c r="A172" t="s">
        <v>221</v>
      </c>
      <c r="B172" t="s">
        <v>23</v>
      </c>
      <c r="C172">
        <v>1.5</v>
      </c>
      <c r="D172">
        <v>4.3840000000000003</v>
      </c>
      <c r="E172">
        <v>4.7820999999999998</v>
      </c>
      <c r="F172">
        <v>28.470500000000001</v>
      </c>
      <c r="G172" s="12">
        <f t="shared" si="24"/>
        <v>1.4377475513525131</v>
      </c>
      <c r="H172">
        <v>6.7110000000000003</v>
      </c>
      <c r="I172">
        <v>6.6799999999999998E-2</v>
      </c>
      <c r="J172">
        <v>0.40260000000000001</v>
      </c>
      <c r="N172">
        <v>19.228000000000002</v>
      </c>
      <c r="O172">
        <v>8.2600000000000007E-2</v>
      </c>
      <c r="P172">
        <v>0.15390000000000001</v>
      </c>
      <c r="R172">
        <v>2.2378</v>
      </c>
      <c r="S172">
        <f t="shared" si="25"/>
        <v>1.4343376453250367</v>
      </c>
    </row>
    <row r="173" spans="1:19">
      <c r="A173" t="s">
        <v>221</v>
      </c>
      <c r="B173" t="s">
        <v>24</v>
      </c>
      <c r="C173">
        <v>2</v>
      </c>
      <c r="D173">
        <v>4.3940000000000001</v>
      </c>
      <c r="E173">
        <v>6.8449999999999998</v>
      </c>
      <c r="F173">
        <v>38.6554</v>
      </c>
      <c r="G173" s="12">
        <f t="shared" si="24"/>
        <v>2.0711412693051674</v>
      </c>
      <c r="H173">
        <v>6.7140000000000004</v>
      </c>
      <c r="I173">
        <v>1.3956999999999999</v>
      </c>
      <c r="J173">
        <v>0.62860000000000005</v>
      </c>
      <c r="N173">
        <v>19.227</v>
      </c>
      <c r="O173">
        <v>3.7100000000000001E-2</v>
      </c>
      <c r="P173">
        <v>6.8900000000000003E-2</v>
      </c>
      <c r="R173">
        <v>3.0131000000000001</v>
      </c>
      <c r="S173">
        <f t="shared" si="25"/>
        <v>2.0691010316030787</v>
      </c>
    </row>
    <row r="174" spans="1:19">
      <c r="A174" t="s">
        <v>221</v>
      </c>
      <c r="B174" t="s">
        <v>25</v>
      </c>
      <c r="C174">
        <v>2.5</v>
      </c>
      <c r="D174">
        <v>4.4009999999999998</v>
      </c>
      <c r="E174">
        <v>8.3984000000000005</v>
      </c>
      <c r="F174">
        <v>47.571800000000003</v>
      </c>
      <c r="G174" s="12">
        <f t="shared" si="24"/>
        <v>2.5480978844913875</v>
      </c>
      <c r="H174">
        <v>6.7149999999999999</v>
      </c>
      <c r="I174">
        <v>1.4827999999999999</v>
      </c>
      <c r="J174">
        <v>0.64059999999999995</v>
      </c>
      <c r="N174">
        <v>19.241</v>
      </c>
      <c r="O174">
        <v>3.8800000000000001E-2</v>
      </c>
      <c r="P174">
        <v>7.3700000000000002E-2</v>
      </c>
      <c r="R174">
        <v>3.5969000000000002</v>
      </c>
      <c r="S174">
        <f t="shared" si="25"/>
        <v>2.5470771246111021</v>
      </c>
    </row>
    <row r="175" spans="1:19">
      <c r="A175" t="s">
        <v>221</v>
      </c>
      <c r="B175" t="s">
        <v>26</v>
      </c>
      <c r="C175">
        <v>3</v>
      </c>
      <c r="D175">
        <v>4.4080000000000004</v>
      </c>
      <c r="E175">
        <v>10.3111</v>
      </c>
      <c r="F175">
        <v>58.070999999999998</v>
      </c>
      <c r="G175" s="12">
        <f t="shared" si="24"/>
        <v>3.1353741287727592</v>
      </c>
      <c r="H175">
        <v>6.7149999999999999</v>
      </c>
      <c r="I175">
        <v>1.4241999999999999</v>
      </c>
      <c r="J175">
        <v>0.6331</v>
      </c>
      <c r="R175">
        <v>4.3158000000000003</v>
      </c>
      <c r="S175">
        <f t="shared" si="25"/>
        <v>3.135663992140167</v>
      </c>
    </row>
    <row r="176" spans="1:19">
      <c r="A176" t="s">
        <v>221</v>
      </c>
      <c r="B176" t="s">
        <v>27</v>
      </c>
      <c r="C176">
        <v>5</v>
      </c>
      <c r="D176">
        <v>4.431</v>
      </c>
      <c r="E176">
        <v>16.033200000000001</v>
      </c>
      <c r="F176">
        <v>88.718500000000006</v>
      </c>
      <c r="G176" s="12">
        <f t="shared" si="24"/>
        <v>4.8922902146212657</v>
      </c>
      <c r="H176">
        <v>6.718</v>
      </c>
      <c r="I176">
        <v>0.28960000000000002</v>
      </c>
      <c r="J176">
        <v>1.6251</v>
      </c>
      <c r="N176">
        <v>19.228000000000002</v>
      </c>
      <c r="O176">
        <v>0.1066</v>
      </c>
      <c r="P176">
        <v>0.19739999999999999</v>
      </c>
      <c r="R176">
        <v>6.4663000000000004</v>
      </c>
      <c r="S176">
        <f t="shared" si="25"/>
        <v>4.8963484525953822</v>
      </c>
    </row>
    <row r="177" spans="1:19">
      <c r="A177" t="s">
        <v>221</v>
      </c>
      <c r="B177" t="s">
        <v>222</v>
      </c>
      <c r="C177">
        <v>2.5</v>
      </c>
      <c r="D177">
        <v>4.3979999999999997</v>
      </c>
      <c r="E177">
        <v>8.2972999999999999</v>
      </c>
      <c r="F177">
        <v>47.184899999999999</v>
      </c>
      <c r="G177" s="12">
        <f t="shared" si="24"/>
        <v>2.517056096287881</v>
      </c>
      <c r="H177">
        <v>6.7110000000000003</v>
      </c>
      <c r="I177">
        <v>1.3343</v>
      </c>
      <c r="J177">
        <v>0.64910000000000001</v>
      </c>
      <c r="N177">
        <v>19.238</v>
      </c>
      <c r="O177">
        <v>0.48370000000000002</v>
      </c>
      <c r="P177">
        <v>0.2099</v>
      </c>
      <c r="R177">
        <v>3.5589</v>
      </c>
      <c r="S177">
        <f t="shared" si="25"/>
        <v>2.515965285737678</v>
      </c>
    </row>
    <row r="178" spans="1:19">
      <c r="A178" t="s">
        <v>221</v>
      </c>
      <c r="B178" t="s">
        <v>19</v>
      </c>
      <c r="C178">
        <v>0</v>
      </c>
      <c r="D178">
        <v>4.4009999999999998</v>
      </c>
      <c r="E178">
        <v>0.1007</v>
      </c>
      <c r="F178">
        <v>0.6502</v>
      </c>
      <c r="G178" s="12">
        <f t="shared" si="24"/>
        <v>3.6844852467069692E-4</v>
      </c>
      <c r="H178">
        <v>6.8540000000000001</v>
      </c>
      <c r="I178">
        <v>18.2395</v>
      </c>
      <c r="J178">
        <v>99.833200000000005</v>
      </c>
      <c r="K178">
        <v>11.691000000000001</v>
      </c>
      <c r="L178">
        <v>10.143800000000001</v>
      </c>
      <c r="M178">
        <v>34.751300000000001</v>
      </c>
      <c r="N178">
        <v>19.378</v>
      </c>
      <c r="O178">
        <v>0.22459999999999999</v>
      </c>
      <c r="P178">
        <v>0.41710000000000003</v>
      </c>
      <c r="R178">
        <v>0.47839999999999999</v>
      </c>
      <c r="S178">
        <f t="shared" si="25"/>
        <v>-6.1404945144915724E-3</v>
      </c>
    </row>
    <row r="179" spans="1:19">
      <c r="A179" t="s">
        <v>221</v>
      </c>
      <c r="B179" t="s">
        <v>20</v>
      </c>
      <c r="C179">
        <v>0</v>
      </c>
      <c r="D179">
        <v>4.3680000000000003</v>
      </c>
      <c r="E179">
        <v>0.15620000000000001</v>
      </c>
      <c r="F179">
        <v>0.90459999999999996</v>
      </c>
      <c r="G179" s="12">
        <f t="shared" si="24"/>
        <v>1.7409192790690534E-2</v>
      </c>
      <c r="H179">
        <v>6.7910000000000004</v>
      </c>
      <c r="I179">
        <v>17.995100000000001</v>
      </c>
      <c r="J179">
        <v>100.1555</v>
      </c>
      <c r="K179">
        <v>11.585000000000001</v>
      </c>
      <c r="L179">
        <v>10.092000000000001</v>
      </c>
      <c r="M179">
        <v>34.777999999999999</v>
      </c>
      <c r="N179">
        <v>19.231000000000002</v>
      </c>
      <c r="O179">
        <v>0.1641</v>
      </c>
      <c r="P179">
        <v>0.3034</v>
      </c>
      <c r="R179">
        <v>0.49930000000000002</v>
      </c>
      <c r="S179">
        <f t="shared" si="25"/>
        <v>1.0971016865891619E-2</v>
      </c>
    </row>
    <row r="180" spans="1:19">
      <c r="A180" t="s">
        <v>221</v>
      </c>
      <c r="B180" t="s">
        <v>84</v>
      </c>
      <c r="C180">
        <v>0</v>
      </c>
      <c r="D180">
        <v>4.3639999999999999</v>
      </c>
      <c r="E180">
        <v>0.14710000000000001</v>
      </c>
      <c r="F180">
        <v>0.86150000000000004</v>
      </c>
      <c r="G180" s="12">
        <f t="shared" si="24"/>
        <v>1.4615124811937734E-2</v>
      </c>
      <c r="H180">
        <v>6.7679999999999998</v>
      </c>
      <c r="I180">
        <v>18.127800000000001</v>
      </c>
      <c r="J180">
        <v>94.223100000000002</v>
      </c>
      <c r="K180">
        <v>11.574</v>
      </c>
      <c r="L180">
        <v>10.156700000000001</v>
      </c>
      <c r="M180">
        <v>34.762900000000002</v>
      </c>
      <c r="N180">
        <v>19.218</v>
      </c>
      <c r="O180">
        <v>0.36799999999999999</v>
      </c>
      <c r="P180">
        <v>0.36030000000000001</v>
      </c>
      <c r="R180">
        <v>0.49590000000000001</v>
      </c>
      <c r="S180">
        <f t="shared" si="25"/>
        <v>8.187326019322096E-3</v>
      </c>
    </row>
    <row r="182" spans="1:19" ht="31">
      <c r="A182" s="10" t="s">
        <v>10</v>
      </c>
      <c r="B182" s="10" t="s">
        <v>15</v>
      </c>
      <c r="C182" s="10" t="s">
        <v>16</v>
      </c>
      <c r="D182" s="10" t="s">
        <v>2</v>
      </c>
      <c r="E182" s="10" t="s">
        <v>18</v>
      </c>
      <c r="F182" s="10" t="s">
        <v>17</v>
      </c>
      <c r="G182" s="208"/>
      <c r="H182" s="10" t="s">
        <v>2</v>
      </c>
      <c r="I182" s="10" t="s">
        <v>18</v>
      </c>
      <c r="J182" s="10" t="s">
        <v>17</v>
      </c>
      <c r="K182" s="10" t="s">
        <v>2</v>
      </c>
      <c r="L182" s="10" t="s">
        <v>18</v>
      </c>
      <c r="M182" s="10" t="s">
        <v>17</v>
      </c>
      <c r="N182" s="10" t="s">
        <v>2</v>
      </c>
      <c r="O182" s="10" t="s">
        <v>18</v>
      </c>
      <c r="P182" s="10" t="s">
        <v>17</v>
      </c>
      <c r="Q182" s="10" t="s">
        <v>240</v>
      </c>
      <c r="R182" s="215" t="s">
        <v>936</v>
      </c>
    </row>
    <row r="183" spans="1:19">
      <c r="A183" s="10"/>
      <c r="B183" s="10"/>
      <c r="C183" s="10">
        <v>0</v>
      </c>
      <c r="D183" s="10"/>
      <c r="E183" s="10"/>
      <c r="F183" s="10">
        <v>0</v>
      </c>
      <c r="G183" s="208"/>
      <c r="H183" s="10"/>
      <c r="I183" s="10"/>
      <c r="J183" s="10"/>
      <c r="K183" s="10"/>
      <c r="L183" s="10"/>
      <c r="M183" s="10"/>
      <c r="N183" s="10"/>
      <c r="O183" s="10"/>
      <c r="P183" s="10"/>
      <c r="Q183" s="10"/>
    </row>
    <row r="184" spans="1:19">
      <c r="A184" t="s">
        <v>239</v>
      </c>
      <c r="B184" t="s">
        <v>21</v>
      </c>
      <c r="C184">
        <v>0.5</v>
      </c>
      <c r="D184">
        <v>4.3810000000000002</v>
      </c>
      <c r="E184">
        <v>1.5674999999999999</v>
      </c>
      <c r="F184">
        <v>8.1205999999999996</v>
      </c>
      <c r="G184" s="12">
        <f>(E184-0.1061)/3.191</f>
        <v>0.45797555625195857</v>
      </c>
      <c r="H184">
        <v>6.7110000000000003</v>
      </c>
      <c r="I184">
        <v>0.66659999999999997</v>
      </c>
      <c r="J184">
        <v>3.8155999999999999</v>
      </c>
      <c r="K184">
        <v>11.571</v>
      </c>
      <c r="L184">
        <v>0.29549999999999998</v>
      </c>
      <c r="M184">
        <v>0.96250000000000002</v>
      </c>
      <c r="N184">
        <v>19.158000000000001</v>
      </c>
      <c r="O184">
        <v>4.8399999999999999E-2</v>
      </c>
      <c r="P184">
        <v>9.0700000000000003E-2</v>
      </c>
      <c r="R184">
        <v>1.0297000000000001</v>
      </c>
      <c r="S184">
        <f>(R184-0.483)/1.1985</f>
        <v>0.45615352523988328</v>
      </c>
    </row>
    <row r="185" spans="1:19">
      <c r="A185" t="s">
        <v>239</v>
      </c>
      <c r="B185" t="s">
        <v>22</v>
      </c>
      <c r="C185">
        <v>1</v>
      </c>
      <c r="D185">
        <v>4.391</v>
      </c>
      <c r="E185">
        <v>3.1623999999999999</v>
      </c>
      <c r="F185">
        <v>17.421099999999999</v>
      </c>
      <c r="G185" s="12">
        <f t="shared" ref="G185:G194" si="26">(E185-0.1061)/3.191</f>
        <v>0.95778752742087114</v>
      </c>
      <c r="H185">
        <v>6.7110000000000003</v>
      </c>
      <c r="I185">
        <v>6.3500000000000001E-2</v>
      </c>
      <c r="J185">
        <v>0.38119999999999998</v>
      </c>
      <c r="N185">
        <v>19.164000000000001</v>
      </c>
      <c r="O185">
        <v>6.3500000000000001E-2</v>
      </c>
      <c r="P185">
        <v>0.11840000000000001</v>
      </c>
      <c r="Q185" t="s">
        <v>893</v>
      </c>
      <c r="R185">
        <v>1.6291</v>
      </c>
      <c r="S185">
        <f t="shared" ref="S185:S194" si="27">(R185-0.483)/1.1985</f>
        <v>0.95627868168544028</v>
      </c>
    </row>
    <row r="186" spans="1:19">
      <c r="A186" t="s">
        <v>239</v>
      </c>
      <c r="B186" t="s">
        <v>23</v>
      </c>
      <c r="C186">
        <v>1.5</v>
      </c>
      <c r="D186">
        <v>4.3979999999999997</v>
      </c>
      <c r="E186">
        <v>4.7603999999999997</v>
      </c>
      <c r="F186">
        <v>26.906700000000001</v>
      </c>
      <c r="G186" s="12">
        <f t="shared" si="26"/>
        <v>1.4585709808837357</v>
      </c>
      <c r="H186">
        <v>6.7080000000000002</v>
      </c>
      <c r="I186">
        <v>7.4700000000000003E-2</v>
      </c>
      <c r="J186">
        <v>0.4405</v>
      </c>
      <c r="N186">
        <v>19.154</v>
      </c>
      <c r="O186">
        <v>8.1299999999999997E-2</v>
      </c>
      <c r="P186">
        <v>0.15640000000000001</v>
      </c>
      <c r="R186">
        <v>2.2296999999999998</v>
      </c>
      <c r="S186">
        <f t="shared" si="27"/>
        <v>1.4574050896954525</v>
      </c>
    </row>
    <row r="187" spans="1:19">
      <c r="A187" t="s">
        <v>239</v>
      </c>
      <c r="B187" t="s">
        <v>24</v>
      </c>
      <c r="C187">
        <v>2</v>
      </c>
      <c r="D187">
        <v>4.4039999999999999</v>
      </c>
      <c r="E187">
        <v>6.4455</v>
      </c>
      <c r="F187">
        <v>36.813000000000002</v>
      </c>
      <c r="G187" s="12">
        <f t="shared" si="26"/>
        <v>1.9866499529927923</v>
      </c>
      <c r="H187">
        <v>6.7080000000000002</v>
      </c>
      <c r="I187">
        <v>7.3400000000000007E-2</v>
      </c>
      <c r="J187">
        <v>0.43519999999999998</v>
      </c>
      <c r="N187">
        <v>19.161000000000001</v>
      </c>
      <c r="O187">
        <v>3.5999999999999997E-2</v>
      </c>
      <c r="P187">
        <v>6.8099999999999994E-2</v>
      </c>
      <c r="R187">
        <v>2.863</v>
      </c>
      <c r="S187">
        <f t="shared" si="27"/>
        <v>1.9858156028368794</v>
      </c>
    </row>
    <row r="188" spans="1:19">
      <c r="A188" t="s">
        <v>239</v>
      </c>
      <c r="B188" t="s">
        <v>25</v>
      </c>
      <c r="C188">
        <v>2.5</v>
      </c>
      <c r="D188">
        <v>4.415</v>
      </c>
      <c r="E188">
        <v>8.3478999999999992</v>
      </c>
      <c r="F188">
        <v>45.683300000000003</v>
      </c>
      <c r="G188" s="12">
        <f t="shared" si="26"/>
        <v>2.5828267000940146</v>
      </c>
      <c r="H188">
        <v>6.7080000000000002</v>
      </c>
      <c r="I188">
        <v>1.3167</v>
      </c>
      <c r="J188">
        <v>0.64780000000000004</v>
      </c>
      <c r="N188">
        <v>19.167999999999999</v>
      </c>
      <c r="O188">
        <v>4.1200000000000001E-2</v>
      </c>
      <c r="P188">
        <v>7.5999999999999998E-2</v>
      </c>
      <c r="R188">
        <v>3.5779000000000001</v>
      </c>
      <c r="S188">
        <f t="shared" si="27"/>
        <v>2.5823112223612852</v>
      </c>
    </row>
    <row r="189" spans="1:19">
      <c r="A189" t="s">
        <v>239</v>
      </c>
      <c r="B189" t="s">
        <v>26</v>
      </c>
      <c r="C189">
        <v>3</v>
      </c>
      <c r="D189">
        <v>4.4180000000000001</v>
      </c>
      <c r="E189">
        <v>10.215</v>
      </c>
      <c r="F189">
        <v>56.2928</v>
      </c>
      <c r="G189" s="12">
        <f t="shared" si="26"/>
        <v>3.167941084299593</v>
      </c>
      <c r="H189">
        <v>6.7080000000000002</v>
      </c>
      <c r="I189">
        <v>0.69189999999999996</v>
      </c>
      <c r="J189">
        <v>0.58350000000000002</v>
      </c>
      <c r="R189">
        <v>4.2797000000000001</v>
      </c>
      <c r="S189">
        <f t="shared" si="27"/>
        <v>3.1678765123070507</v>
      </c>
    </row>
    <row r="190" spans="1:19">
      <c r="A190" t="s">
        <v>239</v>
      </c>
      <c r="B190" t="s">
        <v>27</v>
      </c>
      <c r="C190">
        <v>5</v>
      </c>
      <c r="D190">
        <v>4.4379999999999997</v>
      </c>
      <c r="E190">
        <v>15.979200000000001</v>
      </c>
      <c r="F190">
        <v>86.987399999999994</v>
      </c>
      <c r="G190" s="12">
        <f t="shared" si="26"/>
        <v>4.9743340645565661</v>
      </c>
      <c r="H190">
        <v>6.7149999999999999</v>
      </c>
      <c r="I190">
        <v>0.28939999999999999</v>
      </c>
      <c r="J190">
        <v>1.6164000000000001</v>
      </c>
      <c r="N190">
        <v>19.158000000000001</v>
      </c>
      <c r="O190">
        <v>5.0500000000000003E-2</v>
      </c>
      <c r="P190">
        <v>9.1399999999999995E-2</v>
      </c>
      <c r="R190">
        <v>6.4459999999999997</v>
      </c>
      <c r="S190">
        <f t="shared" si="27"/>
        <v>4.975385899040468</v>
      </c>
    </row>
    <row r="191" spans="1:19">
      <c r="A191" t="s">
        <v>239</v>
      </c>
      <c r="B191" t="s">
        <v>222</v>
      </c>
      <c r="C191">
        <v>5</v>
      </c>
      <c r="D191">
        <v>4.4379999999999997</v>
      </c>
      <c r="E191">
        <v>15.786</v>
      </c>
      <c r="F191">
        <v>85.302700000000002</v>
      </c>
      <c r="G191" s="12">
        <f t="shared" si="26"/>
        <v>4.9137887809464118</v>
      </c>
      <c r="H191">
        <v>6.7080000000000002</v>
      </c>
      <c r="I191">
        <v>0.30780000000000002</v>
      </c>
      <c r="J191">
        <v>1.724</v>
      </c>
      <c r="N191">
        <v>19.151</v>
      </c>
      <c r="O191">
        <v>3.8399999999999997E-2</v>
      </c>
      <c r="P191">
        <v>7.5700000000000003E-2</v>
      </c>
      <c r="R191">
        <v>6.3734000000000002</v>
      </c>
      <c r="S191">
        <f t="shared" si="27"/>
        <v>4.9148101793909058</v>
      </c>
    </row>
    <row r="192" spans="1:19">
      <c r="A192" t="s">
        <v>239</v>
      </c>
      <c r="B192" t="s">
        <v>19</v>
      </c>
      <c r="C192">
        <v>0</v>
      </c>
      <c r="D192">
        <v>4.4050000000000002</v>
      </c>
      <c r="E192">
        <v>8.8200000000000001E-2</v>
      </c>
      <c r="F192">
        <v>0.4768</v>
      </c>
      <c r="G192" s="12">
        <f t="shared" si="26"/>
        <v>-5.6095267941084302E-3</v>
      </c>
      <c r="H192">
        <v>6.9749999999999996</v>
      </c>
      <c r="I192">
        <v>39.653199999999998</v>
      </c>
      <c r="J192">
        <v>204.25829999999999</v>
      </c>
      <c r="K192">
        <v>11.611000000000001</v>
      </c>
      <c r="L192">
        <v>26.584499999999998</v>
      </c>
      <c r="M192">
        <v>90.295299999999997</v>
      </c>
      <c r="N192">
        <v>19.285</v>
      </c>
      <c r="O192">
        <v>0.17799999999999999</v>
      </c>
      <c r="P192">
        <v>0.33179999999999998</v>
      </c>
      <c r="R192">
        <v>0.47370000000000001</v>
      </c>
      <c r="S192">
        <f t="shared" si="27"/>
        <v>-7.7596996245306435E-3</v>
      </c>
    </row>
    <row r="193" spans="1:19">
      <c r="A193" t="s">
        <v>239</v>
      </c>
      <c r="B193" t="s">
        <v>20</v>
      </c>
      <c r="C193">
        <v>0</v>
      </c>
      <c r="D193">
        <v>4.3739999999999997</v>
      </c>
      <c r="E193">
        <v>0.1489</v>
      </c>
      <c r="F193">
        <v>0.70140000000000002</v>
      </c>
      <c r="G193" s="12">
        <f t="shared" si="26"/>
        <v>1.3412723284236918E-2</v>
      </c>
      <c r="H193">
        <v>6.8140000000000001</v>
      </c>
      <c r="I193">
        <v>39.217300000000002</v>
      </c>
      <c r="J193">
        <v>194.32939999999999</v>
      </c>
      <c r="K193">
        <v>11.507999999999999</v>
      </c>
      <c r="L193">
        <v>26.273800000000001</v>
      </c>
      <c r="M193">
        <v>90.173000000000002</v>
      </c>
      <c r="N193">
        <v>19.158000000000001</v>
      </c>
      <c r="O193">
        <v>0.17810000000000001</v>
      </c>
      <c r="P193">
        <v>0.33410000000000001</v>
      </c>
      <c r="R193">
        <v>0.4965</v>
      </c>
      <c r="S193">
        <f t="shared" si="27"/>
        <v>1.1264080100125168E-2</v>
      </c>
    </row>
    <row r="194" spans="1:19">
      <c r="A194" t="s">
        <v>239</v>
      </c>
      <c r="B194" t="s">
        <v>84</v>
      </c>
      <c r="C194">
        <v>0</v>
      </c>
      <c r="D194">
        <v>4.3739999999999997</v>
      </c>
      <c r="E194">
        <v>0.1164</v>
      </c>
      <c r="F194">
        <v>0.61899999999999999</v>
      </c>
      <c r="G194" s="12">
        <f t="shared" si="26"/>
        <v>3.2278282670009416E-3</v>
      </c>
      <c r="H194">
        <v>6.8040000000000003</v>
      </c>
      <c r="I194">
        <v>39.483699999999999</v>
      </c>
      <c r="J194">
        <v>192.6704</v>
      </c>
      <c r="K194">
        <v>11.500999999999999</v>
      </c>
      <c r="L194">
        <v>26.505800000000001</v>
      </c>
      <c r="M194">
        <v>90.421599999999998</v>
      </c>
      <c r="N194">
        <v>19.148</v>
      </c>
      <c r="O194">
        <v>0.18029999999999999</v>
      </c>
      <c r="P194">
        <v>0.33579999999999999</v>
      </c>
      <c r="R194">
        <v>0.48430000000000001</v>
      </c>
      <c r="S194">
        <f t="shared" si="27"/>
        <v>1.0846891948268864E-3</v>
      </c>
    </row>
    <row r="196" spans="1:19" ht="31">
      <c r="A196" s="10" t="s">
        <v>10</v>
      </c>
      <c r="B196" s="10" t="s">
        <v>15</v>
      </c>
      <c r="C196" s="10" t="s">
        <v>16</v>
      </c>
      <c r="D196" s="10" t="s">
        <v>2</v>
      </c>
      <c r="E196" s="10" t="s">
        <v>18</v>
      </c>
      <c r="F196" s="10" t="s">
        <v>17</v>
      </c>
      <c r="G196" s="208"/>
      <c r="H196" s="10" t="s">
        <v>2</v>
      </c>
      <c r="I196" s="10" t="s">
        <v>18</v>
      </c>
      <c r="J196" s="10" t="s">
        <v>17</v>
      </c>
      <c r="K196" s="10" t="s">
        <v>2</v>
      </c>
      <c r="L196" s="10" t="s">
        <v>18</v>
      </c>
      <c r="M196" s="10" t="s">
        <v>17</v>
      </c>
      <c r="N196" s="10" t="s">
        <v>2</v>
      </c>
      <c r="O196" s="10" t="s">
        <v>18</v>
      </c>
      <c r="P196" s="10" t="s">
        <v>17</v>
      </c>
      <c r="Q196" s="10" t="s">
        <v>252</v>
      </c>
      <c r="R196" s="215" t="s">
        <v>933</v>
      </c>
    </row>
    <row r="197" spans="1:19">
      <c r="A197" s="10"/>
      <c r="B197" s="10"/>
      <c r="C197" s="10"/>
      <c r="D197" s="10"/>
      <c r="E197" s="10"/>
      <c r="F197" s="10"/>
      <c r="G197" s="208"/>
      <c r="H197" s="10"/>
      <c r="I197" s="10"/>
      <c r="J197" s="10"/>
      <c r="K197" s="10"/>
      <c r="L197" s="10"/>
      <c r="M197" s="10"/>
      <c r="N197" s="10"/>
      <c r="O197" s="10"/>
      <c r="P197" s="10"/>
      <c r="Q197" s="10"/>
    </row>
    <row r="198" spans="1:19">
      <c r="A198" t="s">
        <v>250</v>
      </c>
      <c r="B198" t="s">
        <v>21</v>
      </c>
      <c r="C198">
        <v>0.5</v>
      </c>
      <c r="D198">
        <v>4.3940000000000001</v>
      </c>
      <c r="E198">
        <v>1.6288</v>
      </c>
      <c r="G198" s="12">
        <f>(E198+0.0848)/3.3937</f>
        <v>0.50493561599434245</v>
      </c>
      <c r="R198">
        <v>1.0527</v>
      </c>
      <c r="S198">
        <f>(R198-0.3735)/1.2862</f>
        <v>0.5280671746229203</v>
      </c>
    </row>
    <row r="199" spans="1:19">
      <c r="A199" t="s">
        <v>250</v>
      </c>
      <c r="B199" t="s">
        <v>22</v>
      </c>
      <c r="C199">
        <v>1</v>
      </c>
      <c r="D199">
        <v>4.391</v>
      </c>
      <c r="E199">
        <v>3.2164999999999999</v>
      </c>
      <c r="G199" s="12">
        <f t="shared" ref="G199:G207" si="28">(E199+0.0848)/3.3937</f>
        <v>0.97277307952971681</v>
      </c>
      <c r="R199">
        <v>1.6494</v>
      </c>
      <c r="S199">
        <f t="shared" ref="S199:S207" si="29">(R199-0.3735)/1.2862</f>
        <v>0.9919919141657596</v>
      </c>
    </row>
    <row r="200" spans="1:19">
      <c r="A200" t="s">
        <v>250</v>
      </c>
      <c r="B200" t="s">
        <v>24</v>
      </c>
      <c r="C200">
        <v>2</v>
      </c>
      <c r="D200">
        <v>4.4210000000000003</v>
      </c>
      <c r="E200">
        <v>6.6012000000000004</v>
      </c>
      <c r="G200" s="12">
        <f t="shared" si="28"/>
        <v>1.9701211067566375</v>
      </c>
      <c r="R200">
        <v>2.9215</v>
      </c>
      <c r="S200">
        <f t="shared" si="29"/>
        <v>1.9810293888975277</v>
      </c>
    </row>
    <row r="201" spans="1:19">
      <c r="A201" t="s">
        <v>250</v>
      </c>
      <c r="B201" t="s">
        <v>25</v>
      </c>
      <c r="C201">
        <v>2.5</v>
      </c>
      <c r="D201">
        <v>4.4279999999999999</v>
      </c>
      <c r="E201">
        <v>8.1674000000000007</v>
      </c>
      <c r="G201" s="12">
        <f t="shared" si="28"/>
        <v>2.4316233020007663</v>
      </c>
      <c r="R201">
        <v>3.5101</v>
      </c>
      <c r="S201">
        <f t="shared" si="29"/>
        <v>2.4386565075415954</v>
      </c>
    </row>
    <row r="202" spans="1:19">
      <c r="A202" t="s">
        <v>250</v>
      </c>
      <c r="B202" t="s">
        <v>26</v>
      </c>
      <c r="C202">
        <v>3</v>
      </c>
      <c r="D202">
        <v>4.4379999999999997</v>
      </c>
      <c r="E202">
        <v>10.6851</v>
      </c>
      <c r="G202" s="12">
        <f t="shared" si="28"/>
        <v>3.173497952087692</v>
      </c>
      <c r="H202">
        <v>7.0780000000000003</v>
      </c>
      <c r="I202">
        <v>1.9400000000000001E-2</v>
      </c>
      <c r="R202">
        <v>4.4562999999999997</v>
      </c>
      <c r="S202">
        <f t="shared" si="29"/>
        <v>3.1743119266055042</v>
      </c>
    </row>
    <row r="203" spans="1:19">
      <c r="A203" t="s">
        <v>250</v>
      </c>
      <c r="B203" t="s">
        <v>27</v>
      </c>
      <c r="C203">
        <v>5</v>
      </c>
      <c r="D203">
        <v>4.4539999999999997</v>
      </c>
      <c r="E203">
        <v>16.703600000000002</v>
      </c>
      <c r="G203" s="12">
        <f t="shared" si="28"/>
        <v>4.9469310781742646</v>
      </c>
      <c r="R203">
        <v>6.7182000000000004</v>
      </c>
      <c r="S203">
        <f t="shared" si="29"/>
        <v>4.9329031254859279</v>
      </c>
    </row>
    <row r="204" spans="1:19">
      <c r="A204" t="s">
        <v>250</v>
      </c>
      <c r="B204" t="s">
        <v>19</v>
      </c>
      <c r="C204">
        <v>0</v>
      </c>
      <c r="G204" s="12">
        <f t="shared" si="28"/>
        <v>2.4987476795238234E-2</v>
      </c>
      <c r="H204">
        <v>6.9539999999999997</v>
      </c>
      <c r="I204">
        <v>152.98769999999999</v>
      </c>
      <c r="K204">
        <v>11.926</v>
      </c>
      <c r="L204">
        <v>25.769200000000001</v>
      </c>
      <c r="R204">
        <v>0</v>
      </c>
      <c r="S204">
        <f t="shared" si="29"/>
        <v>-0.2903902969989115</v>
      </c>
    </row>
    <row r="205" spans="1:19">
      <c r="A205" t="s">
        <v>250</v>
      </c>
      <c r="B205" t="s">
        <v>20</v>
      </c>
      <c r="C205">
        <v>0</v>
      </c>
      <c r="D205">
        <v>4.3979999999999997</v>
      </c>
      <c r="E205">
        <v>5.9799999999999999E-2</v>
      </c>
      <c r="G205" s="12">
        <f t="shared" si="28"/>
        <v>4.2608362554144449E-2</v>
      </c>
      <c r="H205">
        <v>6.7939999999999996</v>
      </c>
      <c r="I205">
        <v>163.71770000000001</v>
      </c>
      <c r="R205">
        <v>0.46310000000000001</v>
      </c>
      <c r="S205">
        <f t="shared" si="29"/>
        <v>6.9662571917275706E-2</v>
      </c>
    </row>
    <row r="206" spans="1:19">
      <c r="A206" t="s">
        <v>250</v>
      </c>
      <c r="B206" t="s">
        <v>84</v>
      </c>
      <c r="C206">
        <v>0</v>
      </c>
      <c r="D206">
        <v>4.4050000000000002</v>
      </c>
      <c r="E206">
        <v>5.33E-2</v>
      </c>
      <c r="G206" s="12">
        <f t="shared" si="28"/>
        <v>4.0693048884698116E-2</v>
      </c>
      <c r="H206">
        <v>6.8150000000000004</v>
      </c>
      <c r="I206">
        <v>33.893500000000003</v>
      </c>
      <c r="R206">
        <v>0.46060000000000001</v>
      </c>
      <c r="S206">
        <f t="shared" si="29"/>
        <v>6.771886176333386E-2</v>
      </c>
    </row>
    <row r="207" spans="1:19">
      <c r="B207" t="s">
        <v>251</v>
      </c>
      <c r="C207">
        <v>0</v>
      </c>
      <c r="D207">
        <v>4.3979999999999997</v>
      </c>
      <c r="E207">
        <v>0.18740000000000001</v>
      </c>
      <c r="G207" s="12">
        <f t="shared" si="28"/>
        <v>8.0207443203583112E-2</v>
      </c>
      <c r="H207">
        <v>6.7910000000000004</v>
      </c>
      <c r="I207">
        <v>33.784599999999998</v>
      </c>
      <c r="R207">
        <v>0.51100000000000001</v>
      </c>
      <c r="S207">
        <f t="shared" si="29"/>
        <v>0.10690405846680144</v>
      </c>
    </row>
    <row r="209" spans="1:37" ht="31">
      <c r="A209" s="10" t="s">
        <v>10</v>
      </c>
      <c r="B209" s="10" t="s">
        <v>15</v>
      </c>
      <c r="C209" s="10" t="s">
        <v>16</v>
      </c>
      <c r="D209" s="10" t="s">
        <v>2</v>
      </c>
      <c r="E209" s="10" t="s">
        <v>18</v>
      </c>
      <c r="F209" s="10" t="s">
        <v>17</v>
      </c>
      <c r="G209" s="208"/>
      <c r="H209" s="10" t="s">
        <v>2</v>
      </c>
      <c r="I209" s="10" t="s">
        <v>18</v>
      </c>
      <c r="J209" s="10" t="s">
        <v>17</v>
      </c>
      <c r="K209" s="10" t="s">
        <v>2</v>
      </c>
      <c r="L209" s="10" t="s">
        <v>18</v>
      </c>
      <c r="M209" s="10" t="s">
        <v>17</v>
      </c>
      <c r="N209" s="10" t="s">
        <v>2</v>
      </c>
      <c r="O209" s="10" t="s">
        <v>18</v>
      </c>
      <c r="P209" s="10" t="s">
        <v>17</v>
      </c>
      <c r="Q209" s="10" t="s">
        <v>300</v>
      </c>
      <c r="R209" s="215" t="s">
        <v>933</v>
      </c>
    </row>
    <row r="210" spans="1:37">
      <c r="A210" s="10"/>
      <c r="B210" s="10"/>
      <c r="C210" s="10">
        <v>0</v>
      </c>
      <c r="D210" s="10"/>
      <c r="E210" s="10"/>
      <c r="F210" s="10">
        <v>0</v>
      </c>
      <c r="G210" s="208"/>
      <c r="H210" s="10"/>
      <c r="I210" s="10"/>
      <c r="J210" s="10"/>
      <c r="K210" s="10"/>
      <c r="L210" s="10"/>
      <c r="M210" s="10"/>
      <c r="N210" s="10"/>
      <c r="O210" s="10"/>
      <c r="P210" s="10"/>
      <c r="Q210" s="10"/>
    </row>
    <row r="211" spans="1:37">
      <c r="A211" t="s">
        <v>317</v>
      </c>
      <c r="B211" t="s">
        <v>21</v>
      </c>
      <c r="C211">
        <v>0.5</v>
      </c>
      <c r="D211">
        <v>4.3810000000000002</v>
      </c>
      <c r="E211">
        <v>1.6465000000000001</v>
      </c>
      <c r="F211">
        <v>8.7091999999999992</v>
      </c>
      <c r="G211" s="12">
        <f>(E211-0.0742)/3.3092</f>
        <v>0.47512994077118337</v>
      </c>
      <c r="H211">
        <v>6.6680000000000001</v>
      </c>
      <c r="I211">
        <v>0.42299999999999999</v>
      </c>
      <c r="J211">
        <v>2.4409000000000001</v>
      </c>
      <c r="K211">
        <v>11.398</v>
      </c>
      <c r="L211">
        <v>0.14069999999999999</v>
      </c>
      <c r="M211">
        <v>0.46629999999999999</v>
      </c>
      <c r="N211">
        <v>18.864999999999998</v>
      </c>
      <c r="O211">
        <v>4.6100000000000002E-2</v>
      </c>
      <c r="P211">
        <v>8.1299999999999997E-2</v>
      </c>
      <c r="R211">
        <v>1.0593999999999999</v>
      </c>
      <c r="S211">
        <f>(R211-0.4728)/1.2423</f>
        <v>0.47218868228286237</v>
      </c>
    </row>
    <row r="212" spans="1:37">
      <c r="A212" t="s">
        <v>317</v>
      </c>
      <c r="B212" t="s">
        <v>22</v>
      </c>
      <c r="C212">
        <v>1</v>
      </c>
      <c r="D212">
        <v>4.3879999999999999</v>
      </c>
      <c r="E212">
        <v>3.2728999999999999</v>
      </c>
      <c r="F212">
        <v>18.381799999999998</v>
      </c>
      <c r="G212" s="12">
        <f t="shared" ref="G212:G221" si="30">(E212-0.0742)/3.3092</f>
        <v>0.96660824368427412</v>
      </c>
      <c r="H212">
        <v>6.665</v>
      </c>
      <c r="I212">
        <v>0.28100000000000003</v>
      </c>
      <c r="J212">
        <v>1.6232</v>
      </c>
      <c r="N212">
        <v>18.867999999999999</v>
      </c>
      <c r="O212">
        <v>9.8100000000000007E-2</v>
      </c>
      <c r="P212">
        <v>0.18690000000000001</v>
      </c>
      <c r="Q212" t="s">
        <v>895</v>
      </c>
      <c r="R212">
        <v>1.6706000000000001</v>
      </c>
      <c r="S212">
        <f t="shared" ref="S212:S221" si="31">(R212-0.4728)/1.2423</f>
        <v>0.96417934476374467</v>
      </c>
    </row>
    <row r="213" spans="1:37">
      <c r="A213" t="s">
        <v>317</v>
      </c>
      <c r="B213" t="s">
        <v>23</v>
      </c>
      <c r="C213">
        <v>1.5</v>
      </c>
      <c r="D213">
        <v>4.3970000000000002</v>
      </c>
      <c r="E213">
        <v>5.2274000000000003</v>
      </c>
      <c r="F213">
        <v>28.443200000000001</v>
      </c>
      <c r="G213" s="12">
        <f t="shared" si="30"/>
        <v>1.5572343768886738</v>
      </c>
      <c r="H213">
        <v>6.6639999999999997</v>
      </c>
      <c r="I213">
        <v>1.155</v>
      </c>
      <c r="J213">
        <v>0.7087</v>
      </c>
      <c r="N213">
        <v>18.864000000000001</v>
      </c>
      <c r="O213">
        <v>9.9400000000000002E-2</v>
      </c>
      <c r="P213">
        <v>0.18720000000000001</v>
      </c>
      <c r="R213">
        <v>2.4051999999999998</v>
      </c>
      <c r="S213">
        <f t="shared" si="31"/>
        <v>1.5555018916525798</v>
      </c>
    </row>
    <row r="214" spans="1:37">
      <c r="A214" t="s">
        <v>317</v>
      </c>
      <c r="B214" t="s">
        <v>24</v>
      </c>
      <c r="C214">
        <v>2</v>
      </c>
      <c r="D214">
        <v>4.4039999999999999</v>
      </c>
      <c r="E214">
        <v>6.5811999999999999</v>
      </c>
      <c r="F214">
        <v>37.972900000000003</v>
      </c>
      <c r="G214" s="12">
        <f t="shared" si="30"/>
        <v>1.9663362746283088</v>
      </c>
      <c r="H214">
        <v>6.6639999999999997</v>
      </c>
      <c r="I214">
        <v>0.36349999999999999</v>
      </c>
      <c r="J214">
        <v>2.0731000000000002</v>
      </c>
      <c r="K214">
        <v>11.394</v>
      </c>
      <c r="L214">
        <v>0.17299999999999999</v>
      </c>
      <c r="M214">
        <v>0.57350000000000001</v>
      </c>
      <c r="N214">
        <v>18.870999999999999</v>
      </c>
      <c r="O214">
        <v>4.48E-2</v>
      </c>
      <c r="P214">
        <v>8.1199999999999994E-2</v>
      </c>
      <c r="R214">
        <v>2.9140000000000001</v>
      </c>
      <c r="S214">
        <f t="shared" si="31"/>
        <v>1.9650647991628434</v>
      </c>
    </row>
    <row r="215" spans="1:37">
      <c r="A215" t="s">
        <v>317</v>
      </c>
      <c r="B215" t="s">
        <v>25</v>
      </c>
      <c r="C215">
        <v>2.5</v>
      </c>
      <c r="D215">
        <v>4.4109999999999996</v>
      </c>
      <c r="E215">
        <v>8.0752000000000006</v>
      </c>
      <c r="F215">
        <v>46.704500000000003</v>
      </c>
      <c r="G215" s="12">
        <f t="shared" si="30"/>
        <v>2.4178049075305212</v>
      </c>
      <c r="H215">
        <v>6.6680000000000001</v>
      </c>
      <c r="I215">
        <v>0.44879999999999998</v>
      </c>
      <c r="J215">
        <v>2.5998999999999999</v>
      </c>
      <c r="K215">
        <v>11.398</v>
      </c>
      <c r="L215">
        <v>0.33079999999999998</v>
      </c>
      <c r="M215">
        <v>1.0965</v>
      </c>
      <c r="N215">
        <v>18.881</v>
      </c>
      <c r="O215">
        <v>6.0999999999999999E-2</v>
      </c>
      <c r="P215">
        <v>0.1144</v>
      </c>
      <c r="R215">
        <v>3.4754</v>
      </c>
      <c r="S215">
        <f t="shared" si="31"/>
        <v>2.4169685261209048</v>
      </c>
      <c r="AG215">
        <v>7</v>
      </c>
      <c r="AH215">
        <v>8</v>
      </c>
      <c r="AI215">
        <v>3</v>
      </c>
      <c r="AJ215">
        <v>8</v>
      </c>
      <c r="AK215">
        <v>3</v>
      </c>
    </row>
    <row r="216" spans="1:37">
      <c r="A216" t="s">
        <v>317</v>
      </c>
      <c r="B216" t="s">
        <v>26</v>
      </c>
      <c r="C216">
        <v>3</v>
      </c>
      <c r="D216">
        <v>4.4180000000000001</v>
      </c>
      <c r="E216">
        <v>10.583600000000001</v>
      </c>
      <c r="F216">
        <v>58.614699999999999</v>
      </c>
      <c r="G216" s="12">
        <f t="shared" si="30"/>
        <v>3.175812885289496</v>
      </c>
      <c r="H216">
        <v>6.6639999999999997</v>
      </c>
      <c r="I216">
        <v>0.96409999999999996</v>
      </c>
      <c r="J216">
        <v>0.60419999999999996</v>
      </c>
      <c r="R216">
        <v>4.4181999999999997</v>
      </c>
      <c r="S216">
        <f t="shared" si="31"/>
        <v>3.1758834420027369</v>
      </c>
      <c r="AG216" t="s">
        <v>341</v>
      </c>
      <c r="AH216" t="s">
        <v>342</v>
      </c>
      <c r="AI216" t="s">
        <v>343</v>
      </c>
      <c r="AJ216" t="s">
        <v>344</v>
      </c>
      <c r="AK216" t="s">
        <v>345</v>
      </c>
    </row>
    <row r="217" spans="1:37">
      <c r="A217" t="s">
        <v>317</v>
      </c>
      <c r="B217" t="s">
        <v>27</v>
      </c>
      <c r="C217">
        <v>5</v>
      </c>
      <c r="D217">
        <v>4.4379999999999997</v>
      </c>
      <c r="E217">
        <v>16.4251</v>
      </c>
      <c r="F217">
        <v>89.521600000000007</v>
      </c>
      <c r="G217" s="12">
        <f t="shared" si="30"/>
        <v>4.9410431524235463</v>
      </c>
      <c r="H217">
        <v>6.665</v>
      </c>
      <c r="I217">
        <v>0.28739999999999999</v>
      </c>
      <c r="J217">
        <v>1.6474</v>
      </c>
      <c r="N217">
        <v>18.878</v>
      </c>
      <c r="O217">
        <v>4.5400000000000003E-2</v>
      </c>
      <c r="P217">
        <v>8.6499999999999994E-2</v>
      </c>
      <c r="R217">
        <v>6.6135999999999999</v>
      </c>
      <c r="S217">
        <f t="shared" si="31"/>
        <v>4.9430894308943092</v>
      </c>
      <c r="AB217" t="s">
        <v>336</v>
      </c>
      <c r="AC217">
        <v>90.68</v>
      </c>
      <c r="AD217">
        <v>22.67</v>
      </c>
      <c r="AE217">
        <f>AD217/4</f>
        <v>5.6675000000000004</v>
      </c>
      <c r="AG217">
        <f>(AC217*$AG$215)+AD217</f>
        <v>657.43</v>
      </c>
      <c r="AH217">
        <f>(AC217*$AH$215)+AD217</f>
        <v>748.11</v>
      </c>
      <c r="AI217">
        <f>AI215*AC220</f>
        <v>4.1999999999999993</v>
      </c>
      <c r="AJ217">
        <f>(AD217*$AJ$215)+AE217</f>
        <v>187.0275</v>
      </c>
    </row>
    <row r="218" spans="1:37">
      <c r="A218" t="s">
        <v>317</v>
      </c>
      <c r="B218" t="s">
        <v>19</v>
      </c>
      <c r="C218">
        <v>0</v>
      </c>
      <c r="D218">
        <v>4.375</v>
      </c>
      <c r="E218">
        <v>0.18740000000000001</v>
      </c>
      <c r="F218">
        <v>0.40560000000000002</v>
      </c>
      <c r="G218" s="12">
        <f t="shared" si="30"/>
        <v>3.420766348362142E-2</v>
      </c>
      <c r="H218">
        <v>6.7709999999999999</v>
      </c>
      <c r="I218">
        <v>32.615400000000001</v>
      </c>
      <c r="J218">
        <v>157.71539999999999</v>
      </c>
      <c r="K218">
        <v>11.351000000000001</v>
      </c>
      <c r="L218">
        <v>25.8127</v>
      </c>
      <c r="M218">
        <v>90.363</v>
      </c>
      <c r="N218">
        <v>18.881</v>
      </c>
      <c r="O218">
        <v>0.29399999999999998</v>
      </c>
      <c r="P218">
        <v>0.55900000000000005</v>
      </c>
      <c r="R218">
        <v>0.51100000000000001</v>
      </c>
      <c r="S218">
        <f t="shared" si="31"/>
        <v>3.0749416405055151E-2</v>
      </c>
      <c r="AB218" t="s">
        <v>228</v>
      </c>
      <c r="AC218">
        <v>54.68</v>
      </c>
      <c r="AD218">
        <v>13.67</v>
      </c>
      <c r="AE218">
        <f>AD218/4</f>
        <v>3.4175</v>
      </c>
      <c r="AG218">
        <f t="shared" ref="AG218:AG219" si="32">(AC218*$AG$215)+AD218</f>
        <v>396.43</v>
      </c>
      <c r="AH218">
        <f t="shared" ref="AH218:AH220" si="33">(AC218*$AH$215)+AD218</f>
        <v>451.11</v>
      </c>
      <c r="AJ218">
        <f t="shared" ref="AJ218:AJ222" si="34">(AD218*$AJ$215)+AE218</f>
        <v>112.7775</v>
      </c>
    </row>
    <row r="219" spans="1:37">
      <c r="A219" t="s">
        <v>317</v>
      </c>
      <c r="B219" t="s">
        <v>20</v>
      </c>
      <c r="C219">
        <v>0</v>
      </c>
      <c r="D219">
        <v>4.3739999999999997</v>
      </c>
      <c r="E219">
        <v>6.59E-2</v>
      </c>
      <c r="F219">
        <v>0.35410000000000003</v>
      </c>
      <c r="G219" s="12">
        <f t="shared" si="30"/>
        <v>-2.508159071678956E-3</v>
      </c>
      <c r="H219">
        <v>6.7539999999999996</v>
      </c>
      <c r="I219">
        <v>32.8386</v>
      </c>
      <c r="J219">
        <v>157.31620000000001</v>
      </c>
      <c r="K219">
        <v>11.331</v>
      </c>
      <c r="L219">
        <v>25.855799999999999</v>
      </c>
      <c r="M219">
        <v>90.477800000000002</v>
      </c>
      <c r="N219">
        <v>18.864000000000001</v>
      </c>
      <c r="O219">
        <v>0.2964</v>
      </c>
      <c r="P219">
        <v>0.56310000000000004</v>
      </c>
      <c r="R219">
        <v>0.46539999999999998</v>
      </c>
      <c r="S219">
        <f t="shared" si="31"/>
        <v>-5.9566932302986542E-3</v>
      </c>
      <c r="AB219" t="s">
        <v>337</v>
      </c>
      <c r="AC219">
        <v>100.5</v>
      </c>
      <c r="AD219">
        <v>25.13</v>
      </c>
      <c r="AE219">
        <f>AD219/4</f>
        <v>6.2824999999999998</v>
      </c>
      <c r="AG219">
        <f t="shared" si="32"/>
        <v>728.63</v>
      </c>
      <c r="AH219">
        <f t="shared" si="33"/>
        <v>829.13</v>
      </c>
      <c r="AJ219">
        <f t="shared" si="34"/>
        <v>207.32249999999999</v>
      </c>
    </row>
    <row r="220" spans="1:37">
      <c r="A220" t="s">
        <v>317</v>
      </c>
      <c r="B220" t="s">
        <v>84</v>
      </c>
      <c r="C220">
        <v>0</v>
      </c>
      <c r="D220">
        <v>4.3810000000000002</v>
      </c>
      <c r="E220">
        <v>5.6899999999999999E-2</v>
      </c>
      <c r="F220">
        <v>0.26629999999999998</v>
      </c>
      <c r="G220" s="12">
        <f t="shared" si="30"/>
        <v>-5.2278496313308363E-3</v>
      </c>
      <c r="H220">
        <v>6.7409999999999997</v>
      </c>
      <c r="I220">
        <v>33.558100000000003</v>
      </c>
      <c r="J220">
        <v>159.3167</v>
      </c>
      <c r="K220">
        <v>11.321</v>
      </c>
      <c r="L220">
        <v>26.588100000000001</v>
      </c>
      <c r="M220">
        <v>92.746899999999997</v>
      </c>
      <c r="N220">
        <v>18.858000000000001</v>
      </c>
      <c r="O220">
        <v>0.31509999999999999</v>
      </c>
      <c r="P220">
        <v>0.5978</v>
      </c>
      <c r="R220">
        <v>0.46200000000000002</v>
      </c>
      <c r="S220">
        <f t="shared" si="31"/>
        <v>-8.6935522820574557E-3</v>
      </c>
      <c r="AB220" t="s">
        <v>338</v>
      </c>
      <c r="AC220">
        <v>1.4</v>
      </c>
      <c r="AD220">
        <v>0.35</v>
      </c>
      <c r="AE220">
        <v>0.35</v>
      </c>
      <c r="AH220">
        <f t="shared" si="33"/>
        <v>11.549999999999999</v>
      </c>
    </row>
    <row r="221" spans="1:37">
      <c r="A221" t="s">
        <v>317</v>
      </c>
      <c r="B221" t="s">
        <v>251</v>
      </c>
      <c r="C221">
        <v>0</v>
      </c>
      <c r="D221">
        <v>4.3780000000000001</v>
      </c>
      <c r="E221">
        <v>5.5800000000000002E-2</v>
      </c>
      <c r="F221">
        <v>0.26450000000000001</v>
      </c>
      <c r="G221" s="12">
        <f t="shared" si="30"/>
        <v>-5.5602562552882866E-3</v>
      </c>
      <c r="H221">
        <v>6.7409999999999997</v>
      </c>
      <c r="I221">
        <v>33.537799999999997</v>
      </c>
      <c r="J221">
        <v>159.3742</v>
      </c>
      <c r="K221">
        <v>11.321</v>
      </c>
      <c r="L221">
        <v>26.584299999999999</v>
      </c>
      <c r="M221">
        <v>92.676100000000005</v>
      </c>
      <c r="N221">
        <v>18.855</v>
      </c>
      <c r="O221">
        <v>0.31219999999999998</v>
      </c>
      <c r="P221">
        <v>0.59040000000000004</v>
      </c>
      <c r="Q221" t="s">
        <v>293</v>
      </c>
      <c r="R221">
        <v>0.46160000000000001</v>
      </c>
      <c r="S221">
        <f t="shared" si="31"/>
        <v>-9.0155356999114446E-3</v>
      </c>
      <c r="AB221" t="s">
        <v>339</v>
      </c>
      <c r="AD221">
        <v>1.98</v>
      </c>
      <c r="AJ221">
        <f t="shared" si="34"/>
        <v>15.84</v>
      </c>
      <c r="AK221">
        <f>AK215*AD221</f>
        <v>5.9399999999999995</v>
      </c>
    </row>
    <row r="222" spans="1:37">
      <c r="B222">
        <v>0</v>
      </c>
      <c r="C222">
        <v>0</v>
      </c>
      <c r="I222">
        <v>0</v>
      </c>
      <c r="O222">
        <v>0</v>
      </c>
      <c r="AB222" t="s">
        <v>340</v>
      </c>
      <c r="AD222">
        <v>0.59099999999999997</v>
      </c>
      <c r="AJ222">
        <f t="shared" si="34"/>
        <v>4.7279999999999998</v>
      </c>
      <c r="AK222">
        <f>AK215*AD222</f>
        <v>1.7729999999999999</v>
      </c>
    </row>
    <row r="223" spans="1:37">
      <c r="A223" t="s">
        <v>317</v>
      </c>
      <c r="B223" t="s">
        <v>282</v>
      </c>
      <c r="C223">
        <v>1</v>
      </c>
      <c r="H223">
        <v>6.6639999999999997</v>
      </c>
      <c r="I223">
        <v>1.9668000000000001</v>
      </c>
      <c r="J223">
        <v>11.263400000000001</v>
      </c>
      <c r="N223">
        <v>18.847999999999999</v>
      </c>
      <c r="O223">
        <v>1.4109</v>
      </c>
      <c r="P223">
        <v>2.6956000000000002</v>
      </c>
      <c r="Q223" t="s">
        <v>295</v>
      </c>
    </row>
    <row r="224" spans="1:37">
      <c r="A224" t="s">
        <v>317</v>
      </c>
      <c r="B224" t="s">
        <v>283</v>
      </c>
      <c r="C224">
        <v>5</v>
      </c>
      <c r="H224">
        <v>6.6849999999999996</v>
      </c>
      <c r="I224">
        <v>11.462</v>
      </c>
      <c r="J224">
        <v>65.811999999999998</v>
      </c>
      <c r="N224">
        <v>18.811</v>
      </c>
      <c r="O224">
        <v>7.1562999999999999</v>
      </c>
      <c r="P224">
        <v>14.0768</v>
      </c>
    </row>
    <row r="225" spans="1:19">
      <c r="A225" t="s">
        <v>317</v>
      </c>
      <c r="B225" t="s">
        <v>284</v>
      </c>
      <c r="C225">
        <v>10</v>
      </c>
      <c r="H225">
        <v>6.7039999999999997</v>
      </c>
      <c r="I225">
        <v>27.633400000000002</v>
      </c>
      <c r="J225">
        <v>147.8879</v>
      </c>
      <c r="N225">
        <v>18.754000000000001</v>
      </c>
      <c r="O225">
        <v>16.5915</v>
      </c>
      <c r="P225">
        <v>33.1937</v>
      </c>
      <c r="Q225" t="s">
        <v>294</v>
      </c>
    </row>
    <row r="226" spans="1:19">
      <c r="A226" t="s">
        <v>317</v>
      </c>
      <c r="B226" t="s">
        <v>285</v>
      </c>
      <c r="C226">
        <v>20</v>
      </c>
      <c r="H226">
        <v>6.7309999999999999</v>
      </c>
      <c r="I226">
        <v>47.516399999999997</v>
      </c>
      <c r="J226">
        <v>238.14490000000001</v>
      </c>
      <c r="N226">
        <v>18.687999999999999</v>
      </c>
      <c r="O226">
        <v>29.835699999999999</v>
      </c>
      <c r="P226">
        <v>59.450600000000001</v>
      </c>
      <c r="Q226" t="s">
        <v>296</v>
      </c>
    </row>
    <row r="227" spans="1:19">
      <c r="A227" t="s">
        <v>317</v>
      </c>
      <c r="B227" t="s">
        <v>286</v>
      </c>
      <c r="C227">
        <v>40</v>
      </c>
      <c r="H227">
        <v>6.8140000000000001</v>
      </c>
      <c r="I227">
        <v>115.07340000000001</v>
      </c>
      <c r="J227">
        <v>439.96100000000001</v>
      </c>
      <c r="N227">
        <v>18.501000000000001</v>
      </c>
      <c r="O227">
        <v>76.112300000000005</v>
      </c>
      <c r="P227">
        <v>141.0213</v>
      </c>
    </row>
    <row r="228" spans="1:19">
      <c r="A228" t="s">
        <v>317</v>
      </c>
      <c r="B228" t="s">
        <v>287</v>
      </c>
      <c r="C228">
        <v>60</v>
      </c>
      <c r="H228">
        <v>6.8780000000000001</v>
      </c>
      <c r="I228">
        <v>174.03460000000001</v>
      </c>
      <c r="J228">
        <v>569.08529999999996</v>
      </c>
      <c r="N228">
        <v>18.370999999999999</v>
      </c>
      <c r="O228">
        <v>115.1576</v>
      </c>
      <c r="P228">
        <v>198.49199999999999</v>
      </c>
    </row>
    <row r="229" spans="1:19">
      <c r="A229" t="s">
        <v>317</v>
      </c>
      <c r="B229" t="s">
        <v>288</v>
      </c>
      <c r="C229">
        <v>80</v>
      </c>
      <c r="H229">
        <v>6.9279999999999999</v>
      </c>
      <c r="I229">
        <v>229.47839999999999</v>
      </c>
      <c r="J229">
        <v>672.01490000000001</v>
      </c>
      <c r="N229">
        <v>18.268000000000001</v>
      </c>
      <c r="O229">
        <v>154.78370000000001</v>
      </c>
      <c r="P229">
        <v>248.84630000000001</v>
      </c>
    </row>
    <row r="231" spans="1:19" ht="31">
      <c r="A231" s="10" t="s">
        <v>10</v>
      </c>
      <c r="B231" s="10" t="s">
        <v>15</v>
      </c>
      <c r="C231" s="10" t="s">
        <v>16</v>
      </c>
      <c r="D231" s="10" t="s">
        <v>2</v>
      </c>
      <c r="E231" s="10" t="s">
        <v>18</v>
      </c>
      <c r="F231" s="10" t="s">
        <v>17</v>
      </c>
      <c r="G231" s="208"/>
      <c r="H231" s="10" t="s">
        <v>2</v>
      </c>
      <c r="I231" s="10" t="s">
        <v>18</v>
      </c>
      <c r="J231" s="10" t="s">
        <v>17</v>
      </c>
      <c r="K231" s="10" t="s">
        <v>2</v>
      </c>
      <c r="L231" s="10" t="s">
        <v>18</v>
      </c>
      <c r="M231" s="10" t="s">
        <v>17</v>
      </c>
      <c r="N231" s="10" t="s">
        <v>2</v>
      </c>
      <c r="O231" s="10" t="s">
        <v>18</v>
      </c>
      <c r="P231" s="10" t="s">
        <v>17</v>
      </c>
      <c r="Q231" s="10" t="s">
        <v>330</v>
      </c>
      <c r="R231" s="215" t="s">
        <v>931</v>
      </c>
    </row>
    <row r="232" spans="1:19">
      <c r="A232" s="10"/>
      <c r="B232" s="10"/>
      <c r="C232" s="10">
        <v>0</v>
      </c>
      <c r="D232" s="10"/>
      <c r="E232" s="10"/>
      <c r="F232" s="10">
        <v>0</v>
      </c>
      <c r="G232" s="208"/>
      <c r="H232" s="10"/>
      <c r="I232" s="10"/>
      <c r="J232" s="10"/>
      <c r="K232" s="10"/>
      <c r="L232" s="10"/>
      <c r="M232" s="10"/>
      <c r="N232" s="10"/>
      <c r="O232" s="10"/>
      <c r="P232" s="10"/>
      <c r="Q232" s="10"/>
    </row>
    <row r="233" spans="1:19">
      <c r="A233" t="s">
        <v>325</v>
      </c>
      <c r="B233" t="s">
        <v>21</v>
      </c>
      <c r="C233">
        <v>0.5</v>
      </c>
      <c r="D233">
        <v>4.3739999999999997</v>
      </c>
      <c r="E233">
        <v>1.6709000000000001</v>
      </c>
      <c r="F233">
        <v>7.431</v>
      </c>
      <c r="G233" s="12">
        <f>(E233+0.3104)/3.4039</f>
        <v>0.58206762830870473</v>
      </c>
      <c r="H233">
        <v>6.5940000000000003</v>
      </c>
      <c r="I233">
        <v>0.26490000000000002</v>
      </c>
      <c r="J233">
        <v>1.4053</v>
      </c>
      <c r="N233">
        <v>18.428000000000001</v>
      </c>
      <c r="O233">
        <v>6.2600000000000003E-2</v>
      </c>
      <c r="P233">
        <v>0.1207</v>
      </c>
      <c r="R233">
        <v>1.0685</v>
      </c>
      <c r="S233">
        <f>(R233-0.2142)/1.3271</f>
        <v>0.64373445859392664</v>
      </c>
    </row>
    <row r="234" spans="1:19">
      <c r="A234" t="s">
        <v>325</v>
      </c>
      <c r="B234" t="s">
        <v>22</v>
      </c>
      <c r="C234">
        <v>1</v>
      </c>
      <c r="D234">
        <v>4.3810000000000002</v>
      </c>
      <c r="E234">
        <v>1.6709000000000001</v>
      </c>
      <c r="F234">
        <v>7.431</v>
      </c>
      <c r="G234" s="12">
        <f t="shared" ref="G234:G243" si="35">(E234+0.3104)/3.4039</f>
        <v>0.58206762830870473</v>
      </c>
      <c r="H234">
        <v>6.5949999999999998</v>
      </c>
      <c r="I234">
        <v>0.38009999999999999</v>
      </c>
      <c r="J234">
        <v>2.0125000000000002</v>
      </c>
      <c r="N234">
        <v>18.414999999999999</v>
      </c>
      <c r="O234">
        <v>0.122</v>
      </c>
      <c r="P234">
        <v>0.22869999999999999</v>
      </c>
      <c r="R234">
        <v>1.6529</v>
      </c>
      <c r="S234">
        <f t="shared" ref="S234:S244" si="36">(R234-0.2142)/1.3271</f>
        <v>1.0840931354080328</v>
      </c>
    </row>
    <row r="235" spans="1:19">
      <c r="A235" t="s">
        <v>325</v>
      </c>
      <c r="B235" t="s">
        <v>23</v>
      </c>
      <c r="C235">
        <v>1.5</v>
      </c>
      <c r="D235">
        <v>4.3879999999999999</v>
      </c>
      <c r="E235">
        <v>5.0857000000000001</v>
      </c>
      <c r="F235">
        <v>23.348700000000001</v>
      </c>
      <c r="G235" s="12">
        <f t="shared" si="35"/>
        <v>1.5852698375392933</v>
      </c>
      <c r="H235">
        <v>6.5910000000000002</v>
      </c>
      <c r="I235">
        <v>1.4498</v>
      </c>
      <c r="J235">
        <v>0.88729999999999998</v>
      </c>
      <c r="N235">
        <v>18.411000000000001</v>
      </c>
      <c r="O235">
        <v>0.15809999999999999</v>
      </c>
      <c r="P235">
        <v>0.29580000000000001</v>
      </c>
      <c r="Q235" t="s">
        <v>896</v>
      </c>
      <c r="R235">
        <v>2.3519000000000001</v>
      </c>
      <c r="S235">
        <f t="shared" si="36"/>
        <v>1.610805515786301</v>
      </c>
    </row>
    <row r="236" spans="1:19">
      <c r="A236" t="s">
        <v>325</v>
      </c>
      <c r="B236" t="s">
        <v>24</v>
      </c>
      <c r="C236">
        <v>2</v>
      </c>
      <c r="D236">
        <v>4.3940000000000001</v>
      </c>
      <c r="E236">
        <v>6.3135000000000003</v>
      </c>
      <c r="F236">
        <v>31.286899999999999</v>
      </c>
      <c r="G236" s="12">
        <f t="shared" si="35"/>
        <v>1.9459737360086962</v>
      </c>
      <c r="H236">
        <v>6.5940000000000003</v>
      </c>
      <c r="I236">
        <v>0.5232</v>
      </c>
      <c r="J236">
        <v>2.3262999999999998</v>
      </c>
      <c r="N236">
        <v>18.401</v>
      </c>
      <c r="O236">
        <v>3.9399999999999998E-2</v>
      </c>
      <c r="P236">
        <v>7.3099999999999998E-2</v>
      </c>
      <c r="R236">
        <v>2.8132999999999999</v>
      </c>
      <c r="S236">
        <f t="shared" si="36"/>
        <v>1.9584808981990807</v>
      </c>
    </row>
    <row r="237" spans="1:19">
      <c r="A237" t="s">
        <v>325</v>
      </c>
      <c r="B237" t="s">
        <v>25</v>
      </c>
      <c r="C237">
        <v>2.5</v>
      </c>
      <c r="D237">
        <v>4.3979999999999997</v>
      </c>
      <c r="E237">
        <v>9.3925999999999998</v>
      </c>
      <c r="F237">
        <v>38.985300000000002</v>
      </c>
      <c r="G237" s="12">
        <f t="shared" si="35"/>
        <v>2.8505537765504272</v>
      </c>
      <c r="H237">
        <v>6.5940000000000003</v>
      </c>
      <c r="I237">
        <v>0.8226</v>
      </c>
      <c r="J237">
        <v>3.9119999999999999</v>
      </c>
      <c r="N237">
        <v>18.411000000000001</v>
      </c>
      <c r="O237">
        <v>0.1045</v>
      </c>
      <c r="P237">
        <v>0.19359999999999999</v>
      </c>
      <c r="R237">
        <v>3.9706000000000001</v>
      </c>
      <c r="S237">
        <f t="shared" si="36"/>
        <v>2.8305327405621283</v>
      </c>
    </row>
    <row r="238" spans="1:19">
      <c r="A238" t="s">
        <v>325</v>
      </c>
      <c r="B238" t="s">
        <v>26</v>
      </c>
      <c r="C238">
        <v>3</v>
      </c>
      <c r="D238">
        <v>4.4050000000000002</v>
      </c>
      <c r="E238">
        <v>10.3947</v>
      </c>
      <c r="F238">
        <v>49.900300000000001</v>
      </c>
      <c r="G238" s="12">
        <f t="shared" si="35"/>
        <v>3.1449513793002142</v>
      </c>
      <c r="H238">
        <v>6.5910000000000002</v>
      </c>
      <c r="I238">
        <v>1.4003000000000001</v>
      </c>
      <c r="J238">
        <v>0.70350000000000001</v>
      </c>
      <c r="R238">
        <v>4.3472</v>
      </c>
      <c r="S238">
        <f t="shared" si="36"/>
        <v>3.1143093964283026</v>
      </c>
    </row>
    <row r="239" spans="1:19">
      <c r="A239" t="s">
        <v>325</v>
      </c>
      <c r="B239" t="s">
        <v>27</v>
      </c>
      <c r="C239">
        <v>5</v>
      </c>
      <c r="D239">
        <v>4.4210000000000003</v>
      </c>
      <c r="E239">
        <v>16.0596</v>
      </c>
      <c r="F239">
        <v>78.907899999999998</v>
      </c>
      <c r="G239" s="12">
        <f t="shared" si="35"/>
        <v>4.809189459149799</v>
      </c>
      <c r="H239">
        <v>6.5949999999999998</v>
      </c>
      <c r="I239">
        <v>0.28689999999999999</v>
      </c>
      <c r="J239">
        <v>1.5361</v>
      </c>
      <c r="N239">
        <v>18.414999999999999</v>
      </c>
      <c r="O239">
        <v>5.1999999999999998E-2</v>
      </c>
      <c r="P239">
        <v>9.9299999999999999E-2</v>
      </c>
      <c r="R239">
        <v>6.4762000000000004</v>
      </c>
      <c r="S239">
        <f t="shared" si="36"/>
        <v>4.7185592645618275</v>
      </c>
    </row>
    <row r="240" spans="1:19">
      <c r="A240" t="s">
        <v>325</v>
      </c>
      <c r="B240" t="s">
        <v>19</v>
      </c>
      <c r="C240">
        <v>0</v>
      </c>
      <c r="G240" s="12">
        <f t="shared" si="35"/>
        <v>9.1189517905931425E-2</v>
      </c>
      <c r="H240">
        <v>6.6180000000000003</v>
      </c>
      <c r="I240">
        <v>0.12039999999999999</v>
      </c>
      <c r="J240">
        <v>0.2266</v>
      </c>
      <c r="K240">
        <v>11.180999999999999</v>
      </c>
      <c r="L240">
        <v>0.20039999999999999</v>
      </c>
      <c r="M240">
        <v>0.65129999999999999</v>
      </c>
      <c r="N240">
        <v>16.291</v>
      </c>
      <c r="O240">
        <v>4.5100000000000001E-2</v>
      </c>
      <c r="P240">
        <v>8.3699999999999997E-2</v>
      </c>
      <c r="R240">
        <v>0</v>
      </c>
      <c r="S240">
        <f t="shared" si="36"/>
        <v>-0.16140456634767539</v>
      </c>
    </row>
    <row r="241" spans="1:37">
      <c r="A241" t="s">
        <v>325</v>
      </c>
      <c r="B241" t="s">
        <v>20</v>
      </c>
      <c r="C241">
        <v>0</v>
      </c>
      <c r="G241" s="12">
        <f t="shared" si="35"/>
        <v>9.1189517905931425E-2</v>
      </c>
      <c r="H241">
        <v>6.5940000000000003</v>
      </c>
      <c r="I241">
        <v>0.95830000000000004</v>
      </c>
      <c r="J241">
        <v>0.62260000000000004</v>
      </c>
      <c r="K241">
        <v>11.178000000000001</v>
      </c>
      <c r="L241">
        <v>0.2283</v>
      </c>
      <c r="M241">
        <v>0.74180000000000001</v>
      </c>
      <c r="R241">
        <v>0</v>
      </c>
      <c r="S241">
        <f t="shared" si="36"/>
        <v>-0.16140456634767539</v>
      </c>
    </row>
    <row r="242" spans="1:37">
      <c r="A242" t="s">
        <v>325</v>
      </c>
      <c r="B242" t="s">
        <v>329</v>
      </c>
      <c r="C242">
        <v>0</v>
      </c>
      <c r="G242" s="12">
        <f t="shared" si="35"/>
        <v>9.1189517905931425E-2</v>
      </c>
      <c r="H242">
        <v>6.5910000000000002</v>
      </c>
      <c r="I242">
        <v>2.0476000000000001</v>
      </c>
      <c r="J242">
        <v>10.9512</v>
      </c>
      <c r="K242">
        <v>11.154</v>
      </c>
      <c r="L242">
        <v>0.49020000000000002</v>
      </c>
      <c r="M242">
        <v>1.6029</v>
      </c>
      <c r="N242">
        <v>18.390999999999998</v>
      </c>
      <c r="O242">
        <v>0.58409999999999995</v>
      </c>
      <c r="P242">
        <v>1.0824</v>
      </c>
      <c r="R242">
        <v>0</v>
      </c>
      <c r="S242">
        <f t="shared" si="36"/>
        <v>-0.16140456634767539</v>
      </c>
    </row>
    <row r="243" spans="1:37">
      <c r="A243" t="s">
        <v>325</v>
      </c>
      <c r="B243" t="s">
        <v>328</v>
      </c>
      <c r="C243">
        <v>0</v>
      </c>
      <c r="D243">
        <v>4.3680000000000003</v>
      </c>
      <c r="E243">
        <v>5.3199999999999997E-2</v>
      </c>
      <c r="F243">
        <v>0.20569999999999999</v>
      </c>
      <c r="G243" s="12">
        <f t="shared" si="35"/>
        <v>0.10681864919650989</v>
      </c>
      <c r="H243">
        <v>6.585</v>
      </c>
      <c r="I243">
        <v>0.61040000000000005</v>
      </c>
      <c r="J243">
        <v>2.8416000000000001</v>
      </c>
      <c r="K243">
        <v>11.154999999999999</v>
      </c>
      <c r="L243">
        <v>0.50929999999999997</v>
      </c>
      <c r="M243">
        <v>1.6631</v>
      </c>
      <c r="N243">
        <v>18.395</v>
      </c>
      <c r="O243">
        <v>0.2218</v>
      </c>
      <c r="P243">
        <v>0.41489999999999999</v>
      </c>
      <c r="R243">
        <v>0.46060000000000001</v>
      </c>
      <c r="S243">
        <f t="shared" si="36"/>
        <v>0.18566799789013641</v>
      </c>
    </row>
    <row r="244" spans="1:37">
      <c r="A244" t="s">
        <v>326</v>
      </c>
      <c r="B244" t="s">
        <v>327</v>
      </c>
      <c r="C244">
        <v>0</v>
      </c>
      <c r="R244">
        <v>0</v>
      </c>
      <c r="S244">
        <f t="shared" si="36"/>
        <v>-0.16140456634767539</v>
      </c>
    </row>
    <row r="245" spans="1:37">
      <c r="B245">
        <v>0</v>
      </c>
      <c r="C245">
        <v>0</v>
      </c>
      <c r="I245">
        <v>0</v>
      </c>
      <c r="O245">
        <v>0</v>
      </c>
      <c r="Q245" t="s">
        <v>331</v>
      </c>
    </row>
    <row r="246" spans="1:37">
      <c r="A246" t="s">
        <v>325</v>
      </c>
      <c r="B246" t="s">
        <v>283</v>
      </c>
      <c r="C246">
        <v>5</v>
      </c>
      <c r="H246">
        <v>6.6109999999999998</v>
      </c>
      <c r="I246">
        <v>13.7662</v>
      </c>
      <c r="J246">
        <v>72.7547</v>
      </c>
      <c r="K246">
        <v>11.157999999999999</v>
      </c>
      <c r="L246">
        <v>0.36270000000000002</v>
      </c>
      <c r="M246">
        <v>1.1779999999999999</v>
      </c>
      <c r="N246">
        <v>18.350999999999999</v>
      </c>
      <c r="O246">
        <v>7.7262000000000004</v>
      </c>
      <c r="P246">
        <v>15.033200000000001</v>
      </c>
      <c r="Q246" t="s">
        <v>332</v>
      </c>
    </row>
    <row r="247" spans="1:37">
      <c r="A247" t="s">
        <v>325</v>
      </c>
      <c r="B247" t="s">
        <v>285</v>
      </c>
      <c r="C247">
        <v>20</v>
      </c>
      <c r="H247">
        <v>6.6609999999999996</v>
      </c>
      <c r="I247">
        <v>53.833599999999997</v>
      </c>
      <c r="J247">
        <v>262.12</v>
      </c>
      <c r="K247">
        <v>11.148</v>
      </c>
      <c r="L247">
        <v>0.1968</v>
      </c>
      <c r="M247">
        <v>0.63719999999999999</v>
      </c>
      <c r="N247">
        <v>18.221</v>
      </c>
      <c r="O247">
        <v>33.367600000000003</v>
      </c>
      <c r="P247">
        <v>65.366500000000002</v>
      </c>
      <c r="Q247" t="s">
        <v>333</v>
      </c>
    </row>
    <row r="248" spans="1:37">
      <c r="A248" t="s">
        <v>325</v>
      </c>
      <c r="B248" t="s">
        <v>286</v>
      </c>
      <c r="C248">
        <v>40</v>
      </c>
      <c r="H248">
        <v>6.7279999999999998</v>
      </c>
      <c r="I248">
        <v>116.2546</v>
      </c>
      <c r="J248">
        <v>445.94630000000001</v>
      </c>
      <c r="K248">
        <v>11.141</v>
      </c>
      <c r="L248">
        <v>0.26490000000000002</v>
      </c>
      <c r="M248">
        <v>0.85319999999999996</v>
      </c>
      <c r="N248">
        <v>18.065000000000001</v>
      </c>
      <c r="O248">
        <v>76.029799999999994</v>
      </c>
      <c r="P248">
        <v>139.77090000000001</v>
      </c>
      <c r="Q248" t="s">
        <v>334</v>
      </c>
    </row>
    <row r="250" spans="1:37" ht="31">
      <c r="A250" s="10" t="s">
        <v>10</v>
      </c>
      <c r="B250" s="10" t="s">
        <v>15</v>
      </c>
      <c r="C250" s="10" t="s">
        <v>16</v>
      </c>
      <c r="D250" s="10" t="s">
        <v>2</v>
      </c>
      <c r="E250" s="10" t="s">
        <v>18</v>
      </c>
      <c r="F250" s="10" t="s">
        <v>17</v>
      </c>
      <c r="G250" s="208"/>
      <c r="H250" s="10" t="s">
        <v>2</v>
      </c>
      <c r="I250" s="10" t="s">
        <v>18</v>
      </c>
      <c r="J250" s="10" t="s">
        <v>17</v>
      </c>
      <c r="K250" s="10" t="s">
        <v>2</v>
      </c>
      <c r="L250" s="10" t="s">
        <v>18</v>
      </c>
      <c r="M250" s="10" t="s">
        <v>17</v>
      </c>
      <c r="N250" s="10" t="s">
        <v>2</v>
      </c>
      <c r="O250" s="10" t="s">
        <v>18</v>
      </c>
      <c r="P250" s="10" t="s">
        <v>17</v>
      </c>
      <c r="Q250" s="10" t="s">
        <v>349</v>
      </c>
      <c r="R250" s="215" t="s">
        <v>937</v>
      </c>
      <c r="AK250" t="s">
        <v>423</v>
      </c>
    </row>
    <row r="251" spans="1:37">
      <c r="A251" s="10"/>
      <c r="B251" s="10"/>
      <c r="C251" s="10">
        <v>0</v>
      </c>
      <c r="D251" s="10"/>
      <c r="E251" s="10">
        <v>0</v>
      </c>
      <c r="F251" s="10">
        <v>0</v>
      </c>
      <c r="G251" s="208"/>
      <c r="H251" s="10"/>
      <c r="I251" s="10"/>
      <c r="J251" s="10"/>
      <c r="K251" s="10"/>
      <c r="L251" s="10"/>
      <c r="M251" s="10"/>
      <c r="N251" s="10"/>
      <c r="O251" s="10"/>
      <c r="P251" s="10"/>
      <c r="Q251" s="10"/>
    </row>
    <row r="252" spans="1:37">
      <c r="A252" t="s">
        <v>335</v>
      </c>
      <c r="B252" t="s">
        <v>21</v>
      </c>
      <c r="C252">
        <v>0.5</v>
      </c>
      <c r="D252">
        <v>4.391</v>
      </c>
      <c r="E252">
        <v>1.6072</v>
      </c>
      <c r="F252">
        <v>5.6893000000000002</v>
      </c>
      <c r="G252" s="12">
        <f>(E252-0.0771)/3.304</f>
        <v>0.46310532687651335</v>
      </c>
      <c r="H252">
        <v>6.5979999999999999</v>
      </c>
      <c r="I252">
        <v>0.26669999999999999</v>
      </c>
      <c r="J252">
        <v>1.4308000000000001</v>
      </c>
      <c r="N252">
        <v>18.471</v>
      </c>
      <c r="O252">
        <v>5.2999999999999999E-2</v>
      </c>
      <c r="P252">
        <v>0.10199999999999999</v>
      </c>
      <c r="R252">
        <v>1.0446</v>
      </c>
      <c r="S252">
        <f>(R252-0.2402)/1.3162</f>
        <v>0.61115332016410884</v>
      </c>
    </row>
    <row r="253" spans="1:37">
      <c r="B253" t="s">
        <v>22</v>
      </c>
      <c r="C253">
        <v>1</v>
      </c>
      <c r="D253">
        <v>4.3940000000000001</v>
      </c>
      <c r="E253">
        <v>3.1432000000000002</v>
      </c>
      <c r="F253">
        <v>12.3476</v>
      </c>
      <c r="G253" s="12">
        <f t="shared" ref="G253:G260" si="37">(E253-0.0771)/3.304</f>
        <v>0.92799636803874097</v>
      </c>
      <c r="H253">
        <v>6.601</v>
      </c>
      <c r="I253">
        <v>0.37980000000000003</v>
      </c>
      <c r="J253">
        <v>2.0293999999999999</v>
      </c>
      <c r="N253">
        <v>18.463999999999999</v>
      </c>
      <c r="O253">
        <v>0.1469</v>
      </c>
      <c r="P253">
        <v>0.2777</v>
      </c>
      <c r="Q253" t="s">
        <v>897</v>
      </c>
      <c r="R253">
        <v>1.6218999999999999</v>
      </c>
      <c r="S253">
        <f t="shared" ref="S253:S260" si="38">(R253-0.2402)/1.3162</f>
        <v>1.0497644734842728</v>
      </c>
    </row>
    <row r="254" spans="1:37">
      <c r="B254" t="s">
        <v>23</v>
      </c>
      <c r="C254">
        <v>1.5</v>
      </c>
      <c r="D254">
        <v>4.3979999999999997</v>
      </c>
      <c r="E254">
        <v>5.0105000000000004</v>
      </c>
      <c r="F254">
        <v>19.4633</v>
      </c>
      <c r="G254" s="12">
        <f t="shared" si="37"/>
        <v>1.4931598062953999</v>
      </c>
      <c r="H254">
        <v>6.5949999999999998</v>
      </c>
      <c r="I254">
        <v>0.73270000000000002</v>
      </c>
      <c r="J254">
        <v>0.76670000000000005</v>
      </c>
      <c r="N254">
        <v>18.457999999999998</v>
      </c>
      <c r="O254">
        <v>0.14360000000000001</v>
      </c>
      <c r="P254">
        <v>0.27039999999999997</v>
      </c>
      <c r="R254">
        <v>2.3237000000000001</v>
      </c>
      <c r="S254">
        <f t="shared" si="38"/>
        <v>1.5829661145722533</v>
      </c>
    </row>
    <row r="255" spans="1:37">
      <c r="B255" t="s">
        <v>24</v>
      </c>
      <c r="C255">
        <v>2</v>
      </c>
      <c r="D255">
        <v>4.4039999999999999</v>
      </c>
      <c r="E255">
        <v>6.2068000000000003</v>
      </c>
      <c r="F255">
        <v>26.848700000000001</v>
      </c>
      <c r="G255" s="12">
        <f t="shared" si="37"/>
        <v>1.8552360774818404</v>
      </c>
      <c r="H255">
        <v>6.601</v>
      </c>
      <c r="I255">
        <v>0.43290000000000001</v>
      </c>
      <c r="J255">
        <v>2.3037999999999998</v>
      </c>
      <c r="N255">
        <v>18.468</v>
      </c>
      <c r="O255">
        <v>4.58E-2</v>
      </c>
      <c r="P255">
        <v>8.4199999999999997E-2</v>
      </c>
      <c r="R255">
        <v>2.7732999999999999</v>
      </c>
      <c r="S255">
        <f t="shared" si="38"/>
        <v>1.924555538671934</v>
      </c>
    </row>
    <row r="256" spans="1:37">
      <c r="B256" t="s">
        <v>25</v>
      </c>
      <c r="C256">
        <v>2.5</v>
      </c>
      <c r="D256">
        <v>4.4080000000000004</v>
      </c>
      <c r="E256">
        <v>9.3705999999999996</v>
      </c>
      <c r="F256">
        <v>34.124200000000002</v>
      </c>
      <c r="G256" s="12">
        <f t="shared" si="37"/>
        <v>2.8128026634382568</v>
      </c>
      <c r="H256">
        <v>6.601</v>
      </c>
      <c r="I256">
        <v>0.81259999999999999</v>
      </c>
      <c r="J256">
        <v>3.9674</v>
      </c>
      <c r="N256">
        <v>18.451000000000001</v>
      </c>
      <c r="O256">
        <v>0.1002</v>
      </c>
      <c r="P256">
        <v>0.19020000000000001</v>
      </c>
      <c r="R256">
        <v>3.9622999999999999</v>
      </c>
      <c r="S256">
        <f t="shared" si="38"/>
        <v>2.8279136909284301</v>
      </c>
    </row>
    <row r="257" spans="1:36">
      <c r="B257" t="s">
        <v>26</v>
      </c>
      <c r="C257">
        <v>3</v>
      </c>
      <c r="D257">
        <v>4.4180000000000001</v>
      </c>
      <c r="E257">
        <v>10.3969</v>
      </c>
      <c r="F257">
        <v>44.744300000000003</v>
      </c>
      <c r="G257" s="12">
        <f t="shared" si="37"/>
        <v>3.1234261501210656</v>
      </c>
      <c r="H257">
        <v>6.6050000000000004</v>
      </c>
      <c r="I257">
        <v>1.9793000000000001</v>
      </c>
      <c r="J257">
        <v>0.75819999999999999</v>
      </c>
      <c r="R257">
        <v>4.3479999999999999</v>
      </c>
      <c r="S257">
        <f t="shared" si="38"/>
        <v>3.1209542622701716</v>
      </c>
    </row>
    <row r="258" spans="1:36">
      <c r="B258" t="s">
        <v>27</v>
      </c>
      <c r="C258">
        <v>5</v>
      </c>
      <c r="D258">
        <v>4.431</v>
      </c>
      <c r="E258">
        <v>16.093299999999999</v>
      </c>
      <c r="F258">
        <v>72.386899999999997</v>
      </c>
      <c r="G258" s="12">
        <f t="shared" si="37"/>
        <v>4.8475181598062953</v>
      </c>
      <c r="H258">
        <v>6.601</v>
      </c>
      <c r="I258">
        <v>0.3125</v>
      </c>
      <c r="J258">
        <v>1.6402000000000001</v>
      </c>
      <c r="N258">
        <v>18.463999999999999</v>
      </c>
      <c r="O258">
        <v>5.4399999999999997E-2</v>
      </c>
      <c r="P258">
        <v>0.1053</v>
      </c>
      <c r="R258">
        <v>6.4889000000000001</v>
      </c>
      <c r="S258">
        <f t="shared" si="38"/>
        <v>4.7475307703996359</v>
      </c>
      <c r="AJ258">
        <v>11521</v>
      </c>
    </row>
    <row r="259" spans="1:36">
      <c r="B259" t="s">
        <v>19</v>
      </c>
      <c r="C259">
        <v>0</v>
      </c>
      <c r="G259" s="12">
        <f t="shared" si="37"/>
        <v>-2.3335351089588379E-2</v>
      </c>
      <c r="H259">
        <v>6.625</v>
      </c>
      <c r="I259">
        <v>3.1199999999999999E-2</v>
      </c>
      <c r="J259">
        <v>0.18609999999999999</v>
      </c>
      <c r="K259">
        <v>11.228</v>
      </c>
      <c r="L259">
        <v>0.20100000000000001</v>
      </c>
      <c r="M259">
        <v>0.6613</v>
      </c>
      <c r="R259">
        <v>0</v>
      </c>
      <c r="S259">
        <f t="shared" si="38"/>
        <v>-0.18249506154079925</v>
      </c>
    </row>
    <row r="260" spans="1:36">
      <c r="B260" t="s">
        <v>20</v>
      </c>
      <c r="C260">
        <v>0</v>
      </c>
      <c r="G260" s="12">
        <f t="shared" si="37"/>
        <v>-2.3335351089588379E-2</v>
      </c>
      <c r="H260">
        <v>6.9880000000000004</v>
      </c>
      <c r="I260">
        <v>0.4345</v>
      </c>
      <c r="J260">
        <v>0.32479999999999998</v>
      </c>
      <c r="K260">
        <v>11.188000000000001</v>
      </c>
      <c r="L260">
        <v>0.2011</v>
      </c>
      <c r="M260">
        <v>0.66110000000000002</v>
      </c>
      <c r="R260">
        <v>0</v>
      </c>
      <c r="S260">
        <f t="shared" si="38"/>
        <v>-0.18249506154079925</v>
      </c>
    </row>
    <row r="262" spans="1:36" ht="31">
      <c r="A262" s="10" t="s">
        <v>10</v>
      </c>
      <c r="B262" s="10" t="s">
        <v>15</v>
      </c>
      <c r="C262" s="10" t="s">
        <v>16</v>
      </c>
      <c r="D262" s="10" t="s">
        <v>2</v>
      </c>
      <c r="E262" s="10" t="s">
        <v>18</v>
      </c>
      <c r="F262" s="10" t="s">
        <v>17</v>
      </c>
      <c r="G262" s="208"/>
      <c r="H262" s="10" t="s">
        <v>2</v>
      </c>
      <c r="I262" s="10" t="s">
        <v>18</v>
      </c>
      <c r="J262" s="10" t="s">
        <v>17</v>
      </c>
      <c r="K262" s="10" t="s">
        <v>2</v>
      </c>
      <c r="L262" s="10" t="s">
        <v>18</v>
      </c>
      <c r="M262" s="10" t="s">
        <v>17</v>
      </c>
      <c r="N262" s="10" t="s">
        <v>2</v>
      </c>
      <c r="O262" s="10" t="s">
        <v>18</v>
      </c>
      <c r="P262" s="10" t="s">
        <v>17</v>
      </c>
      <c r="Q262" s="10" t="s">
        <v>424</v>
      </c>
      <c r="R262" s="215" t="s">
        <v>938</v>
      </c>
    </row>
    <row r="263" spans="1:36">
      <c r="A263" t="s">
        <v>357</v>
      </c>
      <c r="B263" s="10"/>
      <c r="C263" s="10">
        <v>0</v>
      </c>
      <c r="E263">
        <v>0</v>
      </c>
      <c r="F263">
        <v>0</v>
      </c>
    </row>
    <row r="264" spans="1:36">
      <c r="B264" t="s">
        <v>21</v>
      </c>
      <c r="C264">
        <v>0.5</v>
      </c>
      <c r="D264">
        <v>4.4039999999999999</v>
      </c>
      <c r="E264">
        <v>1.6155999999999999</v>
      </c>
      <c r="F264">
        <v>3.5175000000000001</v>
      </c>
      <c r="G264" s="12">
        <f>(E264+0.0454)/3.3186</f>
        <v>0.50051226420779849</v>
      </c>
      <c r="H264">
        <v>6.508</v>
      </c>
      <c r="I264">
        <v>0.4541</v>
      </c>
      <c r="J264">
        <v>2.1425999999999998</v>
      </c>
      <c r="K264" t="s">
        <v>358</v>
      </c>
      <c r="R264">
        <v>1.0478000000000001</v>
      </c>
      <c r="S264">
        <f>(R264-0.197)/1.3143</f>
        <v>0.64734078977402421</v>
      </c>
    </row>
    <row r="265" spans="1:36">
      <c r="B265" t="s">
        <v>22</v>
      </c>
      <c r="C265">
        <v>1</v>
      </c>
      <c r="D265">
        <v>4.4109999999999996</v>
      </c>
      <c r="E265">
        <v>3.5326</v>
      </c>
      <c r="F265">
        <v>7.5067000000000004</v>
      </c>
      <c r="G265" s="12">
        <f t="shared" ref="G265:G271" si="39">(E265+0.0454)/3.3186</f>
        <v>1.0781654914723076</v>
      </c>
      <c r="H265">
        <v>6.5039999999999996</v>
      </c>
      <c r="I265">
        <v>1.7662</v>
      </c>
      <c r="J265">
        <v>2.4659</v>
      </c>
      <c r="N265">
        <v>18.010999999999999</v>
      </c>
      <c r="O265">
        <v>0.1221</v>
      </c>
      <c r="P265">
        <v>0.24379999999999999</v>
      </c>
      <c r="Q265" t="s">
        <v>898</v>
      </c>
      <c r="R265">
        <v>1.7682</v>
      </c>
      <c r="S265">
        <f t="shared" ref="S265:S271" si="40">(R265-0.197)/1.3143</f>
        <v>1.1954652666818839</v>
      </c>
    </row>
    <row r="266" spans="1:36">
      <c r="B266" t="s">
        <v>23</v>
      </c>
      <c r="C266">
        <v>1.5</v>
      </c>
      <c r="D266">
        <v>4.4210000000000003</v>
      </c>
      <c r="E266">
        <v>4.5382999999999996</v>
      </c>
      <c r="F266">
        <v>10.9907</v>
      </c>
      <c r="G266" s="12">
        <f t="shared" si="39"/>
        <v>1.3812149701681431</v>
      </c>
      <c r="H266">
        <v>6.5010000000000003</v>
      </c>
      <c r="I266">
        <v>9.1200000000000003E-2</v>
      </c>
      <c r="J266">
        <v>0.51759999999999995</v>
      </c>
      <c r="N266">
        <v>18.013999999999999</v>
      </c>
      <c r="O266">
        <v>0.16619999999999999</v>
      </c>
      <c r="P266">
        <v>0.32669999999999999</v>
      </c>
      <c r="R266">
        <v>2.1633</v>
      </c>
      <c r="S266">
        <f t="shared" si="40"/>
        <v>1.4960815643308225</v>
      </c>
    </row>
    <row r="267" spans="1:36">
      <c r="B267" t="s">
        <v>26</v>
      </c>
      <c r="C267">
        <v>3</v>
      </c>
      <c r="D267">
        <v>4.4409999999999998</v>
      </c>
      <c r="E267">
        <v>9.9634</v>
      </c>
      <c r="F267">
        <v>25.2745</v>
      </c>
      <c r="G267" s="12">
        <f t="shared" si="39"/>
        <v>3.0159705900078349</v>
      </c>
      <c r="R267">
        <v>4.1851000000000003</v>
      </c>
      <c r="S267">
        <f t="shared" si="40"/>
        <v>3.0343909305333638</v>
      </c>
    </row>
    <row r="268" spans="1:36">
      <c r="B268" t="s">
        <v>27</v>
      </c>
      <c r="C268">
        <v>5</v>
      </c>
      <c r="D268">
        <v>4.4539999999999997</v>
      </c>
      <c r="E268">
        <v>16.581600000000002</v>
      </c>
      <c r="F268">
        <v>44.205300000000001</v>
      </c>
      <c r="G268" s="12">
        <f t="shared" si="39"/>
        <v>5.0102452841559701</v>
      </c>
      <c r="H268">
        <v>6.508</v>
      </c>
      <c r="I268">
        <v>0.9748</v>
      </c>
      <c r="J268">
        <v>2.0916999999999999</v>
      </c>
      <c r="N268">
        <v>18.021000000000001</v>
      </c>
      <c r="O268">
        <v>4.4600000000000001E-2</v>
      </c>
      <c r="P268">
        <v>8.9700000000000002E-2</v>
      </c>
      <c r="R268">
        <v>6.6723999999999997</v>
      </c>
      <c r="S268">
        <f t="shared" si="40"/>
        <v>4.926881229551852</v>
      </c>
    </row>
    <row r="269" spans="1:36">
      <c r="B269" t="s">
        <v>19</v>
      </c>
      <c r="C269">
        <v>0</v>
      </c>
      <c r="D269">
        <v>5.7149999999999999</v>
      </c>
      <c r="E269">
        <v>1.1934</v>
      </c>
      <c r="F269">
        <v>1.0270999999999999</v>
      </c>
      <c r="G269" s="12">
        <f t="shared" si="39"/>
        <v>0.37328994154161399</v>
      </c>
      <c r="H269">
        <v>6.5650000000000004</v>
      </c>
      <c r="I269">
        <v>1.3407</v>
      </c>
      <c r="J269">
        <v>2.1844000000000001</v>
      </c>
      <c r="K269">
        <v>11.055</v>
      </c>
      <c r="L269">
        <v>3.1537000000000002</v>
      </c>
      <c r="M269">
        <v>4.9419000000000004</v>
      </c>
      <c r="N269">
        <v>18.167999999999999</v>
      </c>
      <c r="O269">
        <v>0.1179</v>
      </c>
      <c r="P269">
        <v>0.15160000000000001</v>
      </c>
      <c r="R269">
        <v>0</v>
      </c>
      <c r="S269">
        <f t="shared" si="40"/>
        <v>-0.14988967511222703</v>
      </c>
    </row>
    <row r="270" spans="1:36">
      <c r="B270" t="s">
        <v>20</v>
      </c>
      <c r="C270">
        <v>0</v>
      </c>
      <c r="G270" s="12">
        <f t="shared" si="39"/>
        <v>1.3680467667088532E-2</v>
      </c>
      <c r="H270">
        <v>6.6180000000000003</v>
      </c>
      <c r="I270">
        <v>0.25819999999999999</v>
      </c>
      <c r="J270">
        <v>1.431</v>
      </c>
      <c r="K270">
        <v>10.965</v>
      </c>
      <c r="L270">
        <v>1.0681</v>
      </c>
      <c r="M270">
        <v>3.6734</v>
      </c>
      <c r="N270">
        <v>18.027999999999999</v>
      </c>
      <c r="O270">
        <v>4.0500000000000001E-2</v>
      </c>
      <c r="P270">
        <v>8.0799999999999997E-2</v>
      </c>
      <c r="R270">
        <v>0</v>
      </c>
      <c r="S270">
        <f t="shared" si="40"/>
        <v>-0.14988967511222703</v>
      </c>
    </row>
    <row r="271" spans="1:36">
      <c r="B271" t="s">
        <v>70</v>
      </c>
      <c r="G271" s="12">
        <f t="shared" si="39"/>
        <v>1.3680467667088532E-2</v>
      </c>
      <c r="H271">
        <v>6.8650000000000002</v>
      </c>
      <c r="I271">
        <v>7.9399999999999998E-2</v>
      </c>
      <c r="J271">
        <v>0.1681</v>
      </c>
      <c r="R271">
        <v>0</v>
      </c>
      <c r="S271">
        <f t="shared" si="40"/>
        <v>-0.14988967511222703</v>
      </c>
    </row>
    <row r="273" spans="1:36" ht="31">
      <c r="A273" s="10" t="s">
        <v>10</v>
      </c>
      <c r="B273" s="10" t="s">
        <v>15</v>
      </c>
      <c r="C273" s="10" t="s">
        <v>16</v>
      </c>
      <c r="D273" s="10" t="s">
        <v>2</v>
      </c>
      <c r="E273" s="10" t="s">
        <v>18</v>
      </c>
      <c r="F273" s="10" t="s">
        <v>17</v>
      </c>
      <c r="G273" s="208"/>
      <c r="H273" s="10" t="s">
        <v>2</v>
      </c>
      <c r="I273" s="10" t="s">
        <v>18</v>
      </c>
      <c r="J273" s="10" t="s">
        <v>17</v>
      </c>
      <c r="K273" s="10" t="s">
        <v>2</v>
      </c>
      <c r="L273" s="10" t="s">
        <v>18</v>
      </c>
      <c r="M273" s="10" t="s">
        <v>17</v>
      </c>
      <c r="N273" s="10" t="s">
        <v>2</v>
      </c>
      <c r="O273" s="10" t="s">
        <v>18</v>
      </c>
      <c r="P273" s="10" t="s">
        <v>17</v>
      </c>
      <c r="Q273" s="10" t="s">
        <v>450</v>
      </c>
      <c r="R273" s="215" t="s">
        <v>933</v>
      </c>
      <c r="AJ273">
        <v>111021</v>
      </c>
    </row>
    <row r="274" spans="1:36">
      <c r="A274" t="s">
        <v>429</v>
      </c>
      <c r="B274" s="10"/>
      <c r="C274" s="10">
        <v>0</v>
      </c>
      <c r="E274">
        <v>0</v>
      </c>
      <c r="F274">
        <v>0</v>
      </c>
    </row>
    <row r="275" spans="1:36">
      <c r="B275" t="s">
        <v>21</v>
      </c>
      <c r="C275">
        <v>0.5</v>
      </c>
      <c r="D275">
        <v>4.3949999999999996</v>
      </c>
      <c r="E275">
        <v>1.524</v>
      </c>
      <c r="F275">
        <v>3.3081</v>
      </c>
      <c r="G275" s="12">
        <f>(E275+0.0666)/3.3637</f>
        <v>0.47287213485150281</v>
      </c>
      <c r="H275">
        <v>6.468</v>
      </c>
      <c r="I275">
        <v>0.42249999999999999</v>
      </c>
      <c r="J275">
        <v>2.3544</v>
      </c>
      <c r="N275">
        <v>17.658000000000001</v>
      </c>
      <c r="O275">
        <v>7.8100000000000003E-2</v>
      </c>
      <c r="P275">
        <v>0.15939999999999999</v>
      </c>
      <c r="Q275" t="s">
        <v>899</v>
      </c>
      <c r="R275">
        <v>1.0133000000000001</v>
      </c>
      <c r="S275">
        <f>(R275-0.3558)/1.2836</f>
        <v>0.51223122468058591</v>
      </c>
    </row>
    <row r="276" spans="1:36">
      <c r="B276" t="s">
        <v>22</v>
      </c>
      <c r="C276">
        <v>1</v>
      </c>
      <c r="D276">
        <v>4.4009999999999998</v>
      </c>
      <c r="E276">
        <v>3.3140999999999998</v>
      </c>
      <c r="F276">
        <v>6.8304</v>
      </c>
      <c r="G276" s="12">
        <f t="shared" ref="G276:G284" si="41">(E276+0.0666)/3.3637</f>
        <v>1.005053958438624</v>
      </c>
      <c r="H276">
        <v>6.4580000000000002</v>
      </c>
      <c r="I276">
        <v>0.63580000000000003</v>
      </c>
      <c r="J276">
        <v>0.39610000000000001</v>
      </c>
      <c r="N276">
        <v>17.658000000000001</v>
      </c>
      <c r="O276">
        <v>3.4000000000000002E-2</v>
      </c>
      <c r="P276">
        <v>6.9599999999999995E-2</v>
      </c>
      <c r="R276">
        <v>1.6860999999999999</v>
      </c>
      <c r="S276">
        <f t="shared" ref="S276:S284" si="42">(R276-0.3558)/1.2836</f>
        <v>1.0363820504830163</v>
      </c>
    </row>
    <row r="277" spans="1:36">
      <c r="B277" t="s">
        <v>23</v>
      </c>
      <c r="C277">
        <v>1.5</v>
      </c>
      <c r="D277">
        <v>4.4109999999999996</v>
      </c>
      <c r="E277">
        <v>4.9012000000000002</v>
      </c>
      <c r="F277">
        <v>10.6349</v>
      </c>
      <c r="G277" s="12">
        <f t="shared" si="41"/>
        <v>1.4768855724351162</v>
      </c>
      <c r="N277">
        <v>17.648</v>
      </c>
      <c r="O277">
        <v>4.8000000000000001E-2</v>
      </c>
      <c r="P277">
        <v>9.8699999999999996E-2</v>
      </c>
      <c r="R277">
        <v>2.2826</v>
      </c>
      <c r="S277">
        <f t="shared" si="42"/>
        <v>1.5010906824555936</v>
      </c>
    </row>
    <row r="278" spans="1:36">
      <c r="B278" t="s">
        <v>24</v>
      </c>
      <c r="C278">
        <v>2</v>
      </c>
      <c r="D278">
        <v>4.4180000000000001</v>
      </c>
      <c r="E278">
        <v>6.6369999999999996</v>
      </c>
      <c r="F278">
        <v>14.9201</v>
      </c>
      <c r="G278" s="12">
        <f t="shared" si="41"/>
        <v>1.992924458185926</v>
      </c>
      <c r="H278">
        <v>6.4509999999999996</v>
      </c>
      <c r="I278">
        <v>0.69279999999999997</v>
      </c>
      <c r="J278">
        <v>0.54179999999999995</v>
      </c>
      <c r="N278">
        <v>17.638000000000002</v>
      </c>
      <c r="O278">
        <v>0.1154</v>
      </c>
      <c r="P278">
        <v>0.23280000000000001</v>
      </c>
      <c r="R278">
        <v>2.9350000000000001</v>
      </c>
      <c r="S278">
        <f t="shared" si="42"/>
        <v>2.0093487067622311</v>
      </c>
    </row>
    <row r="279" spans="1:36">
      <c r="B279" t="s">
        <v>25</v>
      </c>
      <c r="C279">
        <v>2.5</v>
      </c>
      <c r="D279">
        <v>4.4210000000000003</v>
      </c>
      <c r="E279">
        <v>8.4513999999999996</v>
      </c>
      <c r="F279">
        <v>19.176300000000001</v>
      </c>
      <c r="G279" s="12">
        <f t="shared" si="41"/>
        <v>2.5323304694235511</v>
      </c>
      <c r="N279">
        <v>17.631</v>
      </c>
      <c r="O279">
        <v>7.9399999999999998E-2</v>
      </c>
      <c r="P279">
        <v>0.15959999999999999</v>
      </c>
      <c r="R279">
        <v>3.6168</v>
      </c>
      <c r="S279">
        <f t="shared" si="42"/>
        <v>2.5405110626363352</v>
      </c>
    </row>
    <row r="280" spans="1:36">
      <c r="B280" t="s">
        <v>26</v>
      </c>
      <c r="C280">
        <v>3</v>
      </c>
      <c r="D280">
        <v>4.4279999999999999</v>
      </c>
      <c r="E280">
        <v>10.0662</v>
      </c>
      <c r="F280">
        <v>23.877300000000002</v>
      </c>
      <c r="G280" s="12">
        <f t="shared" si="41"/>
        <v>3.0123970627582719</v>
      </c>
      <c r="K280">
        <v>10.834</v>
      </c>
      <c r="L280">
        <v>0.2069</v>
      </c>
      <c r="M280">
        <v>0.71479999999999999</v>
      </c>
      <c r="R280">
        <v>4.2237</v>
      </c>
      <c r="S280">
        <f t="shared" si="42"/>
        <v>3.0133219071361794</v>
      </c>
    </row>
    <row r="281" spans="1:36">
      <c r="B281" t="s">
        <v>27</v>
      </c>
      <c r="C281">
        <v>5</v>
      </c>
      <c r="D281">
        <v>4.4409999999999998</v>
      </c>
      <c r="E281">
        <v>16.711600000000001</v>
      </c>
      <c r="F281">
        <v>42.9148</v>
      </c>
      <c r="G281" s="12">
        <f t="shared" si="41"/>
        <v>4.9880191455837322</v>
      </c>
      <c r="N281">
        <v>17.638000000000002</v>
      </c>
      <c r="O281">
        <v>5.2600000000000001E-2</v>
      </c>
      <c r="P281">
        <v>0.1075</v>
      </c>
      <c r="R281">
        <v>6.7211999999999996</v>
      </c>
      <c r="S281">
        <f t="shared" si="42"/>
        <v>4.9590215020255526</v>
      </c>
    </row>
    <row r="282" spans="1:36">
      <c r="B282" t="s">
        <v>19</v>
      </c>
      <c r="C282">
        <v>0</v>
      </c>
      <c r="D282">
        <v>4.3710000000000004</v>
      </c>
      <c r="E282">
        <v>0.1265</v>
      </c>
      <c r="F282">
        <v>0.31040000000000001</v>
      </c>
      <c r="G282" s="12">
        <f t="shared" si="41"/>
        <v>5.7407022029312957E-2</v>
      </c>
      <c r="H282">
        <v>6.5209999999999999</v>
      </c>
      <c r="I282">
        <v>19.532699999999998</v>
      </c>
      <c r="J282">
        <v>101.633</v>
      </c>
      <c r="K282">
        <v>10.894</v>
      </c>
      <c r="L282">
        <v>0.57709999999999995</v>
      </c>
      <c r="M282">
        <v>1.9733000000000001</v>
      </c>
      <c r="N282">
        <v>17.658000000000001</v>
      </c>
      <c r="O282">
        <v>1.4221999999999999</v>
      </c>
      <c r="P282">
        <v>2.8874</v>
      </c>
      <c r="R282">
        <v>0.48809999999999998</v>
      </c>
      <c r="S282">
        <f t="shared" si="42"/>
        <v>0.10306949205359922</v>
      </c>
    </row>
    <row r="283" spans="1:36">
      <c r="B283" t="s">
        <v>20</v>
      </c>
      <c r="C283">
        <v>0</v>
      </c>
      <c r="D283">
        <v>4.391</v>
      </c>
      <c r="E283">
        <v>0.1229</v>
      </c>
      <c r="F283">
        <v>0.25330000000000003</v>
      </c>
      <c r="G283" s="12">
        <f t="shared" si="41"/>
        <v>5.6336772007016082E-2</v>
      </c>
      <c r="H283">
        <v>6.5339999999999998</v>
      </c>
      <c r="I283">
        <v>43.355899999999998</v>
      </c>
      <c r="J283">
        <v>214.38470000000001</v>
      </c>
      <c r="K283">
        <v>10.853999999999999</v>
      </c>
      <c r="L283">
        <v>0.55710000000000004</v>
      </c>
      <c r="M283">
        <v>1.9309000000000001</v>
      </c>
      <c r="N283">
        <v>17.603999999999999</v>
      </c>
      <c r="O283">
        <v>10.4153</v>
      </c>
      <c r="P283">
        <v>21.994800000000001</v>
      </c>
      <c r="R283">
        <v>0.48680000000000001</v>
      </c>
      <c r="S283">
        <f t="shared" si="42"/>
        <v>0.10205671548769087</v>
      </c>
    </row>
    <row r="284" spans="1:36">
      <c r="B284" t="s">
        <v>433</v>
      </c>
      <c r="C284">
        <v>0</v>
      </c>
      <c r="G284" s="12">
        <f t="shared" si="41"/>
        <v>1.9799625412492198E-2</v>
      </c>
      <c r="H284">
        <v>6.484</v>
      </c>
      <c r="I284">
        <v>28.727900000000002</v>
      </c>
      <c r="J284">
        <v>149.8458</v>
      </c>
      <c r="K284">
        <v>10.808</v>
      </c>
      <c r="L284">
        <v>0.3236</v>
      </c>
      <c r="M284">
        <v>1.1137999999999999</v>
      </c>
      <c r="N284">
        <v>17.510999999999999</v>
      </c>
      <c r="O284">
        <v>17.1707</v>
      </c>
      <c r="P284">
        <v>36.644500000000001</v>
      </c>
      <c r="R284">
        <v>0</v>
      </c>
      <c r="S284">
        <f t="shared" si="42"/>
        <v>-0.27718915550015583</v>
      </c>
    </row>
    <row r="285" spans="1:36">
      <c r="B285" t="s">
        <v>430</v>
      </c>
      <c r="C285">
        <v>1</v>
      </c>
      <c r="D285" t="s">
        <v>46</v>
      </c>
    </row>
    <row r="286" spans="1:36">
      <c r="B286" t="s">
        <v>431</v>
      </c>
      <c r="C286">
        <v>5</v>
      </c>
      <c r="H286">
        <v>6.4509999999999996</v>
      </c>
      <c r="I286">
        <v>2.3052999999999999</v>
      </c>
      <c r="J286">
        <v>12.957100000000001</v>
      </c>
      <c r="K286">
        <v>10.815</v>
      </c>
      <c r="L286">
        <v>0.77159999999999995</v>
      </c>
      <c r="M286">
        <v>1.4416</v>
      </c>
      <c r="N286">
        <v>17.597999999999999</v>
      </c>
      <c r="O286">
        <v>1.4459</v>
      </c>
      <c r="P286">
        <v>2.9382000000000001</v>
      </c>
    </row>
    <row r="287" spans="1:36">
      <c r="B287" t="s">
        <v>432</v>
      </c>
      <c r="C287">
        <v>10</v>
      </c>
      <c r="H287">
        <v>6.4649999999999999</v>
      </c>
      <c r="I287">
        <v>14.1317</v>
      </c>
      <c r="J287">
        <v>74.908699999999996</v>
      </c>
      <c r="K287">
        <v>10.808</v>
      </c>
      <c r="L287">
        <v>0.36530000000000001</v>
      </c>
      <c r="M287">
        <v>1.2585</v>
      </c>
      <c r="N287">
        <v>17.558</v>
      </c>
      <c r="O287">
        <v>7.9931999999999999</v>
      </c>
      <c r="P287">
        <v>16.802800000000001</v>
      </c>
    </row>
    <row r="289" spans="1:22" ht="31">
      <c r="A289" s="10" t="s">
        <v>10</v>
      </c>
      <c r="B289" s="10" t="s">
        <v>15</v>
      </c>
      <c r="C289" s="10" t="s">
        <v>16</v>
      </c>
      <c r="D289" s="10" t="s">
        <v>2</v>
      </c>
      <c r="E289" s="10" t="s">
        <v>18</v>
      </c>
      <c r="F289" s="10" t="s">
        <v>17</v>
      </c>
      <c r="G289" s="208"/>
      <c r="H289" s="10" t="s">
        <v>2</v>
      </c>
      <c r="I289" s="10" t="s">
        <v>18</v>
      </c>
      <c r="J289" s="10" t="s">
        <v>17</v>
      </c>
      <c r="K289" s="10" t="s">
        <v>2</v>
      </c>
      <c r="L289" s="10" t="s">
        <v>18</v>
      </c>
      <c r="M289" s="10" t="s">
        <v>17</v>
      </c>
      <c r="N289" s="10" t="s">
        <v>2</v>
      </c>
      <c r="O289" s="10" t="s">
        <v>18</v>
      </c>
      <c r="P289" s="10" t="s">
        <v>17</v>
      </c>
      <c r="Q289" s="10" t="s">
        <v>2</v>
      </c>
      <c r="R289" s="10" t="s">
        <v>18</v>
      </c>
      <c r="S289" s="10" t="s">
        <v>17</v>
      </c>
      <c r="T289" s="10" t="s">
        <v>604</v>
      </c>
      <c r="U289" s="215" t="s">
        <v>939</v>
      </c>
    </row>
    <row r="290" spans="1:22">
      <c r="A290" t="s">
        <v>458</v>
      </c>
      <c r="B290" s="10"/>
      <c r="C290" s="10">
        <v>0</v>
      </c>
      <c r="E290">
        <v>0</v>
      </c>
      <c r="F290">
        <v>0</v>
      </c>
    </row>
    <row r="291" spans="1:22">
      <c r="B291" t="s">
        <v>21</v>
      </c>
      <c r="C291">
        <v>0.5</v>
      </c>
      <c r="D291">
        <v>4.4249999999999998</v>
      </c>
      <c r="E291">
        <v>1.9048</v>
      </c>
      <c r="F291">
        <v>3.49</v>
      </c>
      <c r="G291" s="12">
        <f>(E291+0.0143)/3.4405</f>
        <v>0.55779683185583495</v>
      </c>
      <c r="H291">
        <v>6.5209999999999999</v>
      </c>
      <c r="I291">
        <v>1.6392</v>
      </c>
      <c r="J291">
        <v>1.2237</v>
      </c>
      <c r="U291">
        <v>1.1565000000000001</v>
      </c>
      <c r="V291">
        <f>(U291-0.2145)/1.3647</f>
        <v>0.69026159595515502</v>
      </c>
    </row>
    <row r="292" spans="1:22">
      <c r="B292" t="s">
        <v>22</v>
      </c>
      <c r="C292">
        <v>1</v>
      </c>
      <c r="D292">
        <v>4.4379999999999997</v>
      </c>
      <c r="E292">
        <v>3.4702000000000002</v>
      </c>
      <c r="F292">
        <v>7.1788999999999996</v>
      </c>
      <c r="G292" s="12">
        <f t="shared" ref="G292:G299" si="43">(E292+0.0143)/3.4405</f>
        <v>1.0127888388315651</v>
      </c>
      <c r="U292">
        <v>1.7447999999999999</v>
      </c>
      <c r="V292">
        <f t="shared" ref="V292:V299" si="44">(U292-0.2145)/1.3647</f>
        <v>1.1213453506265112</v>
      </c>
    </row>
    <row r="293" spans="1:22">
      <c r="B293" t="s">
        <v>23</v>
      </c>
      <c r="C293">
        <v>1.5</v>
      </c>
      <c r="D293">
        <v>4.4480000000000004</v>
      </c>
      <c r="E293">
        <v>5.0082000000000004</v>
      </c>
      <c r="F293">
        <v>11.0633</v>
      </c>
      <c r="G293" s="12">
        <f t="shared" si="43"/>
        <v>1.4598168870803665</v>
      </c>
      <c r="H293">
        <v>6.5209999999999999</v>
      </c>
      <c r="I293">
        <v>0.70779999999999998</v>
      </c>
      <c r="J293">
        <v>0.45219999999999999</v>
      </c>
      <c r="N293">
        <v>18.251000000000001</v>
      </c>
      <c r="O293">
        <v>5.28E-2</v>
      </c>
      <c r="P293">
        <v>0.10390000000000001</v>
      </c>
      <c r="U293">
        <v>2.3228</v>
      </c>
      <c r="V293">
        <f t="shared" si="44"/>
        <v>1.5448816589726679</v>
      </c>
    </row>
    <row r="294" spans="1:22">
      <c r="B294" t="s">
        <v>24</v>
      </c>
      <c r="C294">
        <v>2</v>
      </c>
      <c r="D294">
        <v>4.4539999999999997</v>
      </c>
      <c r="E294">
        <v>6.7637999999999998</v>
      </c>
      <c r="F294">
        <v>15.369</v>
      </c>
      <c r="G294" s="12">
        <f t="shared" si="43"/>
        <v>1.9700915564598169</v>
      </c>
      <c r="H294">
        <v>6.5140000000000002</v>
      </c>
      <c r="I294">
        <v>0.17180000000000001</v>
      </c>
      <c r="J294">
        <v>0.50319999999999998</v>
      </c>
      <c r="N294">
        <v>18.244</v>
      </c>
      <c r="O294">
        <v>0.123</v>
      </c>
      <c r="P294">
        <v>0.2409</v>
      </c>
      <c r="T294" t="s">
        <v>900</v>
      </c>
      <c r="U294">
        <v>2.9826000000000001</v>
      </c>
      <c r="V294">
        <f t="shared" si="44"/>
        <v>2.0283578808529348</v>
      </c>
    </row>
    <row r="295" spans="1:22">
      <c r="B295" t="s">
        <v>25</v>
      </c>
      <c r="C295">
        <v>2.5</v>
      </c>
      <c r="D295">
        <v>4.4610000000000003</v>
      </c>
      <c r="E295">
        <v>8.4082000000000008</v>
      </c>
      <c r="F295">
        <v>19.5852</v>
      </c>
      <c r="G295" s="12">
        <f t="shared" si="43"/>
        <v>2.4480453422467665</v>
      </c>
      <c r="H295">
        <v>6.5179999999999998</v>
      </c>
      <c r="I295">
        <v>0.18959999999999999</v>
      </c>
      <c r="J295">
        <v>0.55959999999999999</v>
      </c>
      <c r="U295">
        <v>3.6006</v>
      </c>
      <c r="V295">
        <f t="shared" si="44"/>
        <v>2.4812046603649152</v>
      </c>
    </row>
    <row r="296" spans="1:22">
      <c r="B296" t="s">
        <v>26</v>
      </c>
      <c r="C296">
        <v>3</v>
      </c>
      <c r="D296">
        <v>4.4649999999999999</v>
      </c>
      <c r="E296">
        <v>10.355600000000001</v>
      </c>
      <c r="F296">
        <v>24.2376</v>
      </c>
      <c r="G296" s="12">
        <f t="shared" si="43"/>
        <v>3.0140677227147221</v>
      </c>
      <c r="H296">
        <v>6.9779999999999998</v>
      </c>
      <c r="I296">
        <v>0.59619999999999995</v>
      </c>
      <c r="J296">
        <v>0.4415</v>
      </c>
      <c r="U296">
        <v>4.3324999999999996</v>
      </c>
      <c r="V296">
        <f t="shared" si="44"/>
        <v>3.0175130065215794</v>
      </c>
    </row>
    <row r="297" spans="1:22">
      <c r="B297" t="s">
        <v>27</v>
      </c>
      <c r="C297">
        <v>5</v>
      </c>
      <c r="D297">
        <v>4.4809999999999999</v>
      </c>
      <c r="E297">
        <v>17.302499999999998</v>
      </c>
      <c r="F297">
        <v>43.496299999999998</v>
      </c>
      <c r="G297" s="12">
        <f t="shared" si="43"/>
        <v>5.0332219154192694</v>
      </c>
      <c r="H297">
        <v>6.9640000000000004</v>
      </c>
      <c r="I297">
        <v>1.6706000000000001</v>
      </c>
      <c r="J297">
        <v>0.5857</v>
      </c>
      <c r="U297">
        <v>6.9432999999999998</v>
      </c>
      <c r="V297">
        <f t="shared" si="44"/>
        <v>4.9306074595149116</v>
      </c>
    </row>
    <row r="298" spans="1:22">
      <c r="B298" t="s">
        <v>19</v>
      </c>
      <c r="C298">
        <v>0</v>
      </c>
      <c r="G298" s="12">
        <f t="shared" si="43"/>
        <v>4.1563726202586831E-3</v>
      </c>
      <c r="H298">
        <v>6.5049999999999999</v>
      </c>
      <c r="I298">
        <v>0.3206</v>
      </c>
      <c r="J298">
        <v>1.8075000000000001</v>
      </c>
      <c r="K298">
        <v>8.8480000000000008</v>
      </c>
      <c r="L298">
        <v>0.2079</v>
      </c>
      <c r="M298">
        <v>0.28410000000000002</v>
      </c>
      <c r="N298">
        <v>10.920999999999999</v>
      </c>
      <c r="O298">
        <v>1.4202999999999999</v>
      </c>
      <c r="P298">
        <v>4.5048000000000004</v>
      </c>
      <c r="Q298">
        <v>16.954999999999998</v>
      </c>
      <c r="R298">
        <v>0.29320000000000002</v>
      </c>
      <c r="S298">
        <v>0.32100000000000001</v>
      </c>
      <c r="U298">
        <v>0</v>
      </c>
      <c r="V298">
        <f t="shared" si="44"/>
        <v>-0.15717740162673113</v>
      </c>
    </row>
    <row r="299" spans="1:22">
      <c r="B299" t="s">
        <v>20</v>
      </c>
      <c r="C299">
        <v>0</v>
      </c>
      <c r="D299">
        <v>5.0780000000000003</v>
      </c>
      <c r="E299">
        <v>0.36149999999999999</v>
      </c>
      <c r="F299">
        <v>0.29260000000000003</v>
      </c>
      <c r="G299" s="12">
        <f t="shared" si="43"/>
        <v>0.10922830983868623</v>
      </c>
      <c r="H299">
        <v>6.5179999999999998</v>
      </c>
      <c r="I299">
        <v>0.81379999999999997</v>
      </c>
      <c r="J299">
        <v>2.0621999999999998</v>
      </c>
      <c r="N299">
        <v>10.944000000000001</v>
      </c>
      <c r="O299">
        <v>1.2405999999999999</v>
      </c>
      <c r="P299">
        <v>4.3122999999999996</v>
      </c>
      <c r="Q299">
        <v>18.248000000000001</v>
      </c>
      <c r="R299">
        <v>3.6600000000000001E-2</v>
      </c>
      <c r="S299">
        <v>6.9800000000000001E-2</v>
      </c>
      <c r="U299">
        <v>0</v>
      </c>
      <c r="V299">
        <f t="shared" si="44"/>
        <v>-0.15717740162673113</v>
      </c>
    </row>
    <row r="301" spans="1:22" ht="31">
      <c r="A301" s="10" t="s">
        <v>10</v>
      </c>
      <c r="B301" s="10" t="s">
        <v>15</v>
      </c>
      <c r="C301" s="10" t="s">
        <v>16</v>
      </c>
      <c r="D301" s="10" t="s">
        <v>2</v>
      </c>
      <c r="E301" s="10" t="s">
        <v>18</v>
      </c>
      <c r="F301" s="10" t="s">
        <v>17</v>
      </c>
      <c r="G301" s="208"/>
      <c r="H301" s="10" t="s">
        <v>2</v>
      </c>
      <c r="I301" s="10" t="s">
        <v>18</v>
      </c>
      <c r="J301" s="10" t="s">
        <v>17</v>
      </c>
      <c r="K301" s="10" t="s">
        <v>2</v>
      </c>
      <c r="L301" s="10" t="s">
        <v>18</v>
      </c>
      <c r="M301" s="10" t="s">
        <v>17</v>
      </c>
      <c r="N301" s="10" t="s">
        <v>2</v>
      </c>
      <c r="O301" s="10" t="s">
        <v>18</v>
      </c>
      <c r="P301" s="10" t="s">
        <v>17</v>
      </c>
      <c r="Q301" s="215" t="s">
        <v>933</v>
      </c>
      <c r="R301" s="10" t="s">
        <v>18</v>
      </c>
      <c r="S301" s="10" t="s">
        <v>17</v>
      </c>
      <c r="T301" s="10" t="s">
        <v>603</v>
      </c>
    </row>
    <row r="302" spans="1:22">
      <c r="A302" t="s">
        <v>602</v>
      </c>
      <c r="B302" s="10"/>
      <c r="C302" s="10">
        <v>0</v>
      </c>
      <c r="E302">
        <v>0</v>
      </c>
      <c r="F302">
        <v>0</v>
      </c>
    </row>
    <row r="303" spans="1:22">
      <c r="B303" t="s">
        <v>21</v>
      </c>
      <c r="C303">
        <v>0.5</v>
      </c>
      <c r="D303">
        <v>4.407</v>
      </c>
      <c r="E303">
        <v>1.6408</v>
      </c>
      <c r="F303">
        <v>2.7303000000000002</v>
      </c>
      <c r="G303" s="12">
        <f>(E303+0.105)/3.3338</f>
        <v>0.52366668666386706</v>
      </c>
      <c r="H303">
        <v>6.444</v>
      </c>
      <c r="I303">
        <v>1.9097</v>
      </c>
      <c r="J303">
        <v>1.2544999999999999</v>
      </c>
      <c r="K303">
        <v>17.824000000000002</v>
      </c>
      <c r="L303">
        <v>3.1300000000000001E-2</v>
      </c>
      <c r="M303">
        <v>5.9799999999999999E-2</v>
      </c>
      <c r="Q303">
        <v>1.0571999999999999</v>
      </c>
      <c r="R303">
        <f>(Q303-0.189)/1.3218</f>
        <v>0.65683159328188823</v>
      </c>
    </row>
    <row r="304" spans="1:22">
      <c r="B304" t="s">
        <v>22</v>
      </c>
      <c r="C304">
        <v>1</v>
      </c>
      <c r="D304">
        <v>4.4109999999999996</v>
      </c>
      <c r="E304">
        <v>3.1061999999999999</v>
      </c>
      <c r="F304">
        <v>6.3930999999999996</v>
      </c>
      <c r="G304" s="12">
        <f t="shared" ref="G304:G311" si="45">(E304+0.105)/3.3338</f>
        <v>0.96322514847921281</v>
      </c>
      <c r="H304">
        <v>6.4379999999999997</v>
      </c>
      <c r="I304">
        <v>1.7684</v>
      </c>
      <c r="J304">
        <v>0.55679999999999996</v>
      </c>
      <c r="Q304">
        <v>1.6080000000000001</v>
      </c>
      <c r="R304">
        <f t="shared" ref="R304:R311" si="46">(Q304-0.189)/1.3218</f>
        <v>1.073536087153881</v>
      </c>
      <c r="T304" t="s">
        <v>1179</v>
      </c>
    </row>
    <row r="305" spans="1:19">
      <c r="B305" t="s">
        <v>23</v>
      </c>
      <c r="C305">
        <v>1.5</v>
      </c>
      <c r="D305">
        <v>4.4180000000000001</v>
      </c>
      <c r="E305">
        <v>4.7674000000000003</v>
      </c>
      <c r="F305">
        <v>10.6911</v>
      </c>
      <c r="G305" s="12">
        <f t="shared" si="45"/>
        <v>1.4615153878457017</v>
      </c>
      <c r="H305">
        <v>6.8739999999999997</v>
      </c>
      <c r="I305">
        <v>0.50900000000000001</v>
      </c>
      <c r="J305">
        <v>0.35720000000000002</v>
      </c>
      <c r="K305">
        <v>17.821000000000002</v>
      </c>
      <c r="L305">
        <v>5.2200000000000003E-2</v>
      </c>
      <c r="M305">
        <v>0.1051</v>
      </c>
      <c r="Q305">
        <v>2.2323</v>
      </c>
      <c r="R305">
        <f t="shared" si="46"/>
        <v>1.5458465728551973</v>
      </c>
    </row>
    <row r="306" spans="1:19">
      <c r="B306" t="s">
        <v>24</v>
      </c>
      <c r="C306">
        <v>2</v>
      </c>
      <c r="D306">
        <v>4.4240000000000004</v>
      </c>
      <c r="E306">
        <v>6.5720000000000001</v>
      </c>
      <c r="F306">
        <v>15.5349</v>
      </c>
      <c r="G306" s="12">
        <f t="shared" si="45"/>
        <v>2.0028196052552643</v>
      </c>
      <c r="H306">
        <v>6.8609999999999998</v>
      </c>
      <c r="I306">
        <v>1.6414</v>
      </c>
      <c r="J306">
        <v>0.46279999999999999</v>
      </c>
      <c r="K306">
        <v>17.808</v>
      </c>
      <c r="L306">
        <v>8.9599999999999999E-2</v>
      </c>
      <c r="M306">
        <v>0.1782</v>
      </c>
      <c r="Q306">
        <v>2.9104999999999999</v>
      </c>
      <c r="R306">
        <f t="shared" si="46"/>
        <v>2.0589347858980176</v>
      </c>
    </row>
    <row r="307" spans="1:19">
      <c r="B307" t="s">
        <v>25</v>
      </c>
      <c r="C307">
        <v>2.5</v>
      </c>
      <c r="D307">
        <v>4.4279999999999999</v>
      </c>
      <c r="E307">
        <v>8.1560000000000006</v>
      </c>
      <c r="F307">
        <v>20.525400000000001</v>
      </c>
      <c r="G307" s="12">
        <f t="shared" si="45"/>
        <v>2.4779530865678807</v>
      </c>
      <c r="H307">
        <v>6.8579999999999997</v>
      </c>
      <c r="I307">
        <v>0.53759999999999997</v>
      </c>
      <c r="J307">
        <v>0.38440000000000002</v>
      </c>
      <c r="Q307">
        <v>3.5057999999999998</v>
      </c>
      <c r="R307">
        <f t="shared" si="46"/>
        <v>2.509305492510213</v>
      </c>
    </row>
    <row r="308" spans="1:19">
      <c r="B308" t="s">
        <v>26</v>
      </c>
      <c r="C308">
        <v>3</v>
      </c>
      <c r="D308">
        <v>4.431</v>
      </c>
      <c r="E308">
        <v>10.004300000000001</v>
      </c>
      <c r="F308">
        <v>26.186800000000002</v>
      </c>
      <c r="G308" s="12">
        <f t="shared" si="45"/>
        <v>3.0323654688343633</v>
      </c>
      <c r="H308">
        <v>6.8479999999999999</v>
      </c>
      <c r="I308">
        <v>0.52159999999999995</v>
      </c>
      <c r="J308">
        <v>0.4037</v>
      </c>
      <c r="K308">
        <v>10.701000000000001</v>
      </c>
      <c r="L308">
        <v>8.48E-2</v>
      </c>
      <c r="M308">
        <v>0.29799999999999999</v>
      </c>
      <c r="Q308">
        <v>4.2004999999999999</v>
      </c>
      <c r="R308">
        <f t="shared" si="46"/>
        <v>3.0348766833106366</v>
      </c>
    </row>
    <row r="309" spans="1:19">
      <c r="B309" t="s">
        <v>27</v>
      </c>
      <c r="C309">
        <v>5</v>
      </c>
      <c r="D309">
        <v>4.4450000000000003</v>
      </c>
      <c r="E309">
        <v>16.587499999999999</v>
      </c>
      <c r="F309">
        <v>47.023699999999998</v>
      </c>
      <c r="G309" s="12">
        <f t="shared" si="45"/>
        <v>5.0070490131381602</v>
      </c>
      <c r="H309">
        <v>6.8410000000000002</v>
      </c>
      <c r="I309">
        <v>1.5210999999999999</v>
      </c>
      <c r="J309">
        <v>0.5444</v>
      </c>
      <c r="K309">
        <v>17.818000000000001</v>
      </c>
      <c r="L309">
        <v>4.58E-2</v>
      </c>
      <c r="M309">
        <v>9.1700000000000004E-2</v>
      </c>
      <c r="Q309">
        <v>6.6745999999999999</v>
      </c>
      <c r="R309">
        <f t="shared" si="46"/>
        <v>4.9066424572552574</v>
      </c>
    </row>
    <row r="310" spans="1:19">
      <c r="B310" t="s">
        <v>19</v>
      </c>
      <c r="C310">
        <v>0</v>
      </c>
      <c r="D310">
        <v>6.4939999999999998</v>
      </c>
      <c r="E310">
        <v>0.28370000000000001</v>
      </c>
      <c r="F310">
        <v>1.6140000000000001</v>
      </c>
      <c r="G310" s="12">
        <f t="shared" si="45"/>
        <v>0.11659367688523606</v>
      </c>
      <c r="H310">
        <v>10.827999999999999</v>
      </c>
      <c r="I310">
        <v>0.68779999999999997</v>
      </c>
      <c r="J310">
        <v>2.4062000000000001</v>
      </c>
      <c r="K310">
        <v>18.064</v>
      </c>
      <c r="L310">
        <v>8.2600000000000007E-2</v>
      </c>
      <c r="M310">
        <v>0.16550000000000001</v>
      </c>
      <c r="Q310">
        <v>0</v>
      </c>
      <c r="R310">
        <f t="shared" si="46"/>
        <v>-0.14298683613254651</v>
      </c>
    </row>
    <row r="311" spans="1:19">
      <c r="B311" t="s">
        <v>20</v>
      </c>
      <c r="C311">
        <v>0</v>
      </c>
      <c r="D311">
        <v>6.4379999999999997</v>
      </c>
      <c r="E311">
        <v>1.0266</v>
      </c>
      <c r="F311">
        <v>1.4827999999999999</v>
      </c>
      <c r="G311" s="12">
        <f t="shared" si="45"/>
        <v>0.33943247945287658</v>
      </c>
      <c r="H311">
        <v>10.698</v>
      </c>
      <c r="I311">
        <v>0.64049999999999996</v>
      </c>
      <c r="J311">
        <v>2.2635999999999998</v>
      </c>
      <c r="K311">
        <v>17.814</v>
      </c>
      <c r="L311">
        <v>7.5499999999999998E-2</v>
      </c>
      <c r="M311">
        <v>0.1507</v>
      </c>
      <c r="Q311">
        <v>0</v>
      </c>
      <c r="R311">
        <f t="shared" si="46"/>
        <v>-0.14298683613254651</v>
      </c>
    </row>
    <row r="313" spans="1:19" ht="46.5">
      <c r="A313" s="10" t="s">
        <v>10</v>
      </c>
      <c r="B313" s="10" t="s">
        <v>15</v>
      </c>
      <c r="C313" s="10" t="s">
        <v>16</v>
      </c>
      <c r="D313" s="10" t="s">
        <v>2</v>
      </c>
      <c r="E313" s="10" t="s">
        <v>18</v>
      </c>
      <c r="F313" s="10" t="s">
        <v>17</v>
      </c>
      <c r="G313" s="208"/>
      <c r="H313" s="10" t="s">
        <v>2</v>
      </c>
      <c r="I313" s="10" t="s">
        <v>18</v>
      </c>
      <c r="J313" s="10" t="s">
        <v>17</v>
      </c>
      <c r="K313" s="10" t="s">
        <v>2</v>
      </c>
      <c r="L313" s="10" t="s">
        <v>18</v>
      </c>
      <c r="M313" s="10" t="s">
        <v>17</v>
      </c>
      <c r="N313" s="10" t="s">
        <v>2</v>
      </c>
      <c r="O313" s="10" t="s">
        <v>18</v>
      </c>
      <c r="P313" s="10" t="s">
        <v>17</v>
      </c>
      <c r="Q313" s="215" t="s">
        <v>906</v>
      </c>
      <c r="R313" s="10" t="s">
        <v>922</v>
      </c>
      <c r="S313" s="10" t="s">
        <v>1180</v>
      </c>
    </row>
    <row r="314" spans="1:19">
      <c r="A314" t="s">
        <v>905</v>
      </c>
      <c r="B314" s="10"/>
      <c r="C314" s="10">
        <v>0</v>
      </c>
      <c r="E314">
        <v>0</v>
      </c>
      <c r="F314">
        <v>0</v>
      </c>
    </row>
    <row r="315" spans="1:19">
      <c r="B315" t="s">
        <v>21</v>
      </c>
      <c r="C315">
        <v>0.5</v>
      </c>
      <c r="D315">
        <v>4.4009999999999998</v>
      </c>
      <c r="E315">
        <v>2.0388000000000002</v>
      </c>
      <c r="F315">
        <v>2.3380999999999998</v>
      </c>
      <c r="H315" s="12">
        <v>6.3849999999999998</v>
      </c>
      <c r="I315">
        <v>3.9100000000000003E-2</v>
      </c>
      <c r="J315">
        <v>0.21820000000000001</v>
      </c>
      <c r="Q315">
        <v>1.2068000000000001</v>
      </c>
      <c r="R315">
        <f>(Q315-0.5917)/1.1708</f>
        <v>0.52536727024256924</v>
      </c>
    </row>
    <row r="316" spans="1:19">
      <c r="B316" t="s">
        <v>22</v>
      </c>
      <c r="C316">
        <v>1</v>
      </c>
      <c r="D316">
        <v>4.4039999999999999</v>
      </c>
      <c r="E316">
        <v>3.2437999999999998</v>
      </c>
      <c r="F316">
        <v>5.5468999999999999</v>
      </c>
      <c r="H316">
        <v>6.8479999999999999</v>
      </c>
      <c r="I316">
        <v>1.6828000000000001</v>
      </c>
      <c r="J316">
        <v>0.43540000000000001</v>
      </c>
      <c r="Q316">
        <v>1.6597</v>
      </c>
      <c r="R316">
        <f t="shared" ref="R316:R321" si="47">(Q316-0.5917)/1.1708</f>
        <v>0.91219678852066965</v>
      </c>
    </row>
    <row r="317" spans="1:19">
      <c r="B317" t="s">
        <v>23</v>
      </c>
      <c r="C317">
        <v>1.5</v>
      </c>
      <c r="D317">
        <v>4.4109999999999996</v>
      </c>
      <c r="E317">
        <v>4.8872999999999998</v>
      </c>
      <c r="F317">
        <v>9.4190000000000005</v>
      </c>
      <c r="H317">
        <v>6.8440000000000003</v>
      </c>
      <c r="I317">
        <v>1.3005</v>
      </c>
      <c r="J317">
        <v>0.4456</v>
      </c>
      <c r="K317">
        <v>17.431000000000001</v>
      </c>
      <c r="L317">
        <v>5.8799999999999998E-2</v>
      </c>
      <c r="M317">
        <v>0.1211</v>
      </c>
      <c r="Q317">
        <v>2.2774000000000001</v>
      </c>
      <c r="R317">
        <f t="shared" si="47"/>
        <v>1.4397847625555178</v>
      </c>
    </row>
    <row r="318" spans="1:19">
      <c r="B318" t="s">
        <v>24</v>
      </c>
      <c r="C318">
        <v>2</v>
      </c>
      <c r="D318">
        <v>4.4210000000000003</v>
      </c>
      <c r="E318">
        <v>6.6444999999999999</v>
      </c>
      <c r="F318">
        <v>13.7254</v>
      </c>
      <c r="H318">
        <v>6.8410000000000002</v>
      </c>
      <c r="I318">
        <v>1.2758</v>
      </c>
      <c r="J318">
        <v>0.45889999999999997</v>
      </c>
      <c r="K318">
        <v>17.437999999999999</v>
      </c>
      <c r="L318">
        <v>0.10920000000000001</v>
      </c>
      <c r="M318">
        <v>0.22209999999999999</v>
      </c>
      <c r="Q318">
        <v>2.9378000000000002</v>
      </c>
      <c r="R318">
        <f t="shared" si="47"/>
        <v>2.0038435257943288</v>
      </c>
    </row>
    <row r="319" spans="1:19">
      <c r="B319" t="s">
        <v>25</v>
      </c>
      <c r="C319">
        <v>2.5</v>
      </c>
      <c r="D319">
        <v>4.4279999999999999</v>
      </c>
      <c r="E319">
        <v>8.3582000000000001</v>
      </c>
      <c r="F319">
        <v>18.082699999999999</v>
      </c>
      <c r="H319">
        <v>6.8380000000000001</v>
      </c>
      <c r="I319">
        <v>1.4327000000000001</v>
      </c>
      <c r="J319">
        <v>0.47889999999999999</v>
      </c>
      <c r="Q319">
        <v>3.5817999999999999</v>
      </c>
      <c r="R319">
        <f t="shared" si="47"/>
        <v>2.5538947728049197</v>
      </c>
    </row>
    <row r="320" spans="1:19">
      <c r="B320" t="s">
        <v>26</v>
      </c>
      <c r="C320">
        <v>3</v>
      </c>
      <c r="D320">
        <v>4.431</v>
      </c>
      <c r="E320">
        <v>10.2189</v>
      </c>
      <c r="F320">
        <v>22.908300000000001</v>
      </c>
      <c r="H320">
        <v>6.8339999999999996</v>
      </c>
      <c r="I320">
        <v>1.8503000000000001</v>
      </c>
      <c r="J320">
        <v>0.52739999999999998</v>
      </c>
      <c r="Q320">
        <v>4.2811000000000003</v>
      </c>
      <c r="R320">
        <f t="shared" si="47"/>
        <v>3.1511786812435942</v>
      </c>
    </row>
    <row r="321" spans="1:24">
      <c r="B321" t="s">
        <v>27</v>
      </c>
      <c r="C321">
        <v>5</v>
      </c>
      <c r="D321">
        <v>4.4409999999999998</v>
      </c>
      <c r="E321">
        <v>15.7111</v>
      </c>
      <c r="F321">
        <v>41.386899999999997</v>
      </c>
      <c r="Q321">
        <v>6.3452000000000002</v>
      </c>
      <c r="R321">
        <f t="shared" si="47"/>
        <v>4.9141612572599929</v>
      </c>
    </row>
    <row r="322" spans="1:24">
      <c r="B322" t="s">
        <v>19</v>
      </c>
      <c r="C322">
        <v>0</v>
      </c>
      <c r="H322">
        <v>6.415</v>
      </c>
      <c r="I322">
        <v>0.76270000000000004</v>
      </c>
      <c r="J322">
        <v>3.1175999999999999</v>
      </c>
      <c r="K322">
        <v>7.2610000000000001</v>
      </c>
      <c r="L322">
        <v>1.6093</v>
      </c>
      <c r="M322">
        <v>1.9495</v>
      </c>
      <c r="N322">
        <v>10.657999999999999</v>
      </c>
      <c r="O322">
        <v>1.0728</v>
      </c>
      <c r="P322">
        <v>2.3468</v>
      </c>
      <c r="Q322">
        <v>13.175000000000001</v>
      </c>
      <c r="R322">
        <v>0.28189999999999998</v>
      </c>
      <c r="S322">
        <v>0.20349999999999999</v>
      </c>
      <c r="T322">
        <v>15.257999999999999</v>
      </c>
      <c r="U322">
        <v>0.3402</v>
      </c>
      <c r="V322">
        <v>17.638000000000002</v>
      </c>
      <c r="W322">
        <v>0.12870000000000001</v>
      </c>
      <c r="X322">
        <v>0.24490000000000001</v>
      </c>
    </row>
    <row r="323" spans="1:24">
      <c r="B323" t="s">
        <v>20</v>
      </c>
      <c r="C323">
        <v>0</v>
      </c>
      <c r="H323">
        <v>6.3840000000000003</v>
      </c>
      <c r="I323">
        <v>0.57150000000000001</v>
      </c>
      <c r="J323">
        <v>3.1916000000000002</v>
      </c>
      <c r="K323">
        <v>10.554</v>
      </c>
      <c r="L323">
        <v>0.64670000000000005</v>
      </c>
      <c r="M323">
        <v>2.3134999999999999</v>
      </c>
      <c r="N323">
        <v>17.423999999999999</v>
      </c>
      <c r="O323">
        <v>0.11899999999999999</v>
      </c>
      <c r="P323">
        <v>0.2417</v>
      </c>
    </row>
    <row r="325" spans="1:24" ht="46.5">
      <c r="A325" s="10" t="s">
        <v>10</v>
      </c>
      <c r="B325" s="10" t="s">
        <v>15</v>
      </c>
      <c r="C325" s="10" t="s">
        <v>16</v>
      </c>
      <c r="D325" s="10" t="s">
        <v>2</v>
      </c>
      <c r="E325" s="10" t="s">
        <v>18</v>
      </c>
      <c r="F325" s="10" t="s">
        <v>17</v>
      </c>
      <c r="G325" s="208"/>
      <c r="H325" s="10" t="s">
        <v>2</v>
      </c>
      <c r="I325" s="10" t="s">
        <v>18</v>
      </c>
      <c r="J325" s="10" t="s">
        <v>17</v>
      </c>
      <c r="K325" s="10" t="s">
        <v>2</v>
      </c>
      <c r="L325" s="10" t="s">
        <v>18</v>
      </c>
      <c r="M325" s="10" t="s">
        <v>17</v>
      </c>
      <c r="N325" s="10" t="s">
        <v>2</v>
      </c>
      <c r="O325" s="10" t="s">
        <v>18</v>
      </c>
      <c r="P325" s="10" t="s">
        <v>17</v>
      </c>
      <c r="Q325" s="215" t="s">
        <v>906</v>
      </c>
      <c r="R325" s="10" t="s">
        <v>922</v>
      </c>
    </row>
    <row r="326" spans="1:24">
      <c r="A326" t="s">
        <v>947</v>
      </c>
      <c r="B326" s="10"/>
      <c r="C326" s="10">
        <v>0</v>
      </c>
      <c r="E326">
        <v>0</v>
      </c>
      <c r="F326">
        <v>0</v>
      </c>
    </row>
    <row r="327" spans="1:24">
      <c r="B327" t="s">
        <v>21</v>
      </c>
      <c r="C327">
        <v>0.5</v>
      </c>
      <c r="D327">
        <v>4.4080000000000004</v>
      </c>
      <c r="E327">
        <v>3.3576999999999999</v>
      </c>
      <c r="F327">
        <v>2.4739</v>
      </c>
      <c r="H327">
        <v>6.3810000000000002</v>
      </c>
      <c r="I327">
        <v>4.7399999999999998E-2</v>
      </c>
      <c r="J327">
        <v>0.26779999999999998</v>
      </c>
      <c r="N327">
        <v>17.378</v>
      </c>
      <c r="O327">
        <v>4.99E-2</v>
      </c>
      <c r="P327">
        <v>0.1003</v>
      </c>
      <c r="Q327">
        <v>1.7024999999999999</v>
      </c>
    </row>
    <row r="328" spans="1:24">
      <c r="B328" t="s">
        <v>22</v>
      </c>
      <c r="C328">
        <v>1</v>
      </c>
      <c r="D328">
        <v>4.4180000000000001</v>
      </c>
      <c r="E328">
        <v>3.4639000000000002</v>
      </c>
      <c r="F328">
        <v>5.4291999999999998</v>
      </c>
      <c r="H328">
        <v>6.3810000000000002</v>
      </c>
      <c r="I328">
        <v>3.0700000000000002E-2</v>
      </c>
      <c r="J328">
        <v>0.18</v>
      </c>
      <c r="N328">
        <v>17.393999999999998</v>
      </c>
      <c r="O328">
        <v>3.27E-2</v>
      </c>
      <c r="P328">
        <v>6.7199999999999996E-2</v>
      </c>
      <c r="Q328">
        <v>1.7423999999999999</v>
      </c>
    </row>
    <row r="329" spans="1:24">
      <c r="B329" t="s">
        <v>23</v>
      </c>
      <c r="C329">
        <v>1.5</v>
      </c>
      <c r="D329">
        <v>4.4240000000000004</v>
      </c>
      <c r="E329">
        <v>4.9104999999999999</v>
      </c>
      <c r="F329">
        <v>8.4764999999999997</v>
      </c>
      <c r="H329">
        <v>6.8209999999999997</v>
      </c>
      <c r="I329">
        <v>0.52229999999999999</v>
      </c>
      <c r="J329">
        <v>0.37940000000000002</v>
      </c>
      <c r="N329">
        <v>17.390999999999998</v>
      </c>
      <c r="O329">
        <v>7.3499999999999996E-2</v>
      </c>
      <c r="P329">
        <v>0.14910000000000001</v>
      </c>
      <c r="Q329">
        <v>2.2860999999999998</v>
      </c>
      <c r="R329" t="s">
        <v>1178</v>
      </c>
    </row>
    <row r="330" spans="1:24">
      <c r="B330" t="s">
        <v>24</v>
      </c>
      <c r="C330">
        <v>2</v>
      </c>
      <c r="D330">
        <v>4.4340000000000002</v>
      </c>
      <c r="E330">
        <v>6.4641000000000002</v>
      </c>
      <c r="F330">
        <v>12.2151</v>
      </c>
      <c r="H330">
        <v>6.3810000000000002</v>
      </c>
      <c r="I330">
        <v>0.74139999999999995</v>
      </c>
      <c r="J330">
        <v>0.76429999999999998</v>
      </c>
      <c r="N330">
        <v>17.384</v>
      </c>
      <c r="O330">
        <v>0.14899999999999999</v>
      </c>
      <c r="P330">
        <v>0.30869999999999997</v>
      </c>
      <c r="Q330">
        <v>2.87</v>
      </c>
    </row>
    <row r="331" spans="1:24">
      <c r="B331" t="s">
        <v>25</v>
      </c>
      <c r="C331">
        <v>2.5</v>
      </c>
      <c r="D331">
        <v>4.4349999999999996</v>
      </c>
      <c r="E331">
        <v>8.0908999999999995</v>
      </c>
      <c r="F331">
        <v>15.9427</v>
      </c>
      <c r="H331">
        <v>6.3710000000000004</v>
      </c>
      <c r="I331">
        <v>0.75460000000000005</v>
      </c>
      <c r="J331">
        <v>0.62260000000000004</v>
      </c>
      <c r="N331">
        <v>17.381</v>
      </c>
      <c r="O331">
        <v>7.7200000000000005E-2</v>
      </c>
      <c r="P331">
        <v>0.1573</v>
      </c>
      <c r="Q331">
        <v>3.4813999999999998</v>
      </c>
    </row>
    <row r="332" spans="1:24">
      <c r="B332" t="s">
        <v>26</v>
      </c>
      <c r="C332">
        <v>3</v>
      </c>
      <c r="D332">
        <v>4.4409999999999998</v>
      </c>
      <c r="E332">
        <v>9.9878</v>
      </c>
      <c r="F332">
        <v>20.2986</v>
      </c>
      <c r="H332">
        <v>6.3710000000000004</v>
      </c>
      <c r="I332">
        <v>1.6496999999999999</v>
      </c>
      <c r="J332">
        <v>0.71319999999999995</v>
      </c>
      <c r="Q332">
        <v>4.1943000000000001</v>
      </c>
    </row>
    <row r="333" spans="1:24">
      <c r="B333" t="s">
        <v>27</v>
      </c>
      <c r="C333">
        <v>5</v>
      </c>
      <c r="D333">
        <v>4.4509999999999996</v>
      </c>
      <c r="E333">
        <v>16.435400000000001</v>
      </c>
      <c r="F333">
        <v>36.992100000000001</v>
      </c>
      <c r="H333">
        <v>6.3710000000000004</v>
      </c>
      <c r="I333">
        <v>1.6821999999999999</v>
      </c>
      <c r="J333">
        <v>0.89739999999999998</v>
      </c>
      <c r="N333">
        <v>17.375</v>
      </c>
      <c r="O333">
        <v>3.1899999999999998E-2</v>
      </c>
      <c r="P333">
        <v>6.7000000000000004E-2</v>
      </c>
      <c r="Q333">
        <v>6.6174999999999997</v>
      </c>
    </row>
    <row r="334" spans="1:24">
      <c r="B334" t="s">
        <v>19</v>
      </c>
      <c r="C334">
        <v>0</v>
      </c>
      <c r="D334">
        <v>4.8639999999999999</v>
      </c>
      <c r="E334">
        <v>7.4999999999999997E-2</v>
      </c>
      <c r="F334">
        <v>0</v>
      </c>
      <c r="H334">
        <v>6.4109999999999996</v>
      </c>
      <c r="I334">
        <v>0.90300000000000002</v>
      </c>
      <c r="J334">
        <v>5.1296999999999997</v>
      </c>
      <c r="K334">
        <v>10.587</v>
      </c>
      <c r="L334">
        <v>1.6697</v>
      </c>
      <c r="M334">
        <v>6.0029000000000003</v>
      </c>
      <c r="N334">
        <v>17.466999999999999</v>
      </c>
      <c r="O334">
        <v>0.21820000000000001</v>
      </c>
      <c r="P334">
        <v>0.44679999999999997</v>
      </c>
      <c r="Q334">
        <v>0.46879999999999999</v>
      </c>
      <c r="S334">
        <v>20.564</v>
      </c>
      <c r="T334">
        <v>0.17219999999999999</v>
      </c>
      <c r="U334">
        <v>0.1042</v>
      </c>
    </row>
    <row r="335" spans="1:24">
      <c r="B335" t="s">
        <v>20</v>
      </c>
      <c r="C335">
        <v>0</v>
      </c>
      <c r="D335">
        <v>0</v>
      </c>
      <c r="E335">
        <v>0</v>
      </c>
      <c r="F335">
        <v>0</v>
      </c>
      <c r="H335">
        <v>6.3979999999999997</v>
      </c>
      <c r="I335">
        <v>0.88280000000000003</v>
      </c>
      <c r="J335">
        <v>4.0763999999999996</v>
      </c>
      <c r="K335">
        <v>10.548</v>
      </c>
      <c r="L335">
        <v>1.6521999999999999</v>
      </c>
      <c r="M335">
        <v>5.9823000000000004</v>
      </c>
      <c r="N335">
        <v>17.390999999999998</v>
      </c>
      <c r="O335">
        <v>0.20860000000000001</v>
      </c>
      <c r="P335">
        <v>0.42659999999999998</v>
      </c>
      <c r="Q335">
        <v>0</v>
      </c>
    </row>
    <row r="337" spans="1:19" ht="31">
      <c r="A337" s="10" t="s">
        <v>10</v>
      </c>
      <c r="B337" s="10" t="s">
        <v>15</v>
      </c>
      <c r="C337" s="10" t="s">
        <v>16</v>
      </c>
      <c r="D337" s="10" t="s">
        <v>2</v>
      </c>
      <c r="E337" s="10" t="s">
        <v>18</v>
      </c>
      <c r="F337" s="10" t="s">
        <v>17</v>
      </c>
      <c r="G337" s="208"/>
      <c r="H337" s="10" t="s">
        <v>2</v>
      </c>
      <c r="I337" s="10" t="s">
        <v>18</v>
      </c>
      <c r="J337" s="10" t="s">
        <v>17</v>
      </c>
      <c r="K337" s="10" t="s">
        <v>2</v>
      </c>
      <c r="L337" s="10" t="s">
        <v>18</v>
      </c>
      <c r="M337" s="10" t="s">
        <v>17</v>
      </c>
      <c r="N337" s="10" t="s">
        <v>2</v>
      </c>
      <c r="O337" s="10" t="s">
        <v>18</v>
      </c>
      <c r="P337" s="10" t="s">
        <v>17</v>
      </c>
      <c r="Q337" s="215" t="s">
        <v>906</v>
      </c>
      <c r="R337" s="10" t="s">
        <v>1059</v>
      </c>
    </row>
    <row r="338" spans="1:19">
      <c r="A338" t="s">
        <v>1025</v>
      </c>
      <c r="B338" s="10"/>
      <c r="C338" s="10">
        <v>0</v>
      </c>
      <c r="F338">
        <v>0</v>
      </c>
    </row>
    <row r="339" spans="1:19">
      <c r="B339" t="s">
        <v>21</v>
      </c>
      <c r="C339">
        <v>0.5</v>
      </c>
      <c r="D339">
        <v>4.391</v>
      </c>
      <c r="E339">
        <v>1.3227</v>
      </c>
      <c r="F339">
        <v>2.3496000000000001</v>
      </c>
      <c r="G339" s="12">
        <f>(E339+0.247)/3.2403</f>
        <v>0.48443045397031143</v>
      </c>
      <c r="H339">
        <v>6.3339999999999996</v>
      </c>
      <c r="I339">
        <v>9.2600000000000002E-2</v>
      </c>
      <c r="J339">
        <v>0.53080000000000005</v>
      </c>
      <c r="Q339">
        <v>0.93769999999999998</v>
      </c>
    </row>
    <row r="340" spans="1:19">
      <c r="B340" t="s">
        <v>22</v>
      </c>
      <c r="C340">
        <v>1</v>
      </c>
      <c r="D340">
        <v>4.391</v>
      </c>
      <c r="E340">
        <v>3.1049000000000002</v>
      </c>
      <c r="F340">
        <v>5.6449999999999996</v>
      </c>
      <c r="G340" s="12">
        <f t="shared" ref="G340:G346" si="48">(E340+0.247)/3.2403</f>
        <v>1.0344412554393112</v>
      </c>
      <c r="H340">
        <v>6.3280000000000003</v>
      </c>
      <c r="I340">
        <v>0.64659999999999995</v>
      </c>
      <c r="J340">
        <v>0.47499999999999998</v>
      </c>
      <c r="Q340">
        <v>1.6074999999999999</v>
      </c>
    </row>
    <row r="341" spans="1:19">
      <c r="B341" t="s">
        <v>23</v>
      </c>
      <c r="C341">
        <v>1.5</v>
      </c>
      <c r="D341">
        <v>4.3979999999999997</v>
      </c>
      <c r="E341">
        <v>4.7015000000000002</v>
      </c>
      <c r="F341">
        <v>8.9248999999999992</v>
      </c>
      <c r="G341" s="12">
        <f t="shared" si="48"/>
        <v>1.5271734098694565</v>
      </c>
      <c r="H341">
        <v>6.7140000000000004</v>
      </c>
      <c r="I341">
        <v>0.53180000000000005</v>
      </c>
      <c r="J341">
        <v>0.40200000000000002</v>
      </c>
      <c r="N341">
        <v>17.053999999999998</v>
      </c>
      <c r="O341">
        <v>6.2300000000000001E-2</v>
      </c>
      <c r="P341">
        <v>0.13250000000000001</v>
      </c>
      <c r="Q341">
        <v>2.2075</v>
      </c>
      <c r="R341" t="s">
        <v>1177</v>
      </c>
    </row>
    <row r="342" spans="1:19">
      <c r="B342" t="s">
        <v>24</v>
      </c>
      <c r="C342">
        <v>2</v>
      </c>
      <c r="D342">
        <v>4.4050000000000002</v>
      </c>
      <c r="E342">
        <v>5.8041</v>
      </c>
      <c r="F342">
        <v>12.810499999999999</v>
      </c>
      <c r="G342" s="12">
        <f t="shared" si="48"/>
        <v>1.867450544702651</v>
      </c>
      <c r="H342">
        <v>6.3310000000000004</v>
      </c>
      <c r="I342">
        <v>5.0900000000000001E-2</v>
      </c>
      <c r="J342">
        <v>0.25600000000000001</v>
      </c>
      <c r="N342">
        <v>17.055</v>
      </c>
      <c r="O342">
        <v>8.7499999999999994E-2</v>
      </c>
      <c r="P342">
        <v>0.18559999999999999</v>
      </c>
      <c r="Q342">
        <v>2.6219000000000001</v>
      </c>
    </row>
    <row r="343" spans="1:19">
      <c r="B343" t="s">
        <v>25</v>
      </c>
      <c r="C343">
        <v>2.5</v>
      </c>
      <c r="D343">
        <v>4.4109999999999996</v>
      </c>
      <c r="E343">
        <v>8.0182000000000002</v>
      </c>
      <c r="F343">
        <v>16.828199999999999</v>
      </c>
      <c r="G343" s="12">
        <f t="shared" si="48"/>
        <v>2.5507514736289849</v>
      </c>
      <c r="H343">
        <v>6.7009999999999996</v>
      </c>
      <c r="I343">
        <v>1.3768</v>
      </c>
      <c r="J343">
        <v>0.53039999999999998</v>
      </c>
      <c r="Q343">
        <v>3.4540000000000002</v>
      </c>
    </row>
    <row r="344" spans="1:19">
      <c r="B344" t="s">
        <v>26</v>
      </c>
      <c r="C344">
        <v>3</v>
      </c>
      <c r="D344">
        <v>4.4180000000000001</v>
      </c>
      <c r="E344">
        <v>9.6487999999999996</v>
      </c>
      <c r="F344">
        <v>21.723299999999998</v>
      </c>
      <c r="G344" s="12">
        <f t="shared" si="48"/>
        <v>3.0539764836589205</v>
      </c>
      <c r="H344">
        <v>6.3310000000000004</v>
      </c>
      <c r="I344">
        <v>0.78959999999999997</v>
      </c>
      <c r="J344">
        <v>0.67349999999999999</v>
      </c>
      <c r="Q344">
        <v>4.0669000000000004</v>
      </c>
    </row>
    <row r="345" spans="1:19">
      <c r="B345" t="s">
        <v>27</v>
      </c>
      <c r="C345">
        <v>5</v>
      </c>
      <c r="D345">
        <v>4.431</v>
      </c>
      <c r="E345">
        <v>15.8954</v>
      </c>
      <c r="F345">
        <v>39.232700000000001</v>
      </c>
      <c r="G345" s="12">
        <f t="shared" si="48"/>
        <v>4.9817609480603657</v>
      </c>
      <c r="H345">
        <v>6.3410000000000002</v>
      </c>
      <c r="I345">
        <v>2.1196000000000002</v>
      </c>
      <c r="J345">
        <v>2.3942999999999999</v>
      </c>
      <c r="Q345">
        <v>6.4145000000000003</v>
      </c>
    </row>
    <row r="346" spans="1:19">
      <c r="B346" t="s">
        <v>19</v>
      </c>
      <c r="C346">
        <v>0</v>
      </c>
      <c r="D346">
        <v>4.2750000000000004</v>
      </c>
      <c r="E346">
        <v>0.65920000000000001</v>
      </c>
      <c r="F346">
        <v>1.665</v>
      </c>
      <c r="G346" s="12">
        <f t="shared" si="48"/>
        <v>0.27966546307440671</v>
      </c>
      <c r="H346">
        <v>6.4580000000000002</v>
      </c>
      <c r="I346">
        <v>0.5111</v>
      </c>
      <c r="J346">
        <v>2.6345999999999998</v>
      </c>
      <c r="K346">
        <v>8.0079999999999991</v>
      </c>
      <c r="L346">
        <v>0.35420000000000001</v>
      </c>
      <c r="M346">
        <v>0.64729999999999999</v>
      </c>
      <c r="N346">
        <v>10.590999999999999</v>
      </c>
      <c r="O346">
        <v>2.3073999999999999</v>
      </c>
      <c r="P346">
        <v>5.6036999999999999</v>
      </c>
      <c r="Q346">
        <v>0.68830000000000002</v>
      </c>
    </row>
    <row r="347" spans="1:19">
      <c r="B347" t="s">
        <v>20</v>
      </c>
      <c r="C347">
        <v>0</v>
      </c>
      <c r="H347">
        <v>6.3479999999999999</v>
      </c>
      <c r="I347">
        <v>0.43519999999999998</v>
      </c>
      <c r="J347">
        <v>2.5741999999999998</v>
      </c>
      <c r="K347">
        <v>10.404</v>
      </c>
      <c r="L347">
        <v>1.4034</v>
      </c>
      <c r="M347">
        <v>5.2606000000000002</v>
      </c>
      <c r="N347">
        <v>17.050999999999998</v>
      </c>
      <c r="O347">
        <v>3.9600000000000003E-2</v>
      </c>
      <c r="P347">
        <v>8.48E-2</v>
      </c>
      <c r="Q347">
        <v>0</v>
      </c>
    </row>
    <row r="348" spans="1:19">
      <c r="B348" t="s">
        <v>1022</v>
      </c>
      <c r="C348">
        <v>1</v>
      </c>
      <c r="H348">
        <v>6.3440000000000003</v>
      </c>
      <c r="I348">
        <v>2.3170999999999999</v>
      </c>
      <c r="J348">
        <v>13.9742</v>
      </c>
      <c r="K348">
        <v>10.401</v>
      </c>
      <c r="L348">
        <v>0.29249999999999998</v>
      </c>
      <c r="M348">
        <v>1.0725</v>
      </c>
      <c r="N348">
        <v>17.068000000000001</v>
      </c>
      <c r="O348">
        <v>1.5482</v>
      </c>
      <c r="P348">
        <v>3.2768000000000002</v>
      </c>
    </row>
    <row r="349" spans="1:19">
      <c r="B349" t="s">
        <v>1023</v>
      </c>
      <c r="C349">
        <v>5</v>
      </c>
      <c r="H349">
        <v>6.3639999999999999</v>
      </c>
      <c r="I349">
        <v>13.9841</v>
      </c>
      <c r="J349">
        <v>79.202399999999997</v>
      </c>
      <c r="K349">
        <v>10.401</v>
      </c>
      <c r="L349">
        <v>0.27239999999999998</v>
      </c>
      <c r="M349">
        <v>1.0036</v>
      </c>
      <c r="N349">
        <v>17.030999999999999</v>
      </c>
      <c r="O349">
        <v>7.9116999999999997</v>
      </c>
      <c r="P349">
        <v>17.3279</v>
      </c>
    </row>
    <row r="350" spans="1:19">
      <c r="B350" t="s">
        <v>1024</v>
      </c>
      <c r="C350">
        <v>10</v>
      </c>
      <c r="H350">
        <v>6.3840000000000003</v>
      </c>
      <c r="I350">
        <v>28.361000000000001</v>
      </c>
      <c r="J350">
        <v>159.15389999999999</v>
      </c>
      <c r="K350">
        <v>10.397</v>
      </c>
      <c r="L350">
        <v>0.30709999999999998</v>
      </c>
      <c r="M350">
        <v>1.129</v>
      </c>
      <c r="N350">
        <v>16.981000000000002</v>
      </c>
      <c r="O350">
        <v>17.047699999999999</v>
      </c>
      <c r="P350">
        <v>37.898800000000001</v>
      </c>
    </row>
    <row r="352" spans="1:19" ht="46.5">
      <c r="A352" s="10" t="s">
        <v>10</v>
      </c>
      <c r="B352" s="10" t="s">
        <v>15</v>
      </c>
      <c r="C352" s="10" t="s">
        <v>16</v>
      </c>
      <c r="D352" s="10" t="s">
        <v>2</v>
      </c>
      <c r="E352" s="10" t="s">
        <v>18</v>
      </c>
      <c r="F352" s="10" t="s">
        <v>17</v>
      </c>
      <c r="G352" s="208"/>
      <c r="H352" s="10" t="s">
        <v>2</v>
      </c>
      <c r="I352" s="10" t="s">
        <v>18</v>
      </c>
      <c r="J352" s="10" t="s">
        <v>17</v>
      </c>
      <c r="K352" s="10" t="s">
        <v>2</v>
      </c>
      <c r="L352" s="10" t="s">
        <v>18</v>
      </c>
      <c r="M352" s="10" t="s">
        <v>17</v>
      </c>
      <c r="N352" s="10" t="s">
        <v>2</v>
      </c>
      <c r="O352" s="10" t="s">
        <v>18</v>
      </c>
      <c r="P352" s="10" t="s">
        <v>17</v>
      </c>
      <c r="Q352" s="267" t="s">
        <v>906</v>
      </c>
      <c r="R352" s="10" t="s">
        <v>1061</v>
      </c>
      <c r="S352" s="10" t="s">
        <v>1181</v>
      </c>
    </row>
    <row r="353" spans="1:22">
      <c r="A353" t="s">
        <v>1060</v>
      </c>
      <c r="B353" s="10"/>
      <c r="C353" s="10">
        <v>0</v>
      </c>
      <c r="E353">
        <v>0</v>
      </c>
    </row>
    <row r="354" spans="1:22">
      <c r="B354" t="s">
        <v>21</v>
      </c>
      <c r="C354">
        <v>0.5</v>
      </c>
      <c r="D354">
        <v>4.3879999999999999</v>
      </c>
      <c r="E354">
        <v>1.6765000000000001</v>
      </c>
      <c r="F354">
        <v>2.7118000000000002</v>
      </c>
      <c r="H354">
        <v>6.3339999999999996</v>
      </c>
      <c r="I354">
        <v>0.89100000000000001</v>
      </c>
      <c r="J354">
        <v>0.5806</v>
      </c>
    </row>
    <row r="355" spans="1:22">
      <c r="B355" t="s">
        <v>22</v>
      </c>
      <c r="C355">
        <v>1</v>
      </c>
      <c r="D355">
        <v>4.4009999999999998</v>
      </c>
      <c r="E355">
        <v>3.4839000000000002</v>
      </c>
      <c r="F355">
        <v>6.1871</v>
      </c>
      <c r="H355">
        <v>6.7409999999999997</v>
      </c>
      <c r="I355">
        <v>1.2959000000000001</v>
      </c>
      <c r="J355">
        <v>0.4425</v>
      </c>
    </row>
    <row r="356" spans="1:22">
      <c r="B356" t="s">
        <v>23</v>
      </c>
      <c r="C356">
        <v>1.5</v>
      </c>
      <c r="D356">
        <v>4.4039999999999999</v>
      </c>
      <c r="E356">
        <v>4.3906000000000001</v>
      </c>
      <c r="F356">
        <v>9.5505999999999993</v>
      </c>
      <c r="N356">
        <v>17.094000000000001</v>
      </c>
      <c r="O356">
        <v>7.2400000000000006E-2</v>
      </c>
      <c r="P356">
        <v>0.15049999999999999</v>
      </c>
    </row>
    <row r="357" spans="1:22">
      <c r="B357" t="s">
        <v>24</v>
      </c>
      <c r="C357">
        <v>2</v>
      </c>
      <c r="D357">
        <v>4.4109999999999996</v>
      </c>
      <c r="E357">
        <v>6.0355999999999996</v>
      </c>
      <c r="F357">
        <v>13.662000000000001</v>
      </c>
      <c r="N357">
        <v>17.097999999999999</v>
      </c>
      <c r="O357">
        <v>9.0300000000000005E-2</v>
      </c>
      <c r="P357">
        <v>0.18820000000000001</v>
      </c>
    </row>
    <row r="358" spans="1:22">
      <c r="B358" t="s">
        <v>25</v>
      </c>
      <c r="C358">
        <v>2.5</v>
      </c>
      <c r="D358">
        <v>4.4180000000000001</v>
      </c>
      <c r="E358">
        <v>8.2049000000000003</v>
      </c>
      <c r="F358">
        <v>17.764299999999999</v>
      </c>
      <c r="H358">
        <v>6.7350000000000003</v>
      </c>
      <c r="I358">
        <v>1.4077</v>
      </c>
      <c r="J358">
        <v>0.51200000000000001</v>
      </c>
    </row>
    <row r="359" spans="1:22">
      <c r="B359" t="s">
        <v>26</v>
      </c>
      <c r="C359">
        <v>3</v>
      </c>
      <c r="D359">
        <v>4.4180000000000001</v>
      </c>
      <c r="E359">
        <v>9.8119999999999994</v>
      </c>
      <c r="F359">
        <v>22.9422</v>
      </c>
      <c r="H359">
        <v>6.3339999999999996</v>
      </c>
      <c r="I359">
        <v>0.8105</v>
      </c>
      <c r="J359">
        <v>0.84640000000000004</v>
      </c>
    </row>
    <row r="360" spans="1:22">
      <c r="B360" t="s">
        <v>27</v>
      </c>
      <c r="C360">
        <v>5</v>
      </c>
      <c r="D360">
        <v>4.431</v>
      </c>
      <c r="E360">
        <v>15.3543</v>
      </c>
      <c r="F360">
        <v>40.7453</v>
      </c>
      <c r="N360">
        <v>17.094000000000001</v>
      </c>
      <c r="O360">
        <v>3.7900000000000003E-2</v>
      </c>
      <c r="P360">
        <v>8.0500000000000002E-2</v>
      </c>
    </row>
    <row r="361" spans="1:22">
      <c r="B361" t="s">
        <v>19</v>
      </c>
      <c r="C361">
        <v>0</v>
      </c>
      <c r="H361">
        <v>6.3579999999999997</v>
      </c>
      <c r="I361">
        <v>0.92200000000000004</v>
      </c>
      <c r="J361">
        <v>3.0682999999999998</v>
      </c>
      <c r="K361">
        <v>7.5579999999999998</v>
      </c>
      <c r="L361">
        <v>0.22109999999999999</v>
      </c>
      <c r="M361">
        <v>0.44719999999999999</v>
      </c>
      <c r="N361">
        <v>10.444000000000001</v>
      </c>
      <c r="O361">
        <v>1.6692</v>
      </c>
      <c r="P361">
        <v>6.2369000000000003</v>
      </c>
      <c r="Q361">
        <v>14.808</v>
      </c>
      <c r="R361">
        <v>0.1547</v>
      </c>
      <c r="S361">
        <v>0.1953</v>
      </c>
      <c r="T361">
        <v>17.207999999999998</v>
      </c>
      <c r="U361">
        <v>3.32E-2</v>
      </c>
      <c r="V361">
        <v>7.2900000000000006E-2</v>
      </c>
    </row>
    <row r="362" spans="1:22">
      <c r="B362" t="s">
        <v>20</v>
      </c>
      <c r="C362">
        <v>0</v>
      </c>
      <c r="H362">
        <v>6.3550000000000004</v>
      </c>
      <c r="I362">
        <v>0.48909999999999998</v>
      </c>
      <c r="J362">
        <v>2.8874</v>
      </c>
      <c r="N362">
        <v>10.404999999999999</v>
      </c>
      <c r="O362">
        <v>1.6620999999999999</v>
      </c>
      <c r="P362">
        <v>6.2633999999999999</v>
      </c>
    </row>
    <row r="364" spans="1:22" ht="46.5">
      <c r="A364" s="10" t="s">
        <v>10</v>
      </c>
      <c r="B364" s="10" t="s">
        <v>15</v>
      </c>
      <c r="C364" s="10" t="s">
        <v>16</v>
      </c>
      <c r="D364" s="10" t="s">
        <v>2</v>
      </c>
      <c r="E364" s="10" t="s">
        <v>18</v>
      </c>
      <c r="F364" s="10" t="s">
        <v>17</v>
      </c>
      <c r="G364" s="208"/>
      <c r="H364" s="10" t="s">
        <v>2</v>
      </c>
      <c r="I364" s="10" t="s">
        <v>18</v>
      </c>
      <c r="J364" s="10" t="s">
        <v>17</v>
      </c>
      <c r="K364" s="10" t="s">
        <v>2</v>
      </c>
      <c r="L364" s="10" t="s">
        <v>18</v>
      </c>
      <c r="M364" s="10" t="s">
        <v>17</v>
      </c>
      <c r="N364" s="10" t="s">
        <v>2</v>
      </c>
      <c r="O364" s="10" t="s">
        <v>18</v>
      </c>
      <c r="P364" s="10" t="s">
        <v>17</v>
      </c>
      <c r="Q364" s="276" t="s">
        <v>906</v>
      </c>
      <c r="R364" s="10" t="s">
        <v>1293</v>
      </c>
    </row>
    <row r="365" spans="1:22">
      <c r="A365" t="s">
        <v>1274</v>
      </c>
      <c r="B365" s="10"/>
      <c r="C365" s="10">
        <v>0</v>
      </c>
    </row>
    <row r="366" spans="1:22">
      <c r="B366" t="s">
        <v>21</v>
      </c>
      <c r="C366">
        <v>0.5</v>
      </c>
      <c r="D366">
        <v>4.3810000000000002</v>
      </c>
      <c r="E366">
        <v>2.2473000000000001</v>
      </c>
      <c r="F366">
        <v>2.68</v>
      </c>
      <c r="H366">
        <v>6.3109999999999999</v>
      </c>
      <c r="I366">
        <v>8.3699999999999997E-2</v>
      </c>
      <c r="J366">
        <v>0.46550000000000002</v>
      </c>
      <c r="Q366">
        <v>1.2851999999999999</v>
      </c>
    </row>
    <row r="367" spans="1:22">
      <c r="B367" t="s">
        <v>22</v>
      </c>
      <c r="C367">
        <v>1</v>
      </c>
      <c r="D367">
        <v>4.3949999999999996</v>
      </c>
      <c r="E367">
        <v>3.3022</v>
      </c>
      <c r="F367">
        <v>5.7819000000000003</v>
      </c>
      <c r="H367">
        <v>6.7549999999999999</v>
      </c>
      <c r="I367">
        <v>2.5999999999999999E-2</v>
      </c>
      <c r="J367">
        <v>8.7300000000000003E-2</v>
      </c>
      <c r="Q367">
        <v>1.6816</v>
      </c>
    </row>
    <row r="368" spans="1:22">
      <c r="B368" t="s">
        <v>23</v>
      </c>
      <c r="C368">
        <v>1.5</v>
      </c>
      <c r="D368">
        <v>4.4009999999999998</v>
      </c>
      <c r="E368">
        <v>4.6561000000000003</v>
      </c>
      <c r="F368">
        <v>8.6919000000000004</v>
      </c>
      <c r="H368">
        <v>6.7539999999999996</v>
      </c>
      <c r="I368">
        <v>2.3800000000000002E-2</v>
      </c>
      <c r="J368">
        <v>8.3099999999999993E-2</v>
      </c>
      <c r="N368">
        <v>16.914000000000001</v>
      </c>
      <c r="O368">
        <v>7.2900000000000006E-2</v>
      </c>
      <c r="P368">
        <v>0.15390000000000001</v>
      </c>
      <c r="Q368">
        <v>2.1905000000000001</v>
      </c>
    </row>
    <row r="369" spans="1:19">
      <c r="B369" t="s">
        <v>24</v>
      </c>
      <c r="C369">
        <v>2</v>
      </c>
      <c r="D369">
        <v>4.4080000000000004</v>
      </c>
      <c r="E369">
        <v>6.3399000000000001</v>
      </c>
      <c r="F369">
        <v>12.3048</v>
      </c>
      <c r="H369">
        <v>6.3010000000000002</v>
      </c>
      <c r="I369">
        <v>1.4777</v>
      </c>
      <c r="J369">
        <v>0.86009999999999998</v>
      </c>
      <c r="N369">
        <v>16.917999999999999</v>
      </c>
      <c r="O369">
        <v>9.0200000000000002E-2</v>
      </c>
      <c r="P369">
        <v>0.19209999999999999</v>
      </c>
      <c r="Q369">
        <v>2.8233000000000001</v>
      </c>
    </row>
    <row r="370" spans="1:19">
      <c r="B370" t="s">
        <v>25</v>
      </c>
      <c r="C370">
        <v>2.5</v>
      </c>
      <c r="D370">
        <v>4.4139999999999997</v>
      </c>
      <c r="E370">
        <v>7.2072000000000003</v>
      </c>
      <c r="F370">
        <v>15.795400000000001</v>
      </c>
      <c r="Q370">
        <v>3.1492</v>
      </c>
    </row>
    <row r="371" spans="1:19">
      <c r="B371" t="s">
        <v>26</v>
      </c>
      <c r="C371">
        <v>3</v>
      </c>
      <c r="D371">
        <v>4.4139999999999997</v>
      </c>
      <c r="E371">
        <v>9.0458999999999996</v>
      </c>
      <c r="F371">
        <v>20.4924</v>
      </c>
      <c r="Q371">
        <v>3.8403</v>
      </c>
    </row>
    <row r="372" spans="1:19">
      <c r="B372" t="s">
        <v>27</v>
      </c>
      <c r="C372">
        <v>5</v>
      </c>
      <c r="D372">
        <v>4.431</v>
      </c>
      <c r="E372">
        <v>16.400600000000001</v>
      </c>
      <c r="F372">
        <v>36.6158</v>
      </c>
      <c r="Q372">
        <v>6.6044</v>
      </c>
    </row>
    <row r="373" spans="1:19">
      <c r="B373" t="s">
        <v>19</v>
      </c>
      <c r="C373">
        <v>0</v>
      </c>
      <c r="D373">
        <v>6.3339999999999996</v>
      </c>
      <c r="E373">
        <v>1.6343000000000001</v>
      </c>
      <c r="F373">
        <v>6.9996999999999998</v>
      </c>
      <c r="H373">
        <v>7.6310000000000002</v>
      </c>
      <c r="I373">
        <v>0.63859999999999995</v>
      </c>
      <c r="J373">
        <v>0.66659999999999997</v>
      </c>
      <c r="K373">
        <v>10.361000000000001</v>
      </c>
      <c r="L373">
        <v>4.1699000000000002</v>
      </c>
      <c r="M373">
        <v>14.869400000000001</v>
      </c>
      <c r="N373">
        <v>14.898</v>
      </c>
      <c r="O373">
        <v>0.45050000000000001</v>
      </c>
      <c r="P373">
        <v>0.27660000000000001</v>
      </c>
      <c r="Q373">
        <v>17.024000000000001</v>
      </c>
      <c r="R373">
        <v>3.3399999999999999E-2</v>
      </c>
      <c r="S373">
        <v>6.8500000000000005E-2</v>
      </c>
    </row>
    <row r="374" spans="1:19">
      <c r="B374" t="s">
        <v>20</v>
      </c>
      <c r="C374">
        <v>0</v>
      </c>
      <c r="D374">
        <v>6.3239999999999998</v>
      </c>
      <c r="E374">
        <v>1.3121</v>
      </c>
      <c r="F374">
        <v>6.7502000000000004</v>
      </c>
      <c r="H374">
        <v>10.318</v>
      </c>
      <c r="I374">
        <v>3.9117999999999999</v>
      </c>
      <c r="J374">
        <v>14.838200000000001</v>
      </c>
      <c r="K374">
        <v>16.928000000000001</v>
      </c>
      <c r="L374">
        <v>3.49E-2</v>
      </c>
      <c r="M374">
        <v>7.46E-2</v>
      </c>
    </row>
    <row r="376" spans="1:19" ht="31">
      <c r="A376" s="10" t="s">
        <v>10</v>
      </c>
      <c r="B376" s="10" t="s">
        <v>15</v>
      </c>
      <c r="C376" s="10" t="s">
        <v>16</v>
      </c>
      <c r="D376" s="10" t="s">
        <v>2</v>
      </c>
      <c r="E376" s="10" t="s">
        <v>18</v>
      </c>
      <c r="F376" s="10" t="s">
        <v>17</v>
      </c>
      <c r="G376" s="208"/>
      <c r="H376" s="10" t="s">
        <v>2</v>
      </c>
      <c r="I376" s="10" t="s">
        <v>18</v>
      </c>
      <c r="J376" s="10" t="s">
        <v>17</v>
      </c>
      <c r="K376" s="10" t="s">
        <v>2</v>
      </c>
      <c r="L376" s="10" t="s">
        <v>18</v>
      </c>
      <c r="M376" s="10" t="s">
        <v>17</v>
      </c>
      <c r="N376" s="10" t="s">
        <v>2</v>
      </c>
      <c r="O376" s="10" t="s">
        <v>18</v>
      </c>
      <c r="P376" s="10" t="s">
        <v>17</v>
      </c>
      <c r="Q376" s="278" t="s">
        <v>906</v>
      </c>
      <c r="R376" s="10" t="s">
        <v>1397</v>
      </c>
    </row>
    <row r="377" spans="1:19">
      <c r="A377" t="s">
        <v>1296</v>
      </c>
      <c r="B377" s="10"/>
      <c r="C377" s="10">
        <v>0</v>
      </c>
    </row>
    <row r="378" spans="1:19">
      <c r="B378" t="s">
        <v>21</v>
      </c>
      <c r="C378">
        <v>0.5</v>
      </c>
      <c r="D378">
        <v>4.3680000000000003</v>
      </c>
      <c r="E378">
        <v>1.3531</v>
      </c>
      <c r="F378">
        <v>2.0680000000000001</v>
      </c>
      <c r="H378">
        <v>6.2510000000000003</v>
      </c>
      <c r="I378">
        <v>5.8299999999999998E-2</v>
      </c>
      <c r="J378">
        <v>0.29630000000000001</v>
      </c>
      <c r="Q378">
        <v>0.94910000000000005</v>
      </c>
    </row>
    <row r="379" spans="1:19">
      <c r="B379" t="s">
        <v>22</v>
      </c>
      <c r="C379">
        <v>1</v>
      </c>
      <c r="D379">
        <v>4.3810000000000002</v>
      </c>
      <c r="E379">
        <v>2.6040999999999999</v>
      </c>
      <c r="F379">
        <v>4.3278999999999996</v>
      </c>
      <c r="N379">
        <v>16.698</v>
      </c>
      <c r="O379">
        <v>3.6499999999999998E-2</v>
      </c>
      <c r="P379">
        <v>7.5499999999999998E-2</v>
      </c>
      <c r="Q379">
        <v>1.4193</v>
      </c>
    </row>
    <row r="380" spans="1:19">
      <c r="B380" t="s">
        <v>23</v>
      </c>
      <c r="C380">
        <v>1.5</v>
      </c>
      <c r="D380">
        <v>4.3849999999999998</v>
      </c>
      <c r="E380">
        <v>3.7921999999999998</v>
      </c>
      <c r="F380">
        <v>6.5593000000000004</v>
      </c>
      <c r="N380">
        <v>16.684999999999999</v>
      </c>
      <c r="O380">
        <v>8.5800000000000001E-2</v>
      </c>
      <c r="P380">
        <v>0.17829999999999999</v>
      </c>
      <c r="Q380">
        <v>1.8657999999999999</v>
      </c>
    </row>
    <row r="381" spans="1:19">
      <c r="B381" t="s">
        <v>24</v>
      </c>
      <c r="C381">
        <v>2</v>
      </c>
      <c r="D381">
        <v>4.3879999999999999</v>
      </c>
      <c r="E381">
        <v>5.9473000000000003</v>
      </c>
      <c r="F381">
        <v>9.6996000000000002</v>
      </c>
      <c r="H381">
        <v>6.2409999999999997</v>
      </c>
      <c r="I381">
        <v>1.1248</v>
      </c>
      <c r="J381">
        <v>0.79430000000000001</v>
      </c>
      <c r="N381">
        <v>16.684000000000001</v>
      </c>
      <c r="O381">
        <v>8.4199999999999997E-2</v>
      </c>
      <c r="P381">
        <v>0.17299999999999999</v>
      </c>
      <c r="Q381">
        <v>2.6757</v>
      </c>
    </row>
    <row r="382" spans="1:19">
      <c r="B382" t="s">
        <v>25</v>
      </c>
      <c r="C382">
        <v>2.5</v>
      </c>
      <c r="D382">
        <v>4.391</v>
      </c>
      <c r="E382">
        <v>7.4055</v>
      </c>
      <c r="F382">
        <v>12.758699999999999</v>
      </c>
      <c r="H382">
        <v>6.2409999999999997</v>
      </c>
      <c r="I382">
        <v>1.2363999999999999</v>
      </c>
      <c r="J382">
        <v>0.8851</v>
      </c>
      <c r="Q382">
        <v>3.2238000000000002</v>
      </c>
    </row>
    <row r="383" spans="1:19">
      <c r="B383" t="s">
        <v>26</v>
      </c>
      <c r="C383">
        <v>3</v>
      </c>
      <c r="D383">
        <v>4.3949999999999996</v>
      </c>
      <c r="E383">
        <v>8.3612000000000002</v>
      </c>
      <c r="F383">
        <v>16.625900000000001</v>
      </c>
      <c r="Q383">
        <v>3.5830000000000002</v>
      </c>
    </row>
    <row r="384" spans="1:19">
      <c r="B384" t="s">
        <v>27</v>
      </c>
      <c r="C384">
        <v>5</v>
      </c>
      <c r="D384">
        <v>4.4050000000000002</v>
      </c>
      <c r="E384">
        <v>15.1951</v>
      </c>
      <c r="F384">
        <v>30.470800000000001</v>
      </c>
      <c r="Q384">
        <v>6.1513</v>
      </c>
    </row>
    <row r="385" spans="1:19">
      <c r="B385" t="s">
        <v>19</v>
      </c>
      <c r="C385">
        <v>0</v>
      </c>
      <c r="D385">
        <v>4.9610000000000003</v>
      </c>
      <c r="E385">
        <v>0.1832</v>
      </c>
      <c r="F385">
        <v>0.1825</v>
      </c>
      <c r="H385">
        <v>6.3109999999999999</v>
      </c>
      <c r="I385">
        <v>0.6482</v>
      </c>
      <c r="J385">
        <v>3.4146000000000001</v>
      </c>
      <c r="K385">
        <v>10.257999999999999</v>
      </c>
      <c r="L385">
        <v>1.5387999999999999</v>
      </c>
      <c r="M385">
        <v>5.1459999999999999</v>
      </c>
      <c r="N385">
        <v>16.814</v>
      </c>
      <c r="O385">
        <v>0.20069999999999999</v>
      </c>
      <c r="P385">
        <v>0.42080000000000001</v>
      </c>
      <c r="Q385">
        <v>0.50949999999999995</v>
      </c>
    </row>
    <row r="386" spans="1:19">
      <c r="B386" t="s">
        <v>20</v>
      </c>
      <c r="C386">
        <v>0</v>
      </c>
      <c r="H386">
        <v>6.258</v>
      </c>
      <c r="I386">
        <v>0.59870000000000001</v>
      </c>
      <c r="J386">
        <v>3.3885000000000001</v>
      </c>
      <c r="K386">
        <v>10.161</v>
      </c>
      <c r="L386">
        <v>1.3606</v>
      </c>
      <c r="M386">
        <v>5.0202</v>
      </c>
      <c r="N386">
        <v>16.681000000000001</v>
      </c>
      <c r="O386">
        <v>0.19750000000000001</v>
      </c>
      <c r="P386">
        <v>0.41220000000000001</v>
      </c>
    </row>
    <row r="388" spans="1:19" ht="31">
      <c r="A388" s="10" t="s">
        <v>10</v>
      </c>
      <c r="B388" s="10" t="s">
        <v>15</v>
      </c>
      <c r="C388" s="10" t="s">
        <v>16</v>
      </c>
      <c r="D388" s="10" t="s">
        <v>2</v>
      </c>
      <c r="E388" s="10" t="s">
        <v>18</v>
      </c>
      <c r="F388" s="10" t="s">
        <v>17</v>
      </c>
      <c r="G388" s="208"/>
      <c r="H388" s="10" t="s">
        <v>2</v>
      </c>
      <c r="I388" s="10" t="s">
        <v>18</v>
      </c>
      <c r="J388" s="10" t="s">
        <v>17</v>
      </c>
      <c r="K388" s="10" t="s">
        <v>2</v>
      </c>
      <c r="L388" s="10" t="s">
        <v>18</v>
      </c>
      <c r="M388" s="10" t="s">
        <v>17</v>
      </c>
      <c r="N388" s="10" t="s">
        <v>2</v>
      </c>
      <c r="O388" s="10" t="s">
        <v>18</v>
      </c>
      <c r="P388" s="10" t="s">
        <v>17</v>
      </c>
      <c r="Q388" s="310" t="s">
        <v>906</v>
      </c>
      <c r="R388" s="10" t="s">
        <v>1398</v>
      </c>
    </row>
    <row r="389" spans="1:19">
      <c r="A389" t="s">
        <v>1374</v>
      </c>
      <c r="B389" s="10"/>
      <c r="C389" s="10">
        <v>0</v>
      </c>
    </row>
    <row r="390" spans="1:19">
      <c r="B390" t="s">
        <v>21</v>
      </c>
      <c r="C390">
        <v>0.5</v>
      </c>
      <c r="D390">
        <v>4.3810000000000002</v>
      </c>
      <c r="E390">
        <v>1.5176000000000001</v>
      </c>
      <c r="F390">
        <v>2.0125000000000002</v>
      </c>
      <c r="H390">
        <v>6.2640000000000002</v>
      </c>
      <c r="I390">
        <v>0.64629999999999999</v>
      </c>
      <c r="J390">
        <v>0.8357</v>
      </c>
      <c r="Q390">
        <v>1.0108999999999999</v>
      </c>
    </row>
    <row r="391" spans="1:19">
      <c r="B391" t="s">
        <v>22</v>
      </c>
      <c r="C391">
        <v>1</v>
      </c>
      <c r="D391">
        <v>4.3879999999999999</v>
      </c>
      <c r="E391">
        <v>3.2324999999999999</v>
      </c>
      <c r="F391">
        <v>4.5782999999999996</v>
      </c>
      <c r="H391">
        <v>6.258</v>
      </c>
      <c r="I391">
        <v>3.1199999999999999E-2</v>
      </c>
      <c r="J391">
        <v>0.187</v>
      </c>
      <c r="K391">
        <v>6.6580000000000004</v>
      </c>
      <c r="L391">
        <v>1.0083</v>
      </c>
      <c r="M391">
        <v>0.43840000000000001</v>
      </c>
      <c r="Q391">
        <v>1.6554</v>
      </c>
    </row>
    <row r="392" spans="1:19">
      <c r="B392" t="s">
        <v>23</v>
      </c>
      <c r="C392">
        <v>1.5</v>
      </c>
      <c r="D392">
        <v>4.3979999999999997</v>
      </c>
      <c r="E392">
        <v>3.8254999999999999</v>
      </c>
      <c r="F392">
        <v>6.9896000000000003</v>
      </c>
      <c r="N392">
        <v>16.728000000000002</v>
      </c>
      <c r="O392">
        <v>7.7299999999999994E-2</v>
      </c>
      <c r="P392">
        <v>0.15939999999999999</v>
      </c>
      <c r="Q392">
        <v>1.8783000000000001</v>
      </c>
    </row>
    <row r="393" spans="1:19">
      <c r="B393" t="s">
        <v>24</v>
      </c>
      <c r="C393">
        <v>2</v>
      </c>
      <c r="D393">
        <v>4.3979999999999997</v>
      </c>
      <c r="E393">
        <v>5.5167000000000002</v>
      </c>
      <c r="F393">
        <v>10.1572</v>
      </c>
      <c r="H393">
        <v>6.2610000000000001</v>
      </c>
      <c r="I393">
        <v>0.11459999999999999</v>
      </c>
      <c r="J393">
        <v>0.5202</v>
      </c>
      <c r="N393">
        <v>16.701000000000001</v>
      </c>
      <c r="O393">
        <v>8.3599999999999994E-2</v>
      </c>
      <c r="P393">
        <v>0.17330000000000001</v>
      </c>
      <c r="Q393">
        <v>2.5139</v>
      </c>
    </row>
    <row r="394" spans="1:19">
      <c r="B394" t="s">
        <v>25</v>
      </c>
      <c r="C394">
        <v>2.5</v>
      </c>
      <c r="D394">
        <v>4.3979999999999997</v>
      </c>
      <c r="E394">
        <v>7.7274000000000003</v>
      </c>
      <c r="F394">
        <v>13.427899999999999</v>
      </c>
      <c r="H394">
        <v>6.6310000000000002</v>
      </c>
      <c r="I394">
        <v>1.4797</v>
      </c>
      <c r="J394">
        <v>0.58330000000000004</v>
      </c>
      <c r="Q394">
        <v>3.3448000000000002</v>
      </c>
    </row>
    <row r="395" spans="1:19">
      <c r="B395" t="s">
        <v>26</v>
      </c>
      <c r="C395">
        <v>3</v>
      </c>
      <c r="D395">
        <v>4.4080000000000004</v>
      </c>
      <c r="E395">
        <v>9.6874000000000002</v>
      </c>
      <c r="F395">
        <v>17.7957</v>
      </c>
      <c r="H395">
        <v>6.6210000000000004</v>
      </c>
      <c r="I395">
        <v>0.31230000000000002</v>
      </c>
      <c r="J395">
        <v>0.6381</v>
      </c>
      <c r="Q395">
        <v>4.0814000000000004</v>
      </c>
    </row>
    <row r="396" spans="1:19">
      <c r="B396" t="s">
        <v>27</v>
      </c>
      <c r="C396">
        <v>5</v>
      </c>
      <c r="D396">
        <v>4.4180000000000001</v>
      </c>
      <c r="E396">
        <v>15.139900000000001</v>
      </c>
      <c r="F396">
        <v>31.516999999999999</v>
      </c>
      <c r="H396">
        <v>6.2640000000000002</v>
      </c>
      <c r="I396">
        <v>2.0922999999999998</v>
      </c>
      <c r="J396">
        <v>2.6787000000000001</v>
      </c>
      <c r="Q396">
        <v>6.1306000000000003</v>
      </c>
    </row>
    <row r="397" spans="1:19">
      <c r="B397" t="s">
        <v>19</v>
      </c>
      <c r="C397">
        <v>0</v>
      </c>
      <c r="H397">
        <v>6.3109999999999999</v>
      </c>
      <c r="I397">
        <v>0.2339</v>
      </c>
      <c r="J397">
        <v>0.92320000000000002</v>
      </c>
      <c r="K397">
        <v>10.260999999999999</v>
      </c>
      <c r="L397">
        <v>0.55120000000000002</v>
      </c>
      <c r="M397">
        <v>1.9983</v>
      </c>
      <c r="N397">
        <v>14.004</v>
      </c>
      <c r="O397">
        <v>0.37090000000000001</v>
      </c>
      <c r="P397">
        <v>0.23</v>
      </c>
      <c r="Q397">
        <v>16.858000000000001</v>
      </c>
      <c r="R397">
        <v>5.6099999999999997E-2</v>
      </c>
      <c r="S397">
        <v>0.109</v>
      </c>
    </row>
    <row r="398" spans="1:19">
      <c r="B398" t="s">
        <v>20</v>
      </c>
      <c r="C398">
        <v>0</v>
      </c>
      <c r="H398">
        <v>6.2649999999999997</v>
      </c>
      <c r="I398">
        <v>0.30020000000000002</v>
      </c>
      <c r="J398">
        <v>0.8881</v>
      </c>
      <c r="K398">
        <v>10.170999999999999</v>
      </c>
      <c r="L398">
        <v>0.54869999999999997</v>
      </c>
      <c r="M398">
        <v>1.9964</v>
      </c>
    </row>
    <row r="399" spans="1:19">
      <c r="B399" t="s">
        <v>1392</v>
      </c>
      <c r="D399">
        <v>4.3680000000000003</v>
      </c>
      <c r="E399">
        <v>10.419</v>
      </c>
      <c r="F399">
        <v>25.418199999999999</v>
      </c>
      <c r="H399">
        <v>6.3449999999999998</v>
      </c>
      <c r="I399">
        <v>11.2235</v>
      </c>
      <c r="J399">
        <v>51.511200000000002</v>
      </c>
      <c r="K399">
        <v>10.185</v>
      </c>
      <c r="L399">
        <v>0.224</v>
      </c>
      <c r="M399">
        <v>0.44230000000000003</v>
      </c>
      <c r="N399">
        <v>16.538</v>
      </c>
      <c r="O399">
        <v>40.637500000000003</v>
      </c>
      <c r="P399">
        <v>88.963499999999996</v>
      </c>
      <c r="Q399">
        <v>4.3563000000000001</v>
      </c>
    </row>
    <row r="400" spans="1:19">
      <c r="B400" t="s">
        <v>1393</v>
      </c>
      <c r="D400">
        <v>4.3609999999999998</v>
      </c>
      <c r="E400">
        <v>9.0027000000000008</v>
      </c>
      <c r="F400">
        <v>22.660499999999999</v>
      </c>
      <c r="H400">
        <v>6.407</v>
      </c>
      <c r="I400">
        <v>26.558199999999999</v>
      </c>
      <c r="J400">
        <v>125.77760000000001</v>
      </c>
      <c r="K400">
        <v>10.204000000000001</v>
      </c>
      <c r="L400">
        <v>6.1899999999999997E-2</v>
      </c>
      <c r="M400">
        <v>0.21609999999999999</v>
      </c>
      <c r="N400" t="s">
        <v>1394</v>
      </c>
      <c r="O400" t="s">
        <v>1395</v>
      </c>
      <c r="P400" t="s">
        <v>1396</v>
      </c>
      <c r="Q400">
        <v>3.8239999999999998</v>
      </c>
    </row>
    <row r="402" spans="1:19" ht="46.5">
      <c r="A402" s="10" t="s">
        <v>10</v>
      </c>
      <c r="B402" s="10" t="s">
        <v>15</v>
      </c>
      <c r="C402" s="10" t="s">
        <v>16</v>
      </c>
      <c r="D402" s="10" t="s">
        <v>2</v>
      </c>
      <c r="E402" s="10" t="s">
        <v>18</v>
      </c>
      <c r="F402" s="10" t="s">
        <v>17</v>
      </c>
      <c r="G402" s="208"/>
      <c r="H402" s="10" t="s">
        <v>2</v>
      </c>
      <c r="I402" s="10" t="s">
        <v>18</v>
      </c>
      <c r="J402" s="10" t="s">
        <v>17</v>
      </c>
      <c r="K402" s="10" t="s">
        <v>2</v>
      </c>
      <c r="L402" s="10" t="s">
        <v>18</v>
      </c>
      <c r="M402" s="10" t="s">
        <v>17</v>
      </c>
      <c r="N402" s="10" t="s">
        <v>2</v>
      </c>
      <c r="O402" s="10" t="s">
        <v>18</v>
      </c>
      <c r="P402" s="10" t="s">
        <v>17</v>
      </c>
      <c r="Q402" s="349" t="s">
        <v>906</v>
      </c>
      <c r="R402" s="10" t="s">
        <v>1426</v>
      </c>
    </row>
    <row r="403" spans="1:19">
      <c r="A403" t="s">
        <v>1419</v>
      </c>
      <c r="B403" s="10"/>
      <c r="C403" s="10">
        <v>0</v>
      </c>
    </row>
    <row r="404" spans="1:19">
      <c r="B404" t="s">
        <v>21</v>
      </c>
      <c r="C404">
        <v>0.5</v>
      </c>
      <c r="D404">
        <v>4.4039999999999999</v>
      </c>
      <c r="E404">
        <v>1.6096999999999999</v>
      </c>
      <c r="F404">
        <v>2.1038999999999999</v>
      </c>
      <c r="H404">
        <v>6.2779999999999996</v>
      </c>
      <c r="I404">
        <v>1.2814000000000001</v>
      </c>
      <c r="J404">
        <v>1.0388999999999999</v>
      </c>
      <c r="N404">
        <v>16.920999999999999</v>
      </c>
      <c r="O404">
        <v>4.48E-2</v>
      </c>
      <c r="P404">
        <v>9.2600000000000002E-2</v>
      </c>
      <c r="Q404">
        <v>1.0455000000000001</v>
      </c>
    </row>
    <row r="405" spans="1:19">
      <c r="B405" t="s">
        <v>22</v>
      </c>
      <c r="C405">
        <v>1</v>
      </c>
      <c r="D405">
        <v>4.4080000000000004</v>
      </c>
      <c r="E405">
        <v>5.0278</v>
      </c>
      <c r="F405">
        <v>4.7453000000000003</v>
      </c>
      <c r="H405">
        <v>6.7140000000000004</v>
      </c>
      <c r="I405">
        <v>3.0599999999999999E-2</v>
      </c>
      <c r="J405">
        <v>0.10299999999999999</v>
      </c>
      <c r="N405">
        <v>16.917999999999999</v>
      </c>
      <c r="O405">
        <v>3.4099999999999998E-2</v>
      </c>
      <c r="P405">
        <v>6.7100000000000007E-2</v>
      </c>
      <c r="Q405">
        <v>2.3302</v>
      </c>
    </row>
    <row r="406" spans="1:19">
      <c r="B406" t="s">
        <v>23</v>
      </c>
      <c r="C406">
        <v>1.5</v>
      </c>
      <c r="D406">
        <v>4.4109999999999996</v>
      </c>
      <c r="E406">
        <v>4.4188000000000001</v>
      </c>
      <c r="F406">
        <v>7.4535999999999998</v>
      </c>
      <c r="H406">
        <v>6.2679999999999998</v>
      </c>
      <c r="I406">
        <v>1.9461999999999999</v>
      </c>
      <c r="J406">
        <v>0.72060000000000002</v>
      </c>
      <c r="N406">
        <v>16.914000000000001</v>
      </c>
      <c r="O406">
        <v>9.1499999999999998E-2</v>
      </c>
      <c r="P406">
        <v>0.192</v>
      </c>
      <c r="Q406">
        <v>2.1013000000000002</v>
      </c>
      <c r="R406" t="s">
        <v>1425</v>
      </c>
    </row>
    <row r="407" spans="1:19">
      <c r="B407" t="s">
        <v>24</v>
      </c>
      <c r="C407">
        <v>2</v>
      </c>
      <c r="D407">
        <v>4.4180000000000001</v>
      </c>
      <c r="E407">
        <v>6.3604000000000003</v>
      </c>
      <c r="F407">
        <v>10.9971</v>
      </c>
      <c r="H407">
        <v>6.274</v>
      </c>
      <c r="I407">
        <v>9.5100000000000004E-2</v>
      </c>
      <c r="J407">
        <v>0.54420000000000002</v>
      </c>
      <c r="N407">
        <v>16.914000000000001</v>
      </c>
      <c r="O407">
        <v>0.1192</v>
      </c>
      <c r="P407">
        <v>0.2404</v>
      </c>
      <c r="Q407">
        <v>2.831</v>
      </c>
    </row>
    <row r="408" spans="1:19">
      <c r="B408" t="s">
        <v>25</v>
      </c>
      <c r="C408">
        <v>2.5</v>
      </c>
      <c r="D408">
        <v>4.4210000000000003</v>
      </c>
      <c r="E408">
        <v>7.8672000000000004</v>
      </c>
      <c r="F408">
        <v>14.331899999999999</v>
      </c>
      <c r="H408">
        <v>6.6950000000000003</v>
      </c>
      <c r="I408">
        <v>1.0981000000000001</v>
      </c>
      <c r="J408">
        <v>0.58560000000000001</v>
      </c>
      <c r="Q408">
        <v>3.3973</v>
      </c>
    </row>
    <row r="409" spans="1:19">
      <c r="B409" t="s">
        <v>26</v>
      </c>
      <c r="C409">
        <v>3</v>
      </c>
      <c r="D409">
        <v>4.4240000000000004</v>
      </c>
      <c r="E409">
        <v>8.8223000000000003</v>
      </c>
      <c r="F409">
        <v>18.640599999999999</v>
      </c>
      <c r="Q409">
        <v>3.7562000000000002</v>
      </c>
    </row>
    <row r="410" spans="1:19">
      <c r="B410" t="s">
        <v>27</v>
      </c>
      <c r="C410">
        <v>5</v>
      </c>
      <c r="D410">
        <v>4.4340000000000002</v>
      </c>
      <c r="E410">
        <v>15.5556</v>
      </c>
      <c r="F410">
        <v>32.536200000000001</v>
      </c>
      <c r="H410">
        <v>6.2709999999999999</v>
      </c>
      <c r="I410">
        <v>1.9591000000000001</v>
      </c>
      <c r="J410">
        <v>1.4901</v>
      </c>
      <c r="N410">
        <v>16.911000000000001</v>
      </c>
      <c r="O410">
        <v>5.7700000000000001E-2</v>
      </c>
      <c r="P410">
        <v>0.11749999999999999</v>
      </c>
      <c r="Q410">
        <v>6.2826000000000004</v>
      </c>
    </row>
    <row r="411" spans="1:19">
      <c r="B411" t="s">
        <v>19</v>
      </c>
      <c r="C411">
        <v>0</v>
      </c>
      <c r="H411">
        <v>6.2809999999999997</v>
      </c>
      <c r="I411">
        <v>1.1088</v>
      </c>
      <c r="J411">
        <v>2.0152999999999999</v>
      </c>
      <c r="K411">
        <v>10.180999999999999</v>
      </c>
      <c r="L411">
        <v>1.1482000000000001</v>
      </c>
      <c r="M411">
        <v>4.2031000000000001</v>
      </c>
      <c r="N411">
        <v>16.948</v>
      </c>
      <c r="O411">
        <v>4.9700000000000001E-2</v>
      </c>
      <c r="P411">
        <v>9.5699999999999993E-2</v>
      </c>
    </row>
    <row r="412" spans="1:19">
      <c r="B412" t="s">
        <v>20</v>
      </c>
      <c r="C412">
        <v>0</v>
      </c>
      <c r="H412">
        <v>6.2779999999999996</v>
      </c>
      <c r="I412">
        <v>1.0981000000000001</v>
      </c>
      <c r="J412">
        <v>1.9846999999999999</v>
      </c>
      <c r="K412">
        <v>10.178000000000001</v>
      </c>
      <c r="L412">
        <v>1.1477999999999999</v>
      </c>
      <c r="M412">
        <v>4.2026000000000003</v>
      </c>
      <c r="N412">
        <v>16.928000000000001</v>
      </c>
      <c r="O412">
        <v>3.0700000000000002E-2</v>
      </c>
      <c r="P412">
        <v>6.6600000000000006E-2</v>
      </c>
    </row>
    <row r="414" spans="1:19" ht="31">
      <c r="A414" s="10" t="s">
        <v>10</v>
      </c>
      <c r="B414" s="10" t="s">
        <v>15</v>
      </c>
      <c r="C414" s="10" t="s">
        <v>16</v>
      </c>
      <c r="D414" s="10" t="s">
        <v>2</v>
      </c>
      <c r="E414" s="10" t="s">
        <v>18</v>
      </c>
      <c r="F414" s="10" t="s">
        <v>17</v>
      </c>
      <c r="G414" s="208"/>
      <c r="H414" s="10" t="s">
        <v>2</v>
      </c>
      <c r="I414" s="10" t="s">
        <v>18</v>
      </c>
      <c r="J414" s="10" t="s">
        <v>17</v>
      </c>
      <c r="K414" s="10" t="s">
        <v>2</v>
      </c>
      <c r="L414" s="10" t="s">
        <v>18</v>
      </c>
      <c r="M414" s="10" t="s">
        <v>17</v>
      </c>
      <c r="N414" s="10" t="s">
        <v>2</v>
      </c>
      <c r="O414" s="10" t="s">
        <v>18</v>
      </c>
      <c r="P414" s="10" t="s">
        <v>17</v>
      </c>
      <c r="Q414" s="358" t="s">
        <v>906</v>
      </c>
      <c r="R414" s="10" t="s">
        <v>1487</v>
      </c>
    </row>
    <row r="415" spans="1:19">
      <c r="A415" t="s">
        <v>1436</v>
      </c>
      <c r="B415" s="10"/>
      <c r="C415" s="10">
        <v>0</v>
      </c>
    </row>
    <row r="416" spans="1:19">
      <c r="B416" t="s">
        <v>21</v>
      </c>
      <c r="C416">
        <v>0.5</v>
      </c>
      <c r="D416">
        <v>4.4480000000000004</v>
      </c>
      <c r="E416">
        <v>1.4382999999999999</v>
      </c>
      <c r="F416">
        <v>1.4192</v>
      </c>
      <c r="G416"/>
      <c r="H416">
        <v>6.2309999999999999</v>
      </c>
      <c r="I416">
        <v>1.079</v>
      </c>
      <c r="J416">
        <v>0.72970000000000002</v>
      </c>
      <c r="Q416">
        <v>0.98119999999999996</v>
      </c>
      <c r="R416">
        <v>1.4382999999999999</v>
      </c>
      <c r="S416">
        <v>0.5</v>
      </c>
    </row>
    <row r="417" spans="1:28">
      <c r="B417" t="s">
        <v>22</v>
      </c>
      <c r="C417">
        <v>1</v>
      </c>
      <c r="D417">
        <v>4.4640000000000004</v>
      </c>
      <c r="E417">
        <v>4.5975999999999999</v>
      </c>
      <c r="F417">
        <v>3.2553000000000001</v>
      </c>
      <c r="G417"/>
      <c r="H417">
        <v>6.2510000000000003</v>
      </c>
      <c r="I417">
        <v>3.1199999999999999E-2</v>
      </c>
      <c r="J417">
        <v>0.1832</v>
      </c>
      <c r="Q417">
        <v>2.1684999999999999</v>
      </c>
      <c r="R417">
        <v>3.4906000000000001</v>
      </c>
      <c r="S417">
        <v>1.5</v>
      </c>
    </row>
    <row r="418" spans="1:28">
      <c r="B418" t="s">
        <v>23</v>
      </c>
      <c r="C418">
        <v>1.5</v>
      </c>
      <c r="D418">
        <v>4.4710000000000001</v>
      </c>
      <c r="E418">
        <v>3.4906000000000001</v>
      </c>
      <c r="F418">
        <v>4.9259000000000004</v>
      </c>
      <c r="G418"/>
      <c r="N418">
        <v>16.568000000000001</v>
      </c>
      <c r="O418">
        <v>8.4199999999999997E-2</v>
      </c>
      <c r="P418">
        <v>0.1769</v>
      </c>
      <c r="Q418">
        <v>1.7524</v>
      </c>
      <c r="R418">
        <v>6.1864999999999997</v>
      </c>
      <c r="S418">
        <v>2</v>
      </c>
    </row>
    <row r="419" spans="1:28">
      <c r="B419" t="s">
        <v>24</v>
      </c>
      <c r="C419">
        <v>2</v>
      </c>
      <c r="D419">
        <v>4.4809999999999999</v>
      </c>
      <c r="E419">
        <v>6.1864999999999997</v>
      </c>
      <c r="F419">
        <v>7.3232999999999997</v>
      </c>
      <c r="G419"/>
      <c r="H419">
        <v>6.2510000000000003</v>
      </c>
      <c r="I419">
        <v>4.99E-2</v>
      </c>
      <c r="J419">
        <v>0.2964</v>
      </c>
      <c r="K419">
        <v>6.6310000000000002</v>
      </c>
      <c r="L419">
        <v>1.141</v>
      </c>
      <c r="M419">
        <v>0.70840000000000003</v>
      </c>
      <c r="N419">
        <v>16.584</v>
      </c>
      <c r="O419">
        <v>8.2699999999999996E-2</v>
      </c>
      <c r="P419">
        <v>0.16869999999999999</v>
      </c>
      <c r="Q419">
        <v>2.7656000000000001</v>
      </c>
      <c r="R419">
        <v>7.5904999999999996</v>
      </c>
      <c r="S419">
        <v>2.5</v>
      </c>
    </row>
    <row r="420" spans="1:28">
      <c r="B420" t="s">
        <v>25</v>
      </c>
      <c r="C420">
        <v>2.5</v>
      </c>
      <c r="D420">
        <v>4.484</v>
      </c>
      <c r="E420">
        <v>7.5904999999999996</v>
      </c>
      <c r="F420">
        <v>9.3872999999999998</v>
      </c>
      <c r="G420"/>
      <c r="H420">
        <v>6.6139999999999999</v>
      </c>
      <c r="I420">
        <v>0.82469999999999999</v>
      </c>
      <c r="J420">
        <v>0.73629999999999995</v>
      </c>
      <c r="Q420">
        <v>3.2932999999999999</v>
      </c>
      <c r="R420">
        <v>9.5827000000000009</v>
      </c>
      <c r="S420">
        <v>3</v>
      </c>
    </row>
    <row r="421" spans="1:28">
      <c r="B421" t="s">
        <v>26</v>
      </c>
      <c r="C421">
        <v>3</v>
      </c>
      <c r="D421">
        <v>4.4880000000000004</v>
      </c>
      <c r="E421">
        <v>9.5827000000000009</v>
      </c>
      <c r="F421">
        <v>12.235200000000001</v>
      </c>
      <c r="G421"/>
      <c r="H421">
        <v>6.6109999999999998</v>
      </c>
      <c r="I421">
        <v>1.8253999999999999</v>
      </c>
      <c r="J421">
        <v>0.89119999999999999</v>
      </c>
      <c r="Q421">
        <v>4.0419999999999998</v>
      </c>
      <c r="R421">
        <v>14.8782</v>
      </c>
      <c r="S421">
        <v>5</v>
      </c>
    </row>
    <row r="422" spans="1:28">
      <c r="B422" t="s">
        <v>27</v>
      </c>
      <c r="C422">
        <v>5</v>
      </c>
      <c r="D422">
        <v>4.4980000000000002</v>
      </c>
      <c r="E422">
        <v>14.8782</v>
      </c>
      <c r="F422">
        <v>21.4254</v>
      </c>
      <c r="G422"/>
      <c r="H422">
        <v>6.2409999999999997</v>
      </c>
      <c r="I422">
        <v>2.7694999999999999</v>
      </c>
      <c r="J422">
        <v>1.8267</v>
      </c>
      <c r="N422">
        <v>16.591000000000001</v>
      </c>
      <c r="O422">
        <v>3.6999999999999998E-2</v>
      </c>
      <c r="P422">
        <v>7.5399999999999995E-2</v>
      </c>
      <c r="Q422">
        <v>6.0321999999999996</v>
      </c>
    </row>
    <row r="423" spans="1:28">
      <c r="B423" t="s">
        <v>19</v>
      </c>
      <c r="C423">
        <v>0</v>
      </c>
      <c r="H423">
        <v>6.2809999999999997</v>
      </c>
      <c r="I423">
        <v>2.6579000000000002</v>
      </c>
      <c r="J423">
        <v>3.8837999999999999</v>
      </c>
      <c r="K423">
        <v>10.131</v>
      </c>
      <c r="L423">
        <v>1.2529999999999999</v>
      </c>
      <c r="M423">
        <v>4.2878999999999996</v>
      </c>
      <c r="N423">
        <v>13.128</v>
      </c>
      <c r="O423">
        <v>0.30759999999999998</v>
      </c>
      <c r="P423">
        <v>0.31040000000000001</v>
      </c>
    </row>
    <row r="424" spans="1:28">
      <c r="B424" t="s">
        <v>20</v>
      </c>
      <c r="C424">
        <v>0</v>
      </c>
      <c r="H424">
        <v>6.2539999999999996</v>
      </c>
      <c r="I424">
        <v>0.3175</v>
      </c>
      <c r="J424">
        <v>1.7679</v>
      </c>
      <c r="K424">
        <v>10.087999999999999</v>
      </c>
      <c r="L424">
        <v>1.1445000000000001</v>
      </c>
      <c r="M424">
        <v>4.1811999999999996</v>
      </c>
    </row>
    <row r="425" spans="1:28">
      <c r="W425" t="s">
        <v>1519</v>
      </c>
    </row>
    <row r="426" spans="1:28" ht="31">
      <c r="A426" s="10" t="s">
        <v>10</v>
      </c>
      <c r="B426" s="10" t="s">
        <v>15</v>
      </c>
      <c r="C426" s="10" t="s">
        <v>16</v>
      </c>
      <c r="D426" s="10" t="s">
        <v>2</v>
      </c>
      <c r="E426" s="10" t="s">
        <v>18</v>
      </c>
      <c r="F426" s="10" t="s">
        <v>17</v>
      </c>
      <c r="G426" s="381" t="s">
        <v>906</v>
      </c>
      <c r="H426" s="10" t="s">
        <v>2</v>
      </c>
      <c r="I426" s="10" t="s">
        <v>18</v>
      </c>
      <c r="J426" s="10" t="s">
        <v>17</v>
      </c>
      <c r="K426" s="10" t="s">
        <v>2</v>
      </c>
      <c r="L426" s="10" t="s">
        <v>18</v>
      </c>
      <c r="M426" s="10" t="s">
        <v>17</v>
      </c>
      <c r="N426" s="10" t="s">
        <v>2</v>
      </c>
      <c r="O426" s="10" t="s">
        <v>18</v>
      </c>
      <c r="P426" s="10" t="s">
        <v>17</v>
      </c>
      <c r="Q426" s="10" t="s">
        <v>1518</v>
      </c>
      <c r="V426" t="s">
        <v>213</v>
      </c>
      <c r="W426" t="s">
        <v>1520</v>
      </c>
      <c r="X426" t="s">
        <v>1521</v>
      </c>
      <c r="Y426" t="s">
        <v>1522</v>
      </c>
      <c r="Z426" t="s">
        <v>1525</v>
      </c>
      <c r="AB426" t="s">
        <v>1526</v>
      </c>
    </row>
    <row r="427" spans="1:28">
      <c r="A427" t="s">
        <v>1493</v>
      </c>
      <c r="B427" s="10"/>
      <c r="C427" s="10">
        <v>0</v>
      </c>
      <c r="G427"/>
      <c r="V427" t="s">
        <v>1493</v>
      </c>
      <c r="W427">
        <v>1</v>
      </c>
      <c r="X427" s="392">
        <v>2.2698999999999998</v>
      </c>
      <c r="Y427" s="403">
        <v>1.4846999999999999</v>
      </c>
    </row>
    <row r="428" spans="1:28">
      <c r="B428" t="s">
        <v>21</v>
      </c>
      <c r="C428">
        <v>0.5</v>
      </c>
      <c r="D428">
        <v>4.4509999999999996</v>
      </c>
      <c r="E428">
        <v>2.2953999999999999</v>
      </c>
      <c r="F428">
        <v>1.5056</v>
      </c>
      <c r="G428">
        <v>1.3032999999999999</v>
      </c>
      <c r="H428">
        <v>6.1909999999999998</v>
      </c>
      <c r="I428">
        <v>3.6900000000000002E-2</v>
      </c>
      <c r="J428">
        <v>0.1963</v>
      </c>
      <c r="N428">
        <v>14.491</v>
      </c>
      <c r="O428">
        <v>3.8199999999999998E-2</v>
      </c>
      <c r="P428">
        <v>8.1600000000000006E-2</v>
      </c>
      <c r="W428">
        <v>1.5</v>
      </c>
      <c r="X428" s="392">
        <v>3.3075000000000001</v>
      </c>
      <c r="Y428" s="403">
        <v>2.5653000000000001</v>
      </c>
    </row>
    <row r="429" spans="1:28">
      <c r="B429" t="s">
        <v>22</v>
      </c>
      <c r="C429">
        <v>1</v>
      </c>
      <c r="D429">
        <v>4.4850000000000003</v>
      </c>
      <c r="E429">
        <v>3.9041999999999999</v>
      </c>
      <c r="F429">
        <v>2.9599000000000002</v>
      </c>
      <c r="G429">
        <v>1.9078999999999999</v>
      </c>
      <c r="H429">
        <v>6.6050000000000004</v>
      </c>
      <c r="I429">
        <v>1.9900000000000001E-2</v>
      </c>
      <c r="J429">
        <v>7.4200000000000002E-2</v>
      </c>
      <c r="K429">
        <v>14.494999999999999</v>
      </c>
      <c r="L429">
        <v>3.4099999999999998E-2</v>
      </c>
      <c r="M429">
        <v>7.6499999999999999E-2</v>
      </c>
      <c r="N429">
        <v>16.370999999999999</v>
      </c>
      <c r="O429">
        <v>3.3500000000000002E-2</v>
      </c>
      <c r="P429">
        <v>6.93E-2</v>
      </c>
      <c r="W429">
        <v>2</v>
      </c>
      <c r="X429" s="392">
        <v>3.8687</v>
      </c>
      <c r="Y429" s="403">
        <v>2.4632000000000001</v>
      </c>
    </row>
    <row r="430" spans="1:28">
      <c r="B430" t="s">
        <v>23</v>
      </c>
      <c r="C430">
        <v>1.5</v>
      </c>
      <c r="D430">
        <v>4.4939999999999998</v>
      </c>
      <c r="E430">
        <v>5.2328000000000001</v>
      </c>
      <c r="F430">
        <v>4.3000999999999996</v>
      </c>
      <c r="G430">
        <v>2.4171999999999998</v>
      </c>
      <c r="H430">
        <v>6.5839999999999996</v>
      </c>
      <c r="I430">
        <v>1.6500000000000001E-2</v>
      </c>
      <c r="J430">
        <v>5.8400000000000001E-2</v>
      </c>
      <c r="N430">
        <v>16.350999999999999</v>
      </c>
      <c r="O430">
        <v>0.1031</v>
      </c>
      <c r="P430">
        <v>0.21870000000000001</v>
      </c>
      <c r="W430">
        <v>2.5</v>
      </c>
      <c r="X430" s="392">
        <v>5.6950000000000003</v>
      </c>
      <c r="Y430" s="403">
        <v>3.1419000000000001</v>
      </c>
    </row>
    <row r="431" spans="1:28">
      <c r="B431" t="s">
        <v>24</v>
      </c>
      <c r="C431">
        <v>2</v>
      </c>
      <c r="D431">
        <v>4.4980000000000002</v>
      </c>
      <c r="E431">
        <v>6.9383999999999997</v>
      </c>
      <c r="F431">
        <v>6.0358000000000001</v>
      </c>
      <c r="G431">
        <v>3.0482</v>
      </c>
      <c r="H431">
        <v>6.5679999999999996</v>
      </c>
      <c r="I431">
        <v>1.5599999999999999E-2</v>
      </c>
      <c r="J431">
        <v>4.8800000000000003E-2</v>
      </c>
      <c r="N431">
        <v>16.355</v>
      </c>
      <c r="O431">
        <v>8.6999999999999994E-2</v>
      </c>
      <c r="P431">
        <v>0.18329999999999999</v>
      </c>
      <c r="W431">
        <v>3</v>
      </c>
      <c r="X431" s="392">
        <v>7.1086999999999998</v>
      </c>
      <c r="Y431" s="403">
        <v>3.7913999999999999</v>
      </c>
    </row>
    <row r="432" spans="1:28">
      <c r="B432" t="s">
        <v>25</v>
      </c>
      <c r="C432">
        <v>2.5</v>
      </c>
      <c r="D432">
        <v>4.4980000000000002</v>
      </c>
      <c r="E432">
        <v>8.4405000000000001</v>
      </c>
      <c r="F432">
        <v>7.8186999999999998</v>
      </c>
      <c r="G432">
        <v>3.6128</v>
      </c>
      <c r="H432">
        <v>6.5439999999999996</v>
      </c>
      <c r="I432">
        <v>1.35E-2</v>
      </c>
      <c r="J432">
        <v>2.9600000000000001E-2</v>
      </c>
      <c r="W432">
        <v>5</v>
      </c>
      <c r="X432" s="392">
        <v>9.3500999999999994</v>
      </c>
      <c r="Y432" s="403">
        <v>5.2526000000000002</v>
      </c>
    </row>
    <row r="433" spans="2:28">
      <c r="B433" t="s">
        <v>26</v>
      </c>
      <c r="C433">
        <v>3</v>
      </c>
      <c r="D433">
        <v>4.5010000000000003</v>
      </c>
      <c r="E433">
        <v>10.419700000000001</v>
      </c>
      <c r="F433">
        <v>10.283899999999999</v>
      </c>
      <c r="G433"/>
      <c r="V433" t="s">
        <v>1025</v>
      </c>
      <c r="W433">
        <v>1</v>
      </c>
      <c r="X433">
        <v>2.3170999999999999</v>
      </c>
      <c r="Y433">
        <v>1.5482</v>
      </c>
    </row>
    <row r="434" spans="2:28">
      <c r="B434" t="s">
        <v>27</v>
      </c>
      <c r="C434">
        <v>5</v>
      </c>
      <c r="D434">
        <v>4.4980000000000002</v>
      </c>
      <c r="E434">
        <v>17.5702</v>
      </c>
      <c r="F434">
        <v>17.924099999999999</v>
      </c>
      <c r="G434">
        <v>7.0438999999999998</v>
      </c>
      <c r="N434">
        <v>16.358000000000001</v>
      </c>
      <c r="O434">
        <v>3.2599999999999997E-2</v>
      </c>
      <c r="P434">
        <v>6.9699999999999998E-2</v>
      </c>
      <c r="W434">
        <v>5</v>
      </c>
      <c r="X434">
        <v>13.9841</v>
      </c>
      <c r="Y434">
        <v>7.9116999999999997</v>
      </c>
    </row>
    <row r="435" spans="2:28">
      <c r="B435" t="s">
        <v>19</v>
      </c>
      <c r="C435">
        <v>0</v>
      </c>
      <c r="G435"/>
      <c r="H435">
        <v>6.0049999999999999</v>
      </c>
      <c r="I435">
        <v>0.31440000000000001</v>
      </c>
      <c r="J435">
        <v>0.1797</v>
      </c>
      <c r="K435">
        <v>10.811</v>
      </c>
      <c r="L435">
        <v>2.7338</v>
      </c>
      <c r="M435">
        <v>1.5046999999999999</v>
      </c>
      <c r="N435">
        <v>14.535</v>
      </c>
      <c r="O435">
        <v>0.1217</v>
      </c>
      <c r="P435">
        <v>0.26690000000000003</v>
      </c>
      <c r="W435">
        <v>10</v>
      </c>
      <c r="X435">
        <v>28.361000000000001</v>
      </c>
      <c r="Y435">
        <v>17.047699999999999</v>
      </c>
    </row>
    <row r="436" spans="2:28">
      <c r="B436" t="s">
        <v>20</v>
      </c>
      <c r="C436">
        <v>0</v>
      </c>
      <c r="G436"/>
      <c r="H436" t="s">
        <v>1508</v>
      </c>
      <c r="I436" t="s">
        <v>1509</v>
      </c>
      <c r="J436" t="s">
        <v>1510</v>
      </c>
      <c r="K436">
        <v>14.497999999999999</v>
      </c>
      <c r="L436">
        <v>4.4400000000000002E-2</v>
      </c>
      <c r="M436">
        <v>9.4399999999999998E-2</v>
      </c>
      <c r="V436" t="s">
        <v>429</v>
      </c>
      <c r="W436">
        <v>5</v>
      </c>
      <c r="X436">
        <v>2.3052999999999999</v>
      </c>
      <c r="Y436">
        <v>1.4459</v>
      </c>
    </row>
    <row r="437" spans="2:28">
      <c r="B437" t="s">
        <v>433</v>
      </c>
      <c r="C437">
        <v>0</v>
      </c>
      <c r="G437"/>
      <c r="H437">
        <v>5.9749999999999996</v>
      </c>
      <c r="I437">
        <v>0.38940000000000002</v>
      </c>
      <c r="J437">
        <v>0.22819999999999999</v>
      </c>
      <c r="K437">
        <v>6.6449999999999996</v>
      </c>
      <c r="L437">
        <v>0.503</v>
      </c>
      <c r="M437">
        <v>0.33310000000000001</v>
      </c>
      <c r="W437">
        <v>10</v>
      </c>
      <c r="X437">
        <v>14.1317</v>
      </c>
      <c r="Y437">
        <v>7.9931999999999999</v>
      </c>
    </row>
    <row r="438" spans="2:28">
      <c r="B438" t="s">
        <v>1511</v>
      </c>
      <c r="C438">
        <v>0</v>
      </c>
      <c r="G438"/>
      <c r="H438">
        <v>5.9710000000000001</v>
      </c>
      <c r="I438">
        <v>0.38700000000000001</v>
      </c>
      <c r="J438">
        <v>0.22770000000000001</v>
      </c>
      <c r="K438">
        <v>6.6440000000000001</v>
      </c>
      <c r="L438">
        <v>0.49380000000000002</v>
      </c>
      <c r="M438">
        <v>0.33279999999999998</v>
      </c>
      <c r="V438" t="s">
        <v>325</v>
      </c>
      <c r="W438">
        <v>5</v>
      </c>
      <c r="X438">
        <v>13.7662</v>
      </c>
      <c r="Y438">
        <v>7.7262000000000004</v>
      </c>
    </row>
    <row r="439" spans="2:28">
      <c r="B439" t="s">
        <v>1500</v>
      </c>
      <c r="C439">
        <v>0.5</v>
      </c>
      <c r="D439">
        <v>4.3979999999999997</v>
      </c>
      <c r="E439">
        <v>1.8067</v>
      </c>
      <c r="F439">
        <v>2.1997</v>
      </c>
      <c r="G439">
        <v>1.1195999999999999</v>
      </c>
      <c r="H439">
        <v>6.1980000000000004</v>
      </c>
      <c r="I439" s="391">
        <v>1.1432</v>
      </c>
      <c r="J439">
        <v>3.3184</v>
      </c>
      <c r="K439">
        <v>6.6740000000000004</v>
      </c>
      <c r="L439" s="195">
        <v>1.46E-2</v>
      </c>
      <c r="M439">
        <v>5.3499999999999999E-2</v>
      </c>
      <c r="N439">
        <v>9.9640000000000004</v>
      </c>
      <c r="O439">
        <v>0.14449999999999999</v>
      </c>
      <c r="P439">
        <v>0.52370000000000005</v>
      </c>
      <c r="Q439">
        <v>16.338000000000001</v>
      </c>
      <c r="R439">
        <v>0.14829999999999999</v>
      </c>
      <c r="S439">
        <v>0.30070000000000002</v>
      </c>
      <c r="W439">
        <v>20</v>
      </c>
      <c r="X439">
        <v>53.833599999999997</v>
      </c>
      <c r="Y439">
        <v>33.367600000000003</v>
      </c>
    </row>
    <row r="440" spans="2:28">
      <c r="B440" t="s">
        <v>1494</v>
      </c>
      <c r="C440">
        <v>1</v>
      </c>
      <c r="D440">
        <v>4.4009999999999998</v>
      </c>
      <c r="E440">
        <v>3.5110999999999999</v>
      </c>
      <c r="F440">
        <v>4.4588000000000001</v>
      </c>
      <c r="G440" s="12">
        <v>1.7602</v>
      </c>
      <c r="H440">
        <v>6.194</v>
      </c>
      <c r="I440" s="391">
        <v>0.1237</v>
      </c>
      <c r="J440">
        <v>0.64670000000000005</v>
      </c>
      <c r="K440">
        <v>6.6539999999999999</v>
      </c>
      <c r="L440" s="195">
        <v>0.46329999999999999</v>
      </c>
      <c r="M440">
        <v>0.39750000000000002</v>
      </c>
      <c r="N440">
        <v>9.9640000000000004</v>
      </c>
      <c r="O440">
        <v>9.1600000000000001E-2</v>
      </c>
      <c r="P440">
        <v>0.33160000000000001</v>
      </c>
      <c r="Q440">
        <v>16.347999999999999</v>
      </c>
      <c r="R440">
        <v>0.14879999999999999</v>
      </c>
      <c r="S440">
        <v>0.25950000000000001</v>
      </c>
      <c r="W440">
        <v>40</v>
      </c>
      <c r="X440">
        <v>116.2546</v>
      </c>
      <c r="Y440">
        <v>76.029799999999994</v>
      </c>
      <c r="AA440" s="12"/>
    </row>
    <row r="441" spans="2:28">
      <c r="B441" t="s">
        <v>1495</v>
      </c>
      <c r="C441">
        <v>1.5</v>
      </c>
      <c r="D441">
        <v>4.4050000000000002</v>
      </c>
      <c r="E441">
        <v>5.0660999999999996</v>
      </c>
      <c r="F441">
        <v>6.87</v>
      </c>
      <c r="G441" s="12">
        <v>2.3445999999999998</v>
      </c>
      <c r="H441">
        <v>6.1909999999999998</v>
      </c>
      <c r="I441" s="391">
        <v>9.7199999999999995E-2</v>
      </c>
      <c r="J441">
        <v>0.51590000000000003</v>
      </c>
      <c r="K441">
        <v>6.6310000000000002</v>
      </c>
      <c r="L441" s="195">
        <v>0.52690000000000003</v>
      </c>
      <c r="M441">
        <v>0.4652</v>
      </c>
      <c r="N441">
        <v>9.9649999999999999</v>
      </c>
      <c r="O441">
        <v>7.7799999999999994E-2</v>
      </c>
      <c r="P441">
        <v>0.2797</v>
      </c>
      <c r="Q441">
        <v>16.344999999999999</v>
      </c>
      <c r="R441">
        <v>0.14430000000000001</v>
      </c>
      <c r="S441">
        <v>0.27729999999999999</v>
      </c>
      <c r="V441" t="s">
        <v>317</v>
      </c>
      <c r="W441">
        <v>1</v>
      </c>
      <c r="X441">
        <v>1.9668000000000001</v>
      </c>
      <c r="Y441">
        <v>1.4109</v>
      </c>
      <c r="AA441" s="12"/>
    </row>
    <row r="442" spans="2:28">
      <c r="B442" t="s">
        <v>1496</v>
      </c>
      <c r="C442">
        <v>2</v>
      </c>
      <c r="D442">
        <v>4.4080000000000004</v>
      </c>
      <c r="E442">
        <v>6.6234999999999999</v>
      </c>
      <c r="F442">
        <v>9.4568999999999992</v>
      </c>
      <c r="G442" s="12">
        <v>2.9298999999999999</v>
      </c>
      <c r="H442">
        <v>6.1879999999999997</v>
      </c>
      <c r="I442" s="391">
        <v>6.9900000000000004E-2</v>
      </c>
      <c r="J442">
        <v>0.37730000000000002</v>
      </c>
      <c r="K442">
        <v>6.6180000000000003</v>
      </c>
      <c r="L442" s="195">
        <v>0.57830000000000004</v>
      </c>
      <c r="M442">
        <v>0.52110000000000001</v>
      </c>
      <c r="N442">
        <v>9.9649999999999999</v>
      </c>
      <c r="O442">
        <v>5.2200000000000003E-2</v>
      </c>
      <c r="P442">
        <v>0.18990000000000001</v>
      </c>
      <c r="Q442">
        <v>16.347999999999999</v>
      </c>
      <c r="R442">
        <v>8.0500000000000002E-2</v>
      </c>
      <c r="S442">
        <v>0.1641</v>
      </c>
      <c r="W442">
        <v>5</v>
      </c>
      <c r="X442">
        <v>11.462</v>
      </c>
      <c r="Y442">
        <v>7.1562999999999999</v>
      </c>
      <c r="AB442" s="12"/>
    </row>
    <row r="443" spans="2:28">
      <c r="B443" t="s">
        <v>1497</v>
      </c>
      <c r="C443">
        <v>2.5</v>
      </c>
      <c r="D443">
        <v>4.4109999999999996</v>
      </c>
      <c r="E443">
        <v>8.3516999999999992</v>
      </c>
      <c r="F443">
        <v>12.3073</v>
      </c>
      <c r="G443" s="12">
        <v>3.5794000000000001</v>
      </c>
      <c r="H443">
        <v>6.1909999999999998</v>
      </c>
      <c r="I443" s="391">
        <v>0.1067</v>
      </c>
      <c r="J443">
        <v>0.58260000000000001</v>
      </c>
      <c r="K443">
        <v>6.6040000000000001</v>
      </c>
      <c r="L443" s="195">
        <v>0.61890000000000001</v>
      </c>
      <c r="M443">
        <v>0.58150000000000002</v>
      </c>
      <c r="N443">
        <v>9.9640000000000004</v>
      </c>
      <c r="O443">
        <v>8.6300000000000002E-2</v>
      </c>
      <c r="P443">
        <v>0.31290000000000001</v>
      </c>
      <c r="Q443">
        <v>16.344000000000001</v>
      </c>
      <c r="R443">
        <v>0.1431</v>
      </c>
      <c r="S443">
        <v>0.29520000000000002</v>
      </c>
      <c r="W443">
        <v>10</v>
      </c>
      <c r="X443">
        <v>27.633400000000002</v>
      </c>
      <c r="Y443">
        <v>16.5915</v>
      </c>
      <c r="AB443" s="12"/>
    </row>
    <row r="444" spans="2:28">
      <c r="B444" t="s">
        <v>1498</v>
      </c>
      <c r="C444">
        <v>3</v>
      </c>
      <c r="D444">
        <v>4.4180000000000001</v>
      </c>
      <c r="E444">
        <v>9.6982999999999997</v>
      </c>
      <c r="F444">
        <v>15.2546</v>
      </c>
      <c r="G444" s="12">
        <v>4.0854999999999997</v>
      </c>
      <c r="H444">
        <v>6.1909999999999998</v>
      </c>
      <c r="I444" s="391">
        <v>1.1661999999999999</v>
      </c>
      <c r="J444">
        <v>1.4461999999999999</v>
      </c>
      <c r="N444">
        <v>9.9649999999999999</v>
      </c>
      <c r="O444">
        <v>3.0000000000000001E-3</v>
      </c>
      <c r="P444">
        <v>0.35770000000000002</v>
      </c>
      <c r="Q444">
        <v>16.344999999999999</v>
      </c>
      <c r="R444">
        <v>0.1479</v>
      </c>
      <c r="S444">
        <v>0.2586</v>
      </c>
      <c r="W444">
        <v>20</v>
      </c>
      <c r="X444">
        <v>47.516399999999997</v>
      </c>
      <c r="Y444">
        <v>29.835699999999999</v>
      </c>
      <c r="AB444" s="12"/>
    </row>
    <row r="445" spans="2:28">
      <c r="B445" t="s">
        <v>1499</v>
      </c>
      <c r="C445">
        <v>5</v>
      </c>
      <c r="D445">
        <v>4.4279999999999999</v>
      </c>
      <c r="E445">
        <v>16.492899999999999</v>
      </c>
      <c r="F445">
        <v>27.571999999999999</v>
      </c>
      <c r="G445" s="12">
        <v>6.6391</v>
      </c>
      <c r="H445">
        <v>6.1879999999999997</v>
      </c>
      <c r="I445" s="391">
        <v>2.4466000000000001</v>
      </c>
      <c r="J445">
        <v>1.7849999999999999</v>
      </c>
      <c r="N445">
        <v>9.9640000000000004</v>
      </c>
      <c r="O445">
        <v>8.6999999999999994E-2</v>
      </c>
      <c r="P445">
        <v>0.31680000000000003</v>
      </c>
      <c r="Q445">
        <v>16.353999999999999</v>
      </c>
      <c r="R445">
        <v>0.129</v>
      </c>
      <c r="S445">
        <v>0.22270000000000001</v>
      </c>
      <c r="W445">
        <v>40</v>
      </c>
      <c r="X445">
        <v>115.07340000000001</v>
      </c>
      <c r="Y445">
        <v>76.112300000000005</v>
      </c>
    </row>
    <row r="446" spans="2:28">
      <c r="B446" t="s">
        <v>1501</v>
      </c>
      <c r="C446">
        <v>1</v>
      </c>
      <c r="H446">
        <v>6.2009999999999996</v>
      </c>
      <c r="I446" s="392">
        <v>2.2698999999999998</v>
      </c>
      <c r="J446">
        <v>1.7976000000000001</v>
      </c>
      <c r="N446">
        <v>9.9640000000000004</v>
      </c>
      <c r="O446" s="254">
        <v>0.12870000000000001</v>
      </c>
      <c r="P446">
        <v>0.46250000000000002</v>
      </c>
      <c r="Q446">
        <v>16.327999999999999</v>
      </c>
      <c r="R446" s="403">
        <v>1.4846999999999999</v>
      </c>
      <c r="S446">
        <v>3.1150000000000002</v>
      </c>
      <c r="W446">
        <v>60</v>
      </c>
      <c r="X446">
        <v>174.03460000000001</v>
      </c>
      <c r="Y446">
        <v>115.1576</v>
      </c>
    </row>
    <row r="447" spans="2:28">
      <c r="B447" t="s">
        <v>1502</v>
      </c>
      <c r="C447">
        <v>1.5</v>
      </c>
      <c r="D447" t="s">
        <v>1512</v>
      </c>
      <c r="E447" t="s">
        <v>1513</v>
      </c>
      <c r="F447" t="s">
        <v>1514</v>
      </c>
      <c r="G447" s="12">
        <v>0.45669999999999999</v>
      </c>
      <c r="H447">
        <v>6.2009999999999996</v>
      </c>
      <c r="I447" s="392">
        <v>3.3075000000000001</v>
      </c>
      <c r="J447">
        <v>17.128599999999999</v>
      </c>
      <c r="N447">
        <v>9.9649999999999999</v>
      </c>
      <c r="O447" s="254">
        <v>8.4400000000000003E-2</v>
      </c>
      <c r="P447">
        <v>0.30480000000000002</v>
      </c>
      <c r="Q447">
        <v>16.321000000000002</v>
      </c>
      <c r="R447" s="403">
        <v>2.5653000000000001</v>
      </c>
      <c r="S447">
        <v>5.4443999999999999</v>
      </c>
      <c r="W447">
        <v>80</v>
      </c>
      <c r="X447">
        <v>229.47839999999999</v>
      </c>
      <c r="Y447">
        <v>154.78370000000001</v>
      </c>
    </row>
    <row r="448" spans="2:28">
      <c r="B448" t="s">
        <v>1503</v>
      </c>
      <c r="C448">
        <v>2</v>
      </c>
      <c r="H448">
        <v>6.2050000000000001</v>
      </c>
      <c r="I448" s="392">
        <v>3.8687</v>
      </c>
      <c r="J448">
        <v>20.481400000000001</v>
      </c>
      <c r="N448">
        <v>9.9610000000000003</v>
      </c>
      <c r="O448" s="254">
        <v>0.1867</v>
      </c>
      <c r="P448">
        <v>0.67300000000000004</v>
      </c>
      <c r="Q448">
        <v>16.321000000000002</v>
      </c>
      <c r="R448" s="403">
        <v>2.4632000000000001</v>
      </c>
      <c r="S448">
        <v>5.1776</v>
      </c>
    </row>
    <row r="449" spans="1:28">
      <c r="B449" t="s">
        <v>1504</v>
      </c>
      <c r="C449">
        <v>2.5</v>
      </c>
      <c r="D449">
        <v>4.9009999999999998</v>
      </c>
      <c r="E449">
        <v>0.2006</v>
      </c>
      <c r="F449">
        <v>0.29659999999999997</v>
      </c>
      <c r="H449">
        <v>6.2039999999999997</v>
      </c>
      <c r="I449" s="392">
        <v>5.6950000000000003</v>
      </c>
      <c r="J449">
        <v>27.795400000000001</v>
      </c>
      <c r="N449">
        <v>9.9610000000000003</v>
      </c>
      <c r="O449" s="254">
        <v>0.1235</v>
      </c>
      <c r="P449">
        <v>0.44290000000000002</v>
      </c>
      <c r="Q449">
        <v>16.314</v>
      </c>
      <c r="R449" s="403">
        <v>3.1419000000000001</v>
      </c>
      <c r="S449">
        <v>6.7051999999999996</v>
      </c>
    </row>
    <row r="450" spans="1:28">
      <c r="B450" t="s">
        <v>1505</v>
      </c>
      <c r="C450">
        <v>3</v>
      </c>
      <c r="H450">
        <v>6.2080000000000002</v>
      </c>
      <c r="I450" s="392">
        <v>7.1086999999999998</v>
      </c>
      <c r="J450">
        <v>34.8596</v>
      </c>
      <c r="N450">
        <v>9.9610000000000003</v>
      </c>
      <c r="O450" s="254">
        <v>4.1200000000000001E-2</v>
      </c>
      <c r="P450">
        <v>0.1447</v>
      </c>
      <c r="Q450">
        <v>16.311</v>
      </c>
      <c r="R450" s="403">
        <v>3.7913999999999999</v>
      </c>
      <c r="S450">
        <v>8.1747999999999994</v>
      </c>
    </row>
    <row r="451" spans="1:28">
      <c r="B451" t="s">
        <v>1506</v>
      </c>
      <c r="C451">
        <v>5</v>
      </c>
      <c r="D451">
        <v>4.8979999999999997</v>
      </c>
      <c r="E451">
        <v>0.215</v>
      </c>
      <c r="F451">
        <v>0.3291</v>
      </c>
      <c r="H451">
        <v>6.2110000000000003</v>
      </c>
      <c r="I451" s="392">
        <v>9.3500999999999994</v>
      </c>
      <c r="J451">
        <v>48.536200000000001</v>
      </c>
      <c r="N451">
        <v>9.9610000000000003</v>
      </c>
      <c r="O451" s="254">
        <v>0.2303</v>
      </c>
      <c r="P451">
        <v>0.82499999999999996</v>
      </c>
      <c r="Q451">
        <v>16.300999999999998</v>
      </c>
      <c r="R451" s="403">
        <v>5.2526000000000002</v>
      </c>
      <c r="S451">
        <v>11.3132</v>
      </c>
    </row>
    <row r="452" spans="1:28">
      <c r="AB452" s="12"/>
    </row>
    <row r="453" spans="1:28" ht="46.5">
      <c r="A453" s="10" t="s">
        <v>10</v>
      </c>
      <c r="B453" s="10" t="s">
        <v>15</v>
      </c>
      <c r="C453" s="10" t="s">
        <v>16</v>
      </c>
      <c r="D453" s="10" t="s">
        <v>2</v>
      </c>
      <c r="E453" s="10" t="s">
        <v>18</v>
      </c>
      <c r="F453" s="10" t="s">
        <v>17</v>
      </c>
      <c r="G453" s="402" t="s">
        <v>906</v>
      </c>
      <c r="H453" s="10" t="s">
        <v>2</v>
      </c>
      <c r="I453" s="10" t="s">
        <v>18</v>
      </c>
      <c r="J453" s="10" t="s">
        <v>17</v>
      </c>
      <c r="K453" s="10" t="s">
        <v>2</v>
      </c>
      <c r="L453" s="10" t="s">
        <v>18</v>
      </c>
      <c r="M453" s="10" t="s">
        <v>17</v>
      </c>
      <c r="N453" s="10" t="s">
        <v>2</v>
      </c>
      <c r="O453" s="10" t="s">
        <v>18</v>
      </c>
      <c r="P453" s="10" t="s">
        <v>17</v>
      </c>
      <c r="Q453" s="10" t="s">
        <v>1543</v>
      </c>
      <c r="AB453" s="12"/>
    </row>
    <row r="454" spans="1:28">
      <c r="A454" t="s">
        <v>1536</v>
      </c>
      <c r="B454" s="10"/>
      <c r="C454" s="10">
        <v>0</v>
      </c>
      <c r="AB454" s="12"/>
    </row>
    <row r="455" spans="1:28">
      <c r="B455" t="s">
        <v>21</v>
      </c>
      <c r="C455">
        <v>0.5</v>
      </c>
      <c r="D455">
        <v>4.4779999999999998</v>
      </c>
      <c r="E455">
        <v>3.1027999999999998</v>
      </c>
      <c r="F455">
        <v>1.3547</v>
      </c>
      <c r="G455" s="12">
        <v>1.6067</v>
      </c>
      <c r="H455">
        <v>6.165</v>
      </c>
      <c r="I455">
        <v>42</v>
      </c>
      <c r="J455">
        <v>0.2389</v>
      </c>
      <c r="Q455">
        <v>0.5</v>
      </c>
      <c r="R455">
        <v>3.1027999999999998</v>
      </c>
      <c r="AB455" s="12"/>
    </row>
    <row r="456" spans="1:28">
      <c r="B456" t="s">
        <v>22</v>
      </c>
      <c r="C456">
        <v>1</v>
      </c>
      <c r="D456">
        <v>4.508</v>
      </c>
      <c r="E456">
        <v>2.2065000000000001</v>
      </c>
      <c r="F456">
        <v>2.4434999999999998</v>
      </c>
      <c r="G456" s="12">
        <v>1.2699</v>
      </c>
      <c r="Q456">
        <v>1.5</v>
      </c>
      <c r="R456">
        <v>5.1421000000000001</v>
      </c>
      <c r="AB456" s="12"/>
    </row>
    <row r="457" spans="1:28">
      <c r="B457" t="s">
        <v>23</v>
      </c>
      <c r="C457">
        <v>1.5</v>
      </c>
      <c r="D457">
        <v>4.5179999999999998</v>
      </c>
      <c r="E457">
        <v>5.1421000000000001</v>
      </c>
      <c r="F457">
        <v>3.7774000000000001</v>
      </c>
      <c r="G457" s="12">
        <v>2.3731</v>
      </c>
      <c r="H457">
        <v>6.5449999999999999</v>
      </c>
      <c r="I457">
        <v>1.32E-2</v>
      </c>
      <c r="J457">
        <v>4.5900000000000003E-2</v>
      </c>
      <c r="K457">
        <v>16.204999999999998</v>
      </c>
      <c r="L457">
        <v>0.1041</v>
      </c>
      <c r="M457">
        <v>0.21629999999999999</v>
      </c>
      <c r="Q457">
        <v>2</v>
      </c>
      <c r="R457">
        <v>7.6631</v>
      </c>
      <c r="AB457" s="12"/>
    </row>
    <row r="458" spans="1:28">
      <c r="B458" t="s">
        <v>24</v>
      </c>
      <c r="C458">
        <v>2</v>
      </c>
      <c r="D458">
        <v>4.5039999999999996</v>
      </c>
      <c r="E458">
        <v>7.6631</v>
      </c>
      <c r="F458">
        <v>5.37</v>
      </c>
      <c r="G458" s="12">
        <v>3.3206000000000002</v>
      </c>
      <c r="H458">
        <v>6.1479999999999997</v>
      </c>
      <c r="I458">
        <v>2.3300000000000001E-2</v>
      </c>
      <c r="J458">
        <v>0.1409</v>
      </c>
      <c r="K458">
        <v>16.201000000000001</v>
      </c>
      <c r="L458">
        <v>7.9500000000000001E-2</v>
      </c>
      <c r="M458">
        <v>0.1686</v>
      </c>
      <c r="Q458">
        <v>2.5</v>
      </c>
      <c r="R458">
        <v>9.2539999999999996</v>
      </c>
      <c r="AB458" s="12"/>
    </row>
    <row r="459" spans="1:28">
      <c r="B459" t="s">
        <v>25</v>
      </c>
      <c r="C459">
        <v>2.5</v>
      </c>
      <c r="D459">
        <v>4.508</v>
      </c>
      <c r="E459">
        <v>9.2539999999999996</v>
      </c>
      <c r="F459">
        <v>6.8110999999999997</v>
      </c>
      <c r="Q459">
        <v>3</v>
      </c>
      <c r="R459">
        <v>11.5947</v>
      </c>
    </row>
    <row r="460" spans="1:28">
      <c r="B460" t="s">
        <v>26</v>
      </c>
      <c r="C460">
        <v>3</v>
      </c>
      <c r="D460">
        <v>4.5140000000000002</v>
      </c>
      <c r="E460">
        <v>11.5947</v>
      </c>
      <c r="F460">
        <v>8.98</v>
      </c>
      <c r="Q460">
        <v>5</v>
      </c>
      <c r="R460">
        <v>17.204999999999998</v>
      </c>
    </row>
    <row r="461" spans="1:28">
      <c r="B461" t="s">
        <v>27</v>
      </c>
      <c r="C461">
        <v>5</v>
      </c>
      <c r="D461">
        <v>4.5110000000000001</v>
      </c>
      <c r="E461">
        <v>17.204999999999998</v>
      </c>
      <c r="F461">
        <v>15.3047</v>
      </c>
    </row>
    <row r="462" spans="1:28">
      <c r="B462" t="s">
        <v>19</v>
      </c>
      <c r="C462">
        <v>0</v>
      </c>
      <c r="H462">
        <v>5.8879999999999999</v>
      </c>
      <c r="I462">
        <v>0.80969999999999998</v>
      </c>
      <c r="J462">
        <v>0.64180000000000004</v>
      </c>
      <c r="K462">
        <v>8.1379999999999999</v>
      </c>
      <c r="L462">
        <v>1.3003</v>
      </c>
      <c r="M462">
        <v>1.0165999999999999</v>
      </c>
      <c r="N462">
        <v>20.853999999999999</v>
      </c>
      <c r="O462">
        <v>2.0729000000000002</v>
      </c>
      <c r="P462">
        <v>1.0012000000000001</v>
      </c>
    </row>
    <row r="463" spans="1:28">
      <c r="B463" t="s">
        <v>20</v>
      </c>
      <c r="C463">
        <v>0</v>
      </c>
      <c r="H463">
        <v>6.1879999999999997</v>
      </c>
      <c r="I463">
        <v>0.42030000000000001</v>
      </c>
      <c r="J463">
        <v>0.30659999999999998</v>
      </c>
      <c r="K463">
        <v>9.9209999999999994</v>
      </c>
      <c r="L463">
        <v>6.5199999999999994E-2</v>
      </c>
      <c r="M463">
        <v>0.23730000000000001</v>
      </c>
    </row>
    <row r="465" spans="1:17" ht="46.5">
      <c r="A465" s="10" t="s">
        <v>10</v>
      </c>
      <c r="B465" s="10" t="s">
        <v>15</v>
      </c>
      <c r="C465" s="10" t="s">
        <v>16</v>
      </c>
      <c r="D465" s="10" t="s">
        <v>2</v>
      </c>
      <c r="E465" s="10" t="s">
        <v>18</v>
      </c>
      <c r="F465" s="10" t="s">
        <v>17</v>
      </c>
      <c r="G465" s="448" t="s">
        <v>906</v>
      </c>
      <c r="H465" s="10" t="s">
        <v>2</v>
      </c>
      <c r="I465" s="10" t="s">
        <v>18</v>
      </c>
      <c r="J465" s="10" t="s">
        <v>17</v>
      </c>
      <c r="K465" s="10" t="s">
        <v>2</v>
      </c>
      <c r="L465" s="10" t="s">
        <v>18</v>
      </c>
      <c r="M465" s="10" t="s">
        <v>17</v>
      </c>
      <c r="N465" s="10" t="s">
        <v>2</v>
      </c>
      <c r="O465" s="10" t="s">
        <v>18</v>
      </c>
      <c r="P465" s="10" t="s">
        <v>17</v>
      </c>
      <c r="Q465" s="10" t="s">
        <v>1672</v>
      </c>
    </row>
    <row r="466" spans="1:17">
      <c r="A466" t="s">
        <v>1592</v>
      </c>
      <c r="B466" s="10"/>
      <c r="C466" s="10">
        <v>0</v>
      </c>
    </row>
    <row r="467" spans="1:17">
      <c r="B467" t="s">
        <v>21</v>
      </c>
      <c r="C467">
        <v>0.5</v>
      </c>
      <c r="D467">
        <v>4.5039999999999996</v>
      </c>
      <c r="E467">
        <v>3.0449999999999999</v>
      </c>
      <c r="F467">
        <v>1.3855999999999999</v>
      </c>
      <c r="G467" s="12">
        <v>1.585</v>
      </c>
      <c r="H467">
        <v>6.1280000000000001</v>
      </c>
      <c r="I467">
        <v>4.53E-2</v>
      </c>
      <c r="J467">
        <v>0.2452</v>
      </c>
      <c r="K467">
        <v>6.5839999999999996</v>
      </c>
      <c r="L467">
        <v>2.3099999999999999E-2</v>
      </c>
      <c r="M467">
        <v>7.9799999999999996E-2</v>
      </c>
    </row>
    <row r="468" spans="1:17">
      <c r="B468" t="s">
        <v>22</v>
      </c>
      <c r="C468">
        <v>1</v>
      </c>
      <c r="D468">
        <v>4.5279999999999996</v>
      </c>
      <c r="E468">
        <v>4.4946999999999999</v>
      </c>
      <c r="F468">
        <v>2.7155</v>
      </c>
      <c r="G468" s="12">
        <v>2.1297999999999999</v>
      </c>
      <c r="H468">
        <v>6.5510000000000002</v>
      </c>
      <c r="I468">
        <v>1.95E-2</v>
      </c>
      <c r="J468">
        <v>7.0499999999999993E-2</v>
      </c>
    </row>
    <row r="469" spans="1:17">
      <c r="B469" t="s">
        <v>23</v>
      </c>
      <c r="C469">
        <v>1.5</v>
      </c>
      <c r="D469">
        <v>4.5350000000000001</v>
      </c>
      <c r="E469">
        <v>6.2382</v>
      </c>
      <c r="F469">
        <v>3.9073000000000002</v>
      </c>
      <c r="G469" s="12">
        <v>2.7850999999999999</v>
      </c>
      <c r="H469">
        <v>6.5410000000000004</v>
      </c>
      <c r="I469">
        <v>1.67E-2</v>
      </c>
      <c r="J469">
        <v>5.8999999999999997E-2</v>
      </c>
    </row>
    <row r="470" spans="1:17">
      <c r="B470" t="s">
        <v>24</v>
      </c>
      <c r="C470">
        <v>2</v>
      </c>
      <c r="D470">
        <v>4.5380000000000003</v>
      </c>
      <c r="E470">
        <v>7.9471999999999996</v>
      </c>
      <c r="F470">
        <v>5.4499000000000004</v>
      </c>
      <c r="G470" s="12">
        <v>3.4272999999999998</v>
      </c>
      <c r="H470">
        <v>6.1150000000000002</v>
      </c>
      <c r="I470">
        <v>3.2399999999999998E-2</v>
      </c>
      <c r="J470">
        <v>0.19239999999999999</v>
      </c>
    </row>
    <row r="471" spans="1:17">
      <c r="B471" t="s">
        <v>25</v>
      </c>
      <c r="C471">
        <v>2.5</v>
      </c>
      <c r="D471">
        <v>4.5110000000000001</v>
      </c>
      <c r="E471">
        <v>9.6823999999999995</v>
      </c>
      <c r="F471">
        <v>7.1637000000000004</v>
      </c>
      <c r="G471" s="12">
        <v>4.0795000000000003</v>
      </c>
    </row>
    <row r="472" spans="1:17">
      <c r="B472" t="s">
        <v>26</v>
      </c>
      <c r="C472">
        <v>3</v>
      </c>
      <c r="D472">
        <v>4.5350000000000001</v>
      </c>
      <c r="E472">
        <v>11.931100000000001</v>
      </c>
      <c r="F472">
        <v>9.3765999999999998</v>
      </c>
      <c r="G472" s="12">
        <v>4.9245999999999999</v>
      </c>
    </row>
    <row r="473" spans="1:17">
      <c r="B473" t="s">
        <v>27</v>
      </c>
      <c r="C473">
        <v>5</v>
      </c>
      <c r="D473">
        <v>4.5339999999999998</v>
      </c>
      <c r="E473">
        <v>17.3491</v>
      </c>
      <c r="F473">
        <v>15.5405</v>
      </c>
      <c r="G473" s="12">
        <v>6.9607999999999999</v>
      </c>
    </row>
    <row r="474" spans="1:17">
      <c r="B474" t="s">
        <v>19</v>
      </c>
      <c r="C474">
        <v>0</v>
      </c>
      <c r="D474">
        <v>5.5910000000000002</v>
      </c>
      <c r="E474">
        <v>0.46310000000000001</v>
      </c>
      <c r="F474">
        <v>0.55379999999999996</v>
      </c>
      <c r="H474">
        <v>6.1609999999999996</v>
      </c>
      <c r="I474">
        <v>0.28939999999999999</v>
      </c>
      <c r="J474">
        <v>1.3141</v>
      </c>
      <c r="K474">
        <v>8.8740000000000006</v>
      </c>
      <c r="L474">
        <v>2.2014999999999998</v>
      </c>
      <c r="M474">
        <v>3.8654000000000002</v>
      </c>
    </row>
    <row r="475" spans="1:17">
      <c r="B475" t="s">
        <v>20</v>
      </c>
      <c r="C475">
        <v>0</v>
      </c>
      <c r="H475">
        <v>6.141</v>
      </c>
      <c r="I475">
        <v>0.37980000000000003</v>
      </c>
      <c r="J475">
        <v>1.3046</v>
      </c>
      <c r="K475">
        <v>9.7780000000000005</v>
      </c>
      <c r="L475">
        <v>0.82499999999999996</v>
      </c>
      <c r="M475">
        <v>3.0808</v>
      </c>
    </row>
    <row r="477" spans="1:17" ht="31">
      <c r="A477" s="10" t="s">
        <v>10</v>
      </c>
      <c r="B477" s="10" t="s">
        <v>15</v>
      </c>
      <c r="C477" s="10" t="s">
        <v>16</v>
      </c>
      <c r="D477" s="10" t="s">
        <v>2</v>
      </c>
      <c r="E477" s="10" t="s">
        <v>18</v>
      </c>
      <c r="F477" s="10" t="s">
        <v>17</v>
      </c>
      <c r="G477" s="478" t="s">
        <v>906</v>
      </c>
      <c r="H477" s="10" t="s">
        <v>2</v>
      </c>
      <c r="I477" s="10" t="s">
        <v>18</v>
      </c>
      <c r="J477" s="10" t="s">
        <v>17</v>
      </c>
      <c r="K477" s="10" t="s">
        <v>2</v>
      </c>
      <c r="L477" s="10" t="s">
        <v>18</v>
      </c>
      <c r="M477" s="10" t="s">
        <v>17</v>
      </c>
      <c r="N477" s="10" t="s">
        <v>2</v>
      </c>
      <c r="O477" s="10" t="s">
        <v>18</v>
      </c>
      <c r="P477" s="10" t="s">
        <v>17</v>
      </c>
      <c r="Q477" s="10" t="s">
        <v>1673</v>
      </c>
    </row>
    <row r="478" spans="1:17">
      <c r="A478" t="s">
        <v>1639</v>
      </c>
      <c r="B478" s="10"/>
      <c r="C478" s="10">
        <v>0</v>
      </c>
    </row>
    <row r="479" spans="1:17">
      <c r="B479" t="s">
        <v>21</v>
      </c>
      <c r="C479">
        <v>0.5</v>
      </c>
      <c r="D479">
        <v>4.4580000000000002</v>
      </c>
      <c r="E479">
        <v>2.8879999999999999</v>
      </c>
      <c r="F479">
        <v>1.5533999999999999</v>
      </c>
      <c r="G479" s="12">
        <v>1.5263</v>
      </c>
      <c r="H479">
        <v>6.1479999999999997</v>
      </c>
      <c r="I479">
        <v>5.4399999999999997E-2</v>
      </c>
      <c r="J479">
        <v>0.28839999999999999</v>
      </c>
      <c r="K479">
        <v>6.6109999999999998</v>
      </c>
      <c r="L479">
        <v>2E-3</v>
      </c>
      <c r="M479">
        <v>6.8400000000000002E-2</v>
      </c>
    </row>
    <row r="480" spans="1:17">
      <c r="B480" t="s">
        <v>22</v>
      </c>
      <c r="C480">
        <v>1</v>
      </c>
      <c r="D480">
        <v>4.4880000000000004</v>
      </c>
      <c r="E480">
        <v>3.6356000000000002</v>
      </c>
      <c r="F480">
        <v>2.9782999999999999</v>
      </c>
      <c r="G480" s="12">
        <v>1.8069999999999999</v>
      </c>
    </row>
    <row r="481" spans="1:17">
      <c r="B481" t="s">
        <v>23</v>
      </c>
      <c r="C481">
        <v>1.5</v>
      </c>
      <c r="D481">
        <v>4.4939999999999998</v>
      </c>
      <c r="E481">
        <v>6.2685000000000004</v>
      </c>
      <c r="F481">
        <v>4.3811999999999998</v>
      </c>
      <c r="G481" s="12">
        <v>2.7964000000000002</v>
      </c>
      <c r="H481">
        <v>6.5810000000000004</v>
      </c>
      <c r="I481">
        <v>1.9400000000000001E-2</v>
      </c>
      <c r="J481">
        <v>6.6500000000000004E-2</v>
      </c>
      <c r="K481">
        <v>16.088000000000001</v>
      </c>
      <c r="L481">
        <v>0.1179</v>
      </c>
      <c r="M481">
        <v>0.2429</v>
      </c>
    </row>
    <row r="482" spans="1:17">
      <c r="B482" t="s">
        <v>24</v>
      </c>
      <c r="C482">
        <v>2</v>
      </c>
      <c r="D482">
        <v>4.4909999999999997</v>
      </c>
      <c r="E482">
        <v>7.9696999999999996</v>
      </c>
      <c r="F482">
        <v>6.2004000000000001</v>
      </c>
      <c r="G482" s="12">
        <v>3.4358</v>
      </c>
      <c r="H482">
        <v>6.1379999999999999</v>
      </c>
      <c r="I482">
        <v>3.0300000000000001E-2</v>
      </c>
      <c r="J482">
        <v>0.17499999999999999</v>
      </c>
      <c r="K482">
        <v>16.091000000000001</v>
      </c>
      <c r="L482">
        <v>675</v>
      </c>
      <c r="M482">
        <v>0.1474</v>
      </c>
    </row>
    <row r="483" spans="1:17">
      <c r="B483" t="s">
        <v>25</v>
      </c>
      <c r="C483">
        <v>2.5</v>
      </c>
      <c r="D483">
        <v>4.4809999999999999</v>
      </c>
      <c r="E483">
        <v>9.6382999999999992</v>
      </c>
      <c r="F483">
        <v>8.4594000000000005</v>
      </c>
      <c r="G483" s="12">
        <v>4.0629</v>
      </c>
    </row>
    <row r="484" spans="1:17">
      <c r="B484" t="s">
        <v>26</v>
      </c>
      <c r="C484">
        <v>3</v>
      </c>
      <c r="D484">
        <v>4.4880000000000004</v>
      </c>
      <c r="E484">
        <v>11.7751</v>
      </c>
      <c r="F484">
        <v>11.007199999999999</v>
      </c>
      <c r="G484" s="12">
        <v>4.8659999999999997</v>
      </c>
    </row>
    <row r="485" spans="1:17">
      <c r="B485" t="s">
        <v>27</v>
      </c>
      <c r="C485">
        <v>5</v>
      </c>
      <c r="D485">
        <v>4.4880000000000004</v>
      </c>
      <c r="E485">
        <v>17.730699999999999</v>
      </c>
      <c r="F485">
        <v>18.2773</v>
      </c>
      <c r="G485" s="12">
        <v>7.1043000000000003</v>
      </c>
      <c r="H485">
        <v>6.1280000000000001</v>
      </c>
      <c r="I485">
        <v>6.7699999999999996E-2</v>
      </c>
      <c r="J485">
        <v>0.41199999999999998</v>
      </c>
      <c r="K485">
        <v>16.081</v>
      </c>
      <c r="L485">
        <v>3.5099999999999999E-2</v>
      </c>
      <c r="M485">
        <v>7.4399999999999994E-2</v>
      </c>
    </row>
    <row r="486" spans="1:17">
      <c r="B486" t="s">
        <v>19</v>
      </c>
      <c r="C486">
        <v>0</v>
      </c>
      <c r="D486">
        <v>6.218</v>
      </c>
      <c r="E486">
        <v>0.52549999999999997</v>
      </c>
      <c r="F486">
        <v>2.8576999999999999</v>
      </c>
      <c r="H486">
        <v>9.8780000000000001</v>
      </c>
      <c r="I486">
        <v>0.86980000000000002</v>
      </c>
      <c r="J486">
        <v>3.1962999999999999</v>
      </c>
    </row>
    <row r="487" spans="1:17">
      <c r="B487" t="s">
        <v>20</v>
      </c>
      <c r="C487">
        <v>0</v>
      </c>
      <c r="D487">
        <v>6.165</v>
      </c>
      <c r="E487">
        <v>0.37769999999999998</v>
      </c>
      <c r="F487">
        <v>1.3148</v>
      </c>
      <c r="H487">
        <v>9.8079999999999998</v>
      </c>
      <c r="I487">
        <v>0.86060000000000003</v>
      </c>
      <c r="J487">
        <v>3.1655000000000002</v>
      </c>
    </row>
    <row r="489" spans="1:17" ht="31">
      <c r="A489" s="10" t="s">
        <v>10</v>
      </c>
      <c r="B489" s="10" t="s">
        <v>15</v>
      </c>
      <c r="C489" s="10" t="s">
        <v>16</v>
      </c>
      <c r="D489" s="10" t="s">
        <v>2</v>
      </c>
      <c r="E489" s="10" t="s">
        <v>18</v>
      </c>
      <c r="F489" s="10" t="s">
        <v>17</v>
      </c>
      <c r="G489" s="496" t="s">
        <v>906</v>
      </c>
      <c r="H489" s="10" t="s">
        <v>2</v>
      </c>
      <c r="I489" s="10" t="s">
        <v>18</v>
      </c>
      <c r="J489" s="10" t="s">
        <v>17</v>
      </c>
      <c r="K489" s="10" t="s">
        <v>2</v>
      </c>
      <c r="L489" s="10" t="s">
        <v>18</v>
      </c>
      <c r="M489" s="10" t="s">
        <v>17</v>
      </c>
      <c r="N489" s="10" t="s">
        <v>2</v>
      </c>
      <c r="O489" s="10" t="s">
        <v>18</v>
      </c>
      <c r="P489" s="10" t="s">
        <v>17</v>
      </c>
      <c r="Q489" s="10" t="s">
        <v>1674</v>
      </c>
    </row>
    <row r="490" spans="1:17">
      <c r="A490" t="s">
        <v>1656</v>
      </c>
      <c r="B490" s="10"/>
      <c r="C490" s="10">
        <v>0</v>
      </c>
    </row>
    <row r="491" spans="1:17">
      <c r="B491" t="s">
        <v>21</v>
      </c>
      <c r="C491">
        <v>0.5</v>
      </c>
      <c r="D491">
        <v>4.3680000000000003</v>
      </c>
      <c r="E491">
        <v>1.8038000000000001</v>
      </c>
      <c r="F491">
        <v>2.2149999999999999</v>
      </c>
      <c r="G491" s="12">
        <v>1.1185</v>
      </c>
      <c r="H491">
        <v>6.0979999999999999</v>
      </c>
      <c r="I491">
        <v>3.5799999999999998E-2</v>
      </c>
      <c r="J491">
        <v>0.21229999999999999</v>
      </c>
    </row>
    <row r="492" spans="1:17">
      <c r="B492" t="s">
        <v>22</v>
      </c>
      <c r="C492">
        <v>1</v>
      </c>
      <c r="D492">
        <v>4.3849999999999998</v>
      </c>
      <c r="E492">
        <v>4.7427000000000001</v>
      </c>
      <c r="F492">
        <v>4.5854999999999997</v>
      </c>
      <c r="G492" s="12">
        <v>2.2229999999999999</v>
      </c>
      <c r="H492">
        <v>6.0910000000000002</v>
      </c>
      <c r="I492">
        <v>3.4200000000000001E-2</v>
      </c>
      <c r="J492">
        <v>0.2054</v>
      </c>
      <c r="K492">
        <v>6.5149999999999997</v>
      </c>
      <c r="L492">
        <v>2.4299999999999999E-2</v>
      </c>
      <c r="M492">
        <v>8.6999999999999994E-2</v>
      </c>
    </row>
    <row r="493" spans="1:17">
      <c r="B493" t="s">
        <v>23</v>
      </c>
      <c r="C493">
        <v>1.5</v>
      </c>
      <c r="D493">
        <v>4.391</v>
      </c>
      <c r="E493">
        <v>4.6657999999999999</v>
      </c>
      <c r="F493">
        <v>6.6257999999999999</v>
      </c>
      <c r="G493" s="12">
        <v>2.1941000000000002</v>
      </c>
    </row>
    <row r="494" spans="1:17">
      <c r="B494" t="s">
        <v>24</v>
      </c>
      <c r="C494">
        <v>2</v>
      </c>
      <c r="D494">
        <v>4.4009999999999998</v>
      </c>
      <c r="E494">
        <v>7.8647</v>
      </c>
      <c r="F494">
        <v>9.2950999999999997</v>
      </c>
      <c r="G494" s="12">
        <v>3.3963999999999999</v>
      </c>
      <c r="H494">
        <v>6.1050000000000004</v>
      </c>
      <c r="I494">
        <v>0.1699</v>
      </c>
      <c r="J494">
        <v>0.96879999999999999</v>
      </c>
    </row>
    <row r="495" spans="1:17">
      <c r="B495" t="s">
        <v>25</v>
      </c>
      <c r="C495">
        <v>2.5</v>
      </c>
      <c r="D495">
        <v>4.4139999999999997</v>
      </c>
      <c r="E495">
        <v>8.1381999999999994</v>
      </c>
      <c r="F495">
        <v>12.433999999999999</v>
      </c>
      <c r="G495" s="12">
        <v>3.4990999999999999</v>
      </c>
    </row>
    <row r="496" spans="1:17">
      <c r="B496" t="s">
        <v>26</v>
      </c>
      <c r="C496">
        <v>3</v>
      </c>
      <c r="D496">
        <v>4.4080000000000004</v>
      </c>
      <c r="E496">
        <v>10.118600000000001</v>
      </c>
      <c r="F496">
        <v>15.8796</v>
      </c>
    </row>
    <row r="497" spans="1:17">
      <c r="B497" t="s">
        <v>27</v>
      </c>
      <c r="C497">
        <v>5</v>
      </c>
      <c r="D497">
        <v>4.4210000000000003</v>
      </c>
      <c r="E497">
        <v>16.084299999999999</v>
      </c>
      <c r="F497">
        <v>25.848800000000001</v>
      </c>
    </row>
    <row r="498" spans="1:17">
      <c r="B498" t="s">
        <v>19</v>
      </c>
      <c r="C498">
        <v>0</v>
      </c>
      <c r="D498">
        <v>6.1539999999999999</v>
      </c>
      <c r="E498">
        <v>0.20419999999999999</v>
      </c>
      <c r="F498">
        <v>1.1248</v>
      </c>
      <c r="H498">
        <v>9.7539999999999996</v>
      </c>
      <c r="I498">
        <v>1.6231</v>
      </c>
      <c r="J498">
        <v>3.3496999999999999</v>
      </c>
    </row>
    <row r="499" spans="1:17">
      <c r="B499" t="s">
        <v>20</v>
      </c>
      <c r="C499">
        <v>0</v>
      </c>
      <c r="D499">
        <v>6.1050000000000004</v>
      </c>
      <c r="E499">
        <v>0.20380000000000001</v>
      </c>
      <c r="F499">
        <v>1.1241000000000001</v>
      </c>
      <c r="H499">
        <v>9.6750000000000007</v>
      </c>
      <c r="I499">
        <v>0.76729999999999998</v>
      </c>
      <c r="J499">
        <v>2.8012000000000001</v>
      </c>
    </row>
    <row r="501" spans="1:17" ht="31">
      <c r="A501" s="10" t="s">
        <v>10</v>
      </c>
      <c r="B501" s="10" t="s">
        <v>15</v>
      </c>
      <c r="C501" s="10" t="s">
        <v>16</v>
      </c>
      <c r="D501" s="10" t="s">
        <v>2</v>
      </c>
      <c r="E501" s="10" t="s">
        <v>18</v>
      </c>
      <c r="F501" s="10" t="s">
        <v>17</v>
      </c>
      <c r="G501" s="497" t="s">
        <v>906</v>
      </c>
      <c r="H501" s="10" t="s">
        <v>2</v>
      </c>
      <c r="I501" s="10" t="s">
        <v>18</v>
      </c>
      <c r="J501" s="10" t="s">
        <v>17</v>
      </c>
      <c r="K501" s="10" t="s">
        <v>2</v>
      </c>
      <c r="L501" s="10" t="s">
        <v>18</v>
      </c>
      <c r="M501" s="10" t="s">
        <v>17</v>
      </c>
      <c r="N501" s="10" t="s">
        <v>2</v>
      </c>
      <c r="O501" s="10" t="s">
        <v>18</v>
      </c>
      <c r="P501" s="10" t="s">
        <v>17</v>
      </c>
      <c r="Q501" s="10" t="s">
        <v>1675</v>
      </c>
    </row>
    <row r="502" spans="1:17">
      <c r="A502" t="s">
        <v>1663</v>
      </c>
      <c r="B502" s="10"/>
      <c r="C502" s="10">
        <v>0</v>
      </c>
    </row>
    <row r="503" spans="1:17">
      <c r="B503" t="s">
        <v>21</v>
      </c>
      <c r="C503">
        <v>0.5</v>
      </c>
      <c r="D503">
        <v>4.3710000000000004</v>
      </c>
      <c r="E503">
        <v>2.4956999999999998</v>
      </c>
      <c r="F503">
        <v>2.2107999999999999</v>
      </c>
      <c r="G503" s="12">
        <v>1.3785000000000001</v>
      </c>
      <c r="H503">
        <v>6.0979999999999999</v>
      </c>
      <c r="I503">
        <v>4.2299999999999997E-2</v>
      </c>
      <c r="J503">
        <v>0.2172</v>
      </c>
      <c r="K503">
        <v>6.5750000000000002</v>
      </c>
      <c r="L503">
        <v>2.5999999999999999E-2</v>
      </c>
      <c r="M503">
        <v>8.6300000000000002E-2</v>
      </c>
    </row>
    <row r="504" spans="1:17">
      <c r="B504" t="s">
        <v>22</v>
      </c>
      <c r="C504">
        <v>1</v>
      </c>
      <c r="D504">
        <v>4.3739999999999997</v>
      </c>
      <c r="E504">
        <v>4.4264000000000001</v>
      </c>
      <c r="F504">
        <v>4.7720000000000002</v>
      </c>
      <c r="G504" s="12">
        <v>2.1040999999999999</v>
      </c>
      <c r="H504">
        <v>6.5540000000000003</v>
      </c>
      <c r="I504">
        <v>2.4799999999999999E-2</v>
      </c>
      <c r="J504">
        <v>8.8099999999999998E-2</v>
      </c>
    </row>
    <row r="505" spans="1:17">
      <c r="B505" t="s">
        <v>23</v>
      </c>
      <c r="C505">
        <v>1.5</v>
      </c>
      <c r="D505">
        <v>4.3810000000000002</v>
      </c>
      <c r="E505">
        <v>5.3464999999999998</v>
      </c>
      <c r="F505">
        <v>7.1771000000000003</v>
      </c>
      <c r="G505" s="12">
        <v>2.4499</v>
      </c>
    </row>
    <row r="506" spans="1:17">
      <c r="B506" t="s">
        <v>24</v>
      </c>
      <c r="C506">
        <v>2</v>
      </c>
      <c r="D506">
        <v>4.3849999999999998</v>
      </c>
      <c r="E506">
        <v>7.5494000000000003</v>
      </c>
      <c r="F506">
        <v>10.3208</v>
      </c>
      <c r="G506" s="12">
        <v>3.2778999999999998</v>
      </c>
      <c r="H506">
        <v>6.0949999999999998</v>
      </c>
      <c r="I506">
        <v>4.4299999999999999E-2</v>
      </c>
      <c r="J506">
        <v>0.2515</v>
      </c>
    </row>
    <row r="507" spans="1:17">
      <c r="B507" t="s">
        <v>25</v>
      </c>
      <c r="C507">
        <v>2.5</v>
      </c>
      <c r="D507">
        <v>4.4050000000000002</v>
      </c>
      <c r="E507">
        <v>10.112399999999999</v>
      </c>
      <c r="F507">
        <v>14.346399999999999</v>
      </c>
      <c r="G507" s="12">
        <v>4.2411000000000003</v>
      </c>
    </row>
    <row r="508" spans="1:17">
      <c r="B508" t="s">
        <v>26</v>
      </c>
      <c r="C508">
        <v>3</v>
      </c>
      <c r="D508">
        <v>4.3949999999999996</v>
      </c>
      <c r="E508">
        <v>12.0242</v>
      </c>
      <c r="F508">
        <v>18.728200000000001</v>
      </c>
      <c r="G508" s="12">
        <v>4.9596</v>
      </c>
      <c r="H508">
        <v>6.0780000000000003</v>
      </c>
      <c r="I508">
        <v>1.9099999999999999E-2</v>
      </c>
      <c r="J508">
        <v>0.1145</v>
      </c>
    </row>
    <row r="509" spans="1:17">
      <c r="B509" t="s">
        <v>27</v>
      </c>
      <c r="C509">
        <v>5</v>
      </c>
      <c r="D509">
        <v>4.4039999999999999</v>
      </c>
      <c r="E509">
        <v>17.615500000000001</v>
      </c>
      <c r="F509">
        <v>30.011900000000001</v>
      </c>
      <c r="G509" s="12">
        <v>7.0609999999999999</v>
      </c>
    </row>
    <row r="510" spans="1:17">
      <c r="B510" t="s">
        <v>19</v>
      </c>
      <c r="C510">
        <v>0</v>
      </c>
      <c r="D510">
        <v>6.1280000000000001</v>
      </c>
      <c r="E510">
        <v>0.50929999999999997</v>
      </c>
      <c r="F510">
        <v>2.0783999999999998</v>
      </c>
      <c r="H510">
        <v>9.7110000000000003</v>
      </c>
      <c r="I510">
        <v>1.3920999999999999</v>
      </c>
      <c r="J510">
        <v>4.8895999999999997</v>
      </c>
      <c r="K510">
        <v>11.343999999999999</v>
      </c>
      <c r="L510">
        <v>0.31929999999999997</v>
      </c>
      <c r="M510">
        <v>0.30609999999999998</v>
      </c>
      <c r="N510">
        <v>15.901</v>
      </c>
      <c r="O510">
        <v>4.5499999999999999E-2</v>
      </c>
      <c r="P510">
        <v>5.9700000000000003E-2</v>
      </c>
    </row>
    <row r="511" spans="1:17">
      <c r="B511" t="s">
        <v>20</v>
      </c>
      <c r="C511">
        <v>0</v>
      </c>
      <c r="D511">
        <v>6.1239999999999997</v>
      </c>
      <c r="E511">
        <v>0.52880000000000005</v>
      </c>
      <c r="F511">
        <v>2.1684999999999999</v>
      </c>
      <c r="H511">
        <v>9.6880000000000006</v>
      </c>
      <c r="I511">
        <v>1.4181999999999999</v>
      </c>
      <c r="J511">
        <v>5.2366000000000001</v>
      </c>
    </row>
  </sheetData>
  <phoneticPr fontId="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905E7-2E14-2848-A3F9-A3776C311BCE}">
  <dimension ref="A1:EU18"/>
  <sheetViews>
    <sheetView workbookViewId="0">
      <pane xSplit="3" ySplit="1" topLeftCell="D2" activePane="bottomRight" state="frozen"/>
      <selection pane="topRight" activeCell="D1" sqref="D1"/>
      <selection pane="bottomLeft" activeCell="A2" sqref="A2"/>
      <selection pane="bottomRight" activeCell="B3" sqref="B3:C13"/>
    </sheetView>
  </sheetViews>
  <sheetFormatPr defaultColWidth="10.6640625" defaultRowHeight="15.5"/>
  <cols>
    <col min="3" max="3" width="10.83203125" style="12"/>
    <col min="6" max="6" width="14.33203125" customWidth="1"/>
    <col min="7" max="7" width="10.83203125" style="12"/>
    <col min="21" max="21" width="13.5" customWidth="1"/>
    <col min="22" max="22" width="14.5" customWidth="1"/>
    <col min="23" max="23" width="15.33203125" customWidth="1"/>
    <col min="24" max="24" width="10.83203125" style="12"/>
    <col min="39" max="39" width="10.33203125" customWidth="1"/>
    <col min="40" max="40" width="8.6640625" customWidth="1"/>
    <col min="41" max="41" width="10.83203125" style="12"/>
    <col min="58" max="58" width="10.83203125" style="12"/>
    <col min="69" max="69" width="13.5" customWidth="1"/>
    <col min="70" max="70" width="13.6640625" customWidth="1"/>
    <col min="71" max="71" width="15.6640625" customWidth="1"/>
    <col min="72" max="72" width="10.83203125" style="12"/>
    <col min="86" max="86" width="8.6640625" customWidth="1"/>
    <col min="87" max="87" width="10.5" customWidth="1"/>
    <col min="88" max="88" width="10.83203125" customWidth="1"/>
    <col min="89" max="89" width="10.83203125" style="12"/>
    <col min="103" max="103" width="9.1640625" customWidth="1"/>
    <col min="104" max="104" width="10.1640625" customWidth="1"/>
    <col min="105" max="105" width="11" customWidth="1"/>
    <col min="106" max="106" width="10.83203125" style="12"/>
    <col min="123" max="123" width="10.83203125" style="12"/>
    <col min="136" max="136" width="10.83203125" style="12"/>
    <col min="138" max="138" width="10.83203125" style="12"/>
  </cols>
  <sheetData>
    <row r="1" spans="1:151" ht="46.5">
      <c r="B1" s="10" t="s">
        <v>1518</v>
      </c>
      <c r="D1" s="677" t="s">
        <v>1384</v>
      </c>
      <c r="E1" s="677"/>
      <c r="F1" s="677"/>
      <c r="G1" s="677"/>
      <c r="H1" s="677"/>
      <c r="I1" s="677"/>
      <c r="J1" s="677"/>
      <c r="K1" s="677"/>
      <c r="L1" s="677"/>
      <c r="M1" s="677"/>
      <c r="N1" s="677"/>
      <c r="O1" s="677"/>
      <c r="P1" s="677"/>
      <c r="Q1" s="677"/>
      <c r="R1" s="677"/>
      <c r="S1" s="677"/>
      <c r="T1" s="677"/>
      <c r="U1" s="675" t="s">
        <v>1385</v>
      </c>
      <c r="V1" s="675"/>
      <c r="W1" s="675"/>
      <c r="X1" s="675"/>
      <c r="Y1" s="675"/>
      <c r="Z1" s="675"/>
      <c r="AA1" s="675"/>
      <c r="AB1" s="675"/>
      <c r="AC1" s="675"/>
      <c r="AD1" s="675"/>
      <c r="AE1" s="675"/>
      <c r="AF1" s="675"/>
      <c r="AG1" s="675"/>
      <c r="AH1" s="675"/>
      <c r="AI1" s="675"/>
      <c r="AJ1" s="675"/>
      <c r="AK1" s="675"/>
      <c r="AL1" s="676" t="s">
        <v>1386</v>
      </c>
      <c r="AM1" s="676"/>
      <c r="AN1" s="676"/>
      <c r="AO1" s="676"/>
      <c r="AP1" s="676"/>
      <c r="AQ1" s="676"/>
      <c r="AR1" s="676"/>
      <c r="AS1" s="676"/>
      <c r="AT1" s="676"/>
      <c r="AU1" s="676"/>
      <c r="AV1" s="676"/>
      <c r="AW1" s="676"/>
      <c r="AX1" s="676"/>
      <c r="AY1" s="676"/>
      <c r="AZ1" s="676"/>
      <c r="BA1" s="676"/>
      <c r="BB1" s="676"/>
      <c r="BC1" s="687" t="s">
        <v>1387</v>
      </c>
      <c r="BD1" s="687"/>
      <c r="BE1" s="687"/>
      <c r="BF1" s="687"/>
      <c r="BG1" s="687"/>
      <c r="BH1" s="687"/>
      <c r="BI1" s="687"/>
      <c r="BJ1" s="687"/>
      <c r="BK1" s="687"/>
      <c r="BL1" s="687"/>
      <c r="BM1" s="687"/>
      <c r="BN1" s="687"/>
      <c r="BO1" s="687"/>
      <c r="BP1" s="687"/>
      <c r="BQ1" s="677" t="s">
        <v>1388</v>
      </c>
      <c r="BR1" s="677"/>
      <c r="BS1" s="677"/>
      <c r="BT1" s="677"/>
      <c r="BU1" s="677"/>
      <c r="BV1" s="677"/>
      <c r="BW1" s="677"/>
      <c r="BX1" s="677"/>
      <c r="BY1" s="677"/>
      <c r="BZ1" s="677"/>
      <c r="CA1" s="677"/>
      <c r="CB1" s="677"/>
      <c r="CC1" s="677"/>
      <c r="CD1" s="677"/>
      <c r="CE1" s="677"/>
      <c r="CF1" s="677"/>
      <c r="CG1" s="677"/>
      <c r="CH1" s="675" t="s">
        <v>1389</v>
      </c>
      <c r="CI1" s="675"/>
      <c r="CJ1" s="675"/>
      <c r="CK1" s="675"/>
      <c r="CL1" s="675"/>
      <c r="CM1" s="675"/>
      <c r="CN1" s="675"/>
      <c r="CO1" s="675"/>
      <c r="CP1" s="675"/>
      <c r="CQ1" s="675"/>
      <c r="CR1" s="675"/>
      <c r="CS1" s="675"/>
      <c r="CT1" s="675"/>
      <c r="CU1" s="675"/>
      <c r="CV1" s="675"/>
      <c r="CW1" s="675"/>
      <c r="CX1" s="675"/>
      <c r="CY1" s="676" t="s">
        <v>1390</v>
      </c>
      <c r="CZ1" s="676"/>
      <c r="DA1" s="676"/>
      <c r="DB1" s="676"/>
      <c r="DC1" s="676"/>
      <c r="DD1" s="676"/>
      <c r="DE1" s="676"/>
      <c r="DF1" s="676"/>
      <c r="DG1" s="676"/>
      <c r="DH1" s="676"/>
      <c r="DI1" s="676"/>
      <c r="DJ1" s="676"/>
      <c r="DK1" s="676"/>
      <c r="DL1" s="676"/>
      <c r="DM1" s="676"/>
      <c r="DN1" s="676"/>
      <c r="DO1" s="676"/>
      <c r="DP1" s="686" t="s">
        <v>1391</v>
      </c>
      <c r="DQ1" s="686"/>
      <c r="DR1" s="686"/>
      <c r="DS1" s="686"/>
      <c r="DT1" s="686"/>
      <c r="DU1" s="686"/>
      <c r="DV1" s="686"/>
      <c r="DW1" s="686"/>
      <c r="DX1" s="686"/>
      <c r="DY1" s="686"/>
      <c r="DZ1" s="686"/>
      <c r="EA1" s="686"/>
      <c r="EB1" s="686"/>
      <c r="EC1" s="686"/>
      <c r="EF1" s="12" t="s">
        <v>1427</v>
      </c>
      <c r="EG1" t="s">
        <v>1544</v>
      </c>
      <c r="EH1" s="12" t="s">
        <v>1428</v>
      </c>
      <c r="EI1" t="s">
        <v>1549</v>
      </c>
    </row>
    <row r="2" spans="1:151" ht="31.5" thickBot="1">
      <c r="A2" s="315" t="s">
        <v>10</v>
      </c>
      <c r="B2" s="315" t="s">
        <v>0</v>
      </c>
      <c r="C2" s="13" t="s">
        <v>1</v>
      </c>
      <c r="D2" s="314" t="s">
        <v>2</v>
      </c>
      <c r="E2" s="314" t="s">
        <v>4</v>
      </c>
      <c r="F2" s="314" t="s">
        <v>3</v>
      </c>
      <c r="G2" s="23" t="s">
        <v>94</v>
      </c>
      <c r="H2" s="23" t="s">
        <v>921</v>
      </c>
      <c r="I2" s="23"/>
      <c r="J2" s="23"/>
      <c r="K2" s="23"/>
      <c r="L2" s="314" t="s">
        <v>2</v>
      </c>
      <c r="M2" s="314" t="s">
        <v>4</v>
      </c>
      <c r="N2" s="314" t="s">
        <v>3</v>
      </c>
      <c r="O2" s="314" t="s">
        <v>2</v>
      </c>
      <c r="P2" s="314" t="s">
        <v>4</v>
      </c>
      <c r="Q2" s="314" t="s">
        <v>3</v>
      </c>
      <c r="R2" s="314" t="s">
        <v>2</v>
      </c>
      <c r="S2" s="314" t="s">
        <v>4</v>
      </c>
      <c r="T2" s="314" t="s">
        <v>3</v>
      </c>
      <c r="U2" s="312" t="s">
        <v>2</v>
      </c>
      <c r="V2" s="312" t="s">
        <v>4</v>
      </c>
      <c r="W2" s="312" t="s">
        <v>3</v>
      </c>
      <c r="X2" s="19" t="s">
        <v>92</v>
      </c>
      <c r="Y2" s="19" t="s">
        <v>929</v>
      </c>
      <c r="Z2" s="19"/>
      <c r="AA2" s="19"/>
      <c r="AB2" s="19"/>
      <c r="AC2" s="312" t="s">
        <v>2</v>
      </c>
      <c r="AD2" s="312" t="s">
        <v>4</v>
      </c>
      <c r="AE2" s="312" t="s">
        <v>3</v>
      </c>
      <c r="AF2" s="312" t="s">
        <v>2</v>
      </c>
      <c r="AG2" s="312" t="s">
        <v>4</v>
      </c>
      <c r="AH2" s="312" t="s">
        <v>3</v>
      </c>
      <c r="AI2" s="312" t="s">
        <v>2</v>
      </c>
      <c r="AJ2" s="312" t="s">
        <v>4</v>
      </c>
      <c r="AK2" s="312" t="s">
        <v>3</v>
      </c>
      <c r="AL2" s="313" t="s">
        <v>2</v>
      </c>
      <c r="AM2" s="313" t="s">
        <v>4</v>
      </c>
      <c r="AN2" s="313" t="s">
        <v>3</v>
      </c>
      <c r="AO2" s="16" t="s">
        <v>93</v>
      </c>
      <c r="AP2" s="16" t="s">
        <v>929</v>
      </c>
      <c r="AQ2" s="16"/>
      <c r="AR2" s="16"/>
      <c r="AS2" s="16"/>
      <c r="AT2" s="313" t="s">
        <v>2</v>
      </c>
      <c r="AU2" s="313" t="s">
        <v>4</v>
      </c>
      <c r="AV2" s="313" t="s">
        <v>3</v>
      </c>
      <c r="AW2" s="313" t="s">
        <v>2</v>
      </c>
      <c r="AX2" s="313" t="s">
        <v>4</v>
      </c>
      <c r="AY2" s="313" t="s">
        <v>3</v>
      </c>
      <c r="AZ2" s="313" t="s">
        <v>2</v>
      </c>
      <c r="BA2" s="313" t="s">
        <v>4</v>
      </c>
      <c r="BB2" s="313" t="s">
        <v>3</v>
      </c>
      <c r="BC2" s="151" t="s">
        <v>2</v>
      </c>
      <c r="BD2" s="151" t="s">
        <v>4</v>
      </c>
      <c r="BE2" s="151" t="s">
        <v>3</v>
      </c>
      <c r="BF2" s="196" t="s">
        <v>93</v>
      </c>
      <c r="BG2" s="196" t="s">
        <v>929</v>
      </c>
      <c r="BH2" s="151" t="s">
        <v>2</v>
      </c>
      <c r="BI2" s="151" t="s">
        <v>4</v>
      </c>
      <c r="BJ2" s="151" t="s">
        <v>3</v>
      </c>
      <c r="BK2" s="151" t="s">
        <v>2</v>
      </c>
      <c r="BL2" s="151" t="s">
        <v>4</v>
      </c>
      <c r="BM2" s="151" t="s">
        <v>3</v>
      </c>
      <c r="BN2" s="151" t="s">
        <v>2</v>
      </c>
      <c r="BO2" s="151" t="s">
        <v>4</v>
      </c>
      <c r="BP2" s="151" t="s">
        <v>3</v>
      </c>
      <c r="BQ2" s="314" t="s">
        <v>2</v>
      </c>
      <c r="BR2" s="314" t="s">
        <v>4</v>
      </c>
      <c r="BS2" s="314" t="s">
        <v>3</v>
      </c>
      <c r="BT2" s="23" t="s">
        <v>93</v>
      </c>
      <c r="BU2" s="23" t="s">
        <v>929</v>
      </c>
      <c r="BV2" s="23"/>
      <c r="BW2" s="23"/>
      <c r="BX2" s="23"/>
      <c r="BY2" s="314" t="s">
        <v>2</v>
      </c>
      <c r="BZ2" s="314" t="s">
        <v>4</v>
      </c>
      <c r="CA2" s="314" t="s">
        <v>3</v>
      </c>
      <c r="CB2" s="314" t="s">
        <v>2</v>
      </c>
      <c r="CC2" s="314" t="s">
        <v>4</v>
      </c>
      <c r="CD2" s="314" t="s">
        <v>3</v>
      </c>
      <c r="CE2" s="314" t="s">
        <v>2</v>
      </c>
      <c r="CF2" s="314" t="s">
        <v>4</v>
      </c>
      <c r="CG2" s="314" t="s">
        <v>3</v>
      </c>
      <c r="CH2" s="312" t="s">
        <v>2</v>
      </c>
      <c r="CI2" s="312" t="s">
        <v>4</v>
      </c>
      <c r="CJ2" s="312" t="s">
        <v>3</v>
      </c>
      <c r="CK2" s="19" t="s">
        <v>93</v>
      </c>
      <c r="CL2" s="19" t="s">
        <v>929</v>
      </c>
      <c r="CM2" s="19"/>
      <c r="CN2" s="19"/>
      <c r="CO2" s="19"/>
      <c r="CP2" s="312" t="s">
        <v>2</v>
      </c>
      <c r="CQ2" s="312" t="s">
        <v>4</v>
      </c>
      <c r="CR2" s="312" t="s">
        <v>3</v>
      </c>
      <c r="CS2" s="312" t="s">
        <v>2</v>
      </c>
      <c r="CT2" s="312" t="s">
        <v>4</v>
      </c>
      <c r="CU2" s="312" t="s">
        <v>3</v>
      </c>
      <c r="CV2" s="312" t="s">
        <v>2</v>
      </c>
      <c r="CW2" s="312" t="s">
        <v>4</v>
      </c>
      <c r="CX2" s="312" t="s">
        <v>3</v>
      </c>
      <c r="CY2" s="313" t="s">
        <v>2</v>
      </c>
      <c r="CZ2" s="313" t="s">
        <v>4</v>
      </c>
      <c r="DA2" s="313" t="s">
        <v>3</v>
      </c>
      <c r="DB2" s="16" t="s">
        <v>93</v>
      </c>
      <c r="DC2" s="16" t="s">
        <v>929</v>
      </c>
      <c r="DD2" s="16"/>
      <c r="DE2" s="16"/>
      <c r="DF2" s="16"/>
      <c r="DG2" s="313" t="s">
        <v>2</v>
      </c>
      <c r="DH2" s="313" t="s">
        <v>4</v>
      </c>
      <c r="DI2" s="313" t="s">
        <v>3</v>
      </c>
      <c r="DJ2" s="313" t="s">
        <v>2</v>
      </c>
      <c r="DK2" s="313" t="s">
        <v>4</v>
      </c>
      <c r="DL2" s="313" t="s">
        <v>3</v>
      </c>
      <c r="DM2" s="313" t="s">
        <v>2</v>
      </c>
      <c r="DN2" s="313" t="s">
        <v>4</v>
      </c>
      <c r="DO2" s="313" t="s">
        <v>3</v>
      </c>
      <c r="DP2" s="318" t="s">
        <v>2</v>
      </c>
      <c r="DQ2" s="318" t="s">
        <v>4</v>
      </c>
      <c r="DR2" s="318" t="s">
        <v>3</v>
      </c>
      <c r="DS2" s="319" t="s">
        <v>93</v>
      </c>
      <c r="DT2" s="319" t="s">
        <v>929</v>
      </c>
      <c r="DU2" s="318" t="s">
        <v>2</v>
      </c>
      <c r="DV2" s="318" t="s">
        <v>4</v>
      </c>
      <c r="DW2" s="318" t="s">
        <v>3</v>
      </c>
      <c r="DX2" s="318" t="s">
        <v>2</v>
      </c>
      <c r="DY2" s="318" t="s">
        <v>4</v>
      </c>
      <c r="DZ2" s="318" t="s">
        <v>3</v>
      </c>
      <c r="EA2" s="318" t="s">
        <v>2</v>
      </c>
      <c r="EB2" s="318" t="s">
        <v>4</v>
      </c>
      <c r="EC2" s="318" t="s">
        <v>3</v>
      </c>
      <c r="EF2" s="261" t="s">
        <v>227</v>
      </c>
      <c r="EG2" s="9"/>
      <c r="EH2" s="351" t="s">
        <v>227</v>
      </c>
      <c r="EO2" t="s">
        <v>1401</v>
      </c>
      <c r="EP2" s="260">
        <v>0.52083333333333337</v>
      </c>
      <c r="ER2" t="s">
        <v>1429</v>
      </c>
    </row>
    <row r="3" spans="1:151" ht="16" thickTop="1">
      <c r="A3" t="s">
        <v>1374</v>
      </c>
      <c r="B3" s="420">
        <v>44638</v>
      </c>
      <c r="C3" s="421">
        <v>3.85</v>
      </c>
      <c r="D3">
        <v>4.6050000000000004</v>
      </c>
      <c r="E3">
        <v>6.0600000000000001E-2</v>
      </c>
      <c r="F3">
        <v>0.41589999999999999</v>
      </c>
      <c r="G3" s="212">
        <f>(E3+0.188)/3.0944</f>
        <v>8.0338676318510854E-2</v>
      </c>
      <c r="H3">
        <v>0.46339999999999998</v>
      </c>
      <c r="I3">
        <v>4.9480000000000004</v>
      </c>
      <c r="J3">
        <v>2.6798999999999999</v>
      </c>
      <c r="K3">
        <v>11.128</v>
      </c>
      <c r="L3">
        <v>6.2880000000000003</v>
      </c>
      <c r="M3">
        <v>13.7277</v>
      </c>
      <c r="N3">
        <v>76.231800000000007</v>
      </c>
      <c r="O3">
        <v>10.170999999999999</v>
      </c>
      <c r="P3">
        <v>0.96699999999999997</v>
      </c>
      <c r="Q3">
        <v>3.532</v>
      </c>
      <c r="R3">
        <v>16.704999999999998</v>
      </c>
      <c r="S3">
        <v>0.21260000000000001</v>
      </c>
      <c r="T3">
        <v>0.4446</v>
      </c>
      <c r="U3">
        <v>4.3940000000000001</v>
      </c>
      <c r="V3">
        <v>14.678599999999999</v>
      </c>
      <c r="W3">
        <v>38.970100000000002</v>
      </c>
      <c r="X3" s="12">
        <f>(V3-0.6424)/2.9139</f>
        <v>4.8169806788153329</v>
      </c>
      <c r="Y3">
        <v>5.9572000000000003</v>
      </c>
      <c r="Z3">
        <v>4.9610000000000003</v>
      </c>
      <c r="AA3">
        <v>3.0394000000000001</v>
      </c>
      <c r="AB3">
        <v>14.5184</v>
      </c>
      <c r="AC3">
        <v>6.2880000000000003</v>
      </c>
      <c r="AD3">
        <v>13.0686</v>
      </c>
      <c r="AE3">
        <v>70.620099999999994</v>
      </c>
      <c r="AF3">
        <v>10.167999999999999</v>
      </c>
      <c r="AG3">
        <v>1.0658000000000001</v>
      </c>
      <c r="AH3">
        <v>3.8896000000000002</v>
      </c>
      <c r="AI3">
        <v>16.690999999999999</v>
      </c>
      <c r="AJ3">
        <v>1.8265</v>
      </c>
      <c r="AK3">
        <v>3.8835999999999999</v>
      </c>
      <c r="AL3">
        <v>4.3979999999999997</v>
      </c>
      <c r="AM3">
        <v>15.2277</v>
      </c>
      <c r="AN3">
        <v>40.863500000000002</v>
      </c>
      <c r="AO3" s="212">
        <f>(AM3+0.188)/3.0944</f>
        <v>4.9818058428128236</v>
      </c>
      <c r="AP3">
        <v>6.1635999999999997</v>
      </c>
      <c r="AQ3">
        <v>4.9649999999999999</v>
      </c>
      <c r="AR3">
        <v>2.9098000000000002</v>
      </c>
      <c r="AS3">
        <v>13.952500000000001</v>
      </c>
      <c r="AT3">
        <v>6.2880000000000003</v>
      </c>
      <c r="AU3">
        <v>12.987500000000001</v>
      </c>
      <c r="AV3">
        <v>69.256399999999999</v>
      </c>
      <c r="AW3">
        <v>10.170999999999999</v>
      </c>
      <c r="AX3">
        <v>1.0359</v>
      </c>
      <c r="AY3">
        <v>3.7743000000000002</v>
      </c>
      <c r="AZ3">
        <v>16.698</v>
      </c>
      <c r="BA3">
        <v>1.8918999999999999</v>
      </c>
      <c r="BB3">
        <v>4.0228000000000002</v>
      </c>
      <c r="BC3">
        <v>4.3810000000000002</v>
      </c>
      <c r="BD3">
        <v>12.1021</v>
      </c>
      <c r="BE3">
        <v>27.4602</v>
      </c>
      <c r="BF3" s="212">
        <f>(BD3+0.188)/3.0944</f>
        <v>3.9717231127197521</v>
      </c>
      <c r="BG3">
        <v>4.9889000000000001</v>
      </c>
      <c r="BH3">
        <v>6.258</v>
      </c>
      <c r="BI3">
        <v>0.78690000000000004</v>
      </c>
      <c r="BJ3">
        <v>4.1528999999999998</v>
      </c>
      <c r="BK3">
        <v>10.164999999999999</v>
      </c>
      <c r="BL3">
        <v>2.0329000000000002</v>
      </c>
      <c r="BM3">
        <v>7.4915000000000003</v>
      </c>
      <c r="BN3">
        <v>16.690999999999999</v>
      </c>
      <c r="BO3">
        <v>1.2264999999999999</v>
      </c>
      <c r="BP3">
        <v>2.5939000000000001</v>
      </c>
      <c r="BQ3">
        <v>4.585</v>
      </c>
      <c r="BR3">
        <v>6.8000000000000005E-2</v>
      </c>
      <c r="BS3">
        <v>0.41749999999999998</v>
      </c>
      <c r="BT3" s="212">
        <f>(BR3+0.188)/3.0944</f>
        <v>8.2730093071354718E-2</v>
      </c>
      <c r="BU3">
        <v>0.46610000000000001</v>
      </c>
      <c r="BV3">
        <v>4.9210000000000003</v>
      </c>
      <c r="BW3">
        <v>3.7408000000000001</v>
      </c>
      <c r="BX3">
        <v>12.111800000000001</v>
      </c>
      <c r="BY3">
        <v>6.375</v>
      </c>
      <c r="BZ3">
        <v>8.1138999999999992</v>
      </c>
      <c r="CA3">
        <v>44.037599999999998</v>
      </c>
      <c r="CB3">
        <v>10.167999999999999</v>
      </c>
      <c r="CC3">
        <v>1.1540999999999999</v>
      </c>
      <c r="CD3">
        <v>4.0545999999999998</v>
      </c>
      <c r="CE3">
        <v>16.695</v>
      </c>
      <c r="CF3">
        <v>0.16669999999999999</v>
      </c>
      <c r="CG3">
        <v>0.34739999999999999</v>
      </c>
      <c r="CH3">
        <v>4.3579999999999997</v>
      </c>
      <c r="CI3">
        <v>10.0223</v>
      </c>
      <c r="CJ3">
        <v>22.942299999999999</v>
      </c>
      <c r="CK3" s="212">
        <f>(CI3+0.188)/3.0944</f>
        <v>3.299605739400207</v>
      </c>
      <c r="CL3">
        <v>4.2072000000000003</v>
      </c>
      <c r="CM3">
        <v>4.931</v>
      </c>
      <c r="CN3">
        <v>3.3022999999999998</v>
      </c>
      <c r="CO3">
        <v>13.038399999999999</v>
      </c>
      <c r="CP3">
        <v>6.3680000000000003</v>
      </c>
      <c r="CQ3">
        <v>7.8295000000000003</v>
      </c>
      <c r="CR3">
        <v>42.4893</v>
      </c>
      <c r="CS3">
        <v>10.164999999999999</v>
      </c>
      <c r="CT3">
        <v>1.1766000000000001</v>
      </c>
      <c r="CU3">
        <v>4.1307</v>
      </c>
      <c r="CV3">
        <v>16.695</v>
      </c>
      <c r="CW3">
        <v>0.35239999999999999</v>
      </c>
      <c r="CX3">
        <v>0.73399999999999999</v>
      </c>
      <c r="CY3">
        <v>4.3579999999999997</v>
      </c>
      <c r="CZ3">
        <v>10.402799999999999</v>
      </c>
      <c r="DA3">
        <v>21.120799999999999</v>
      </c>
      <c r="DB3" s="212">
        <f>(CZ3+0.188)/3.0944</f>
        <v>3.422569803516029</v>
      </c>
      <c r="DC3">
        <v>4.3502000000000001</v>
      </c>
      <c r="DD3">
        <v>4.9240000000000004</v>
      </c>
      <c r="DE3">
        <v>3.0781000000000001</v>
      </c>
      <c r="DF3">
        <v>10.4596</v>
      </c>
      <c r="DG3">
        <v>6.391</v>
      </c>
      <c r="DH3">
        <v>8.4817</v>
      </c>
      <c r="DI3">
        <v>46.676900000000003</v>
      </c>
      <c r="DJ3">
        <v>10.170999999999999</v>
      </c>
      <c r="DK3">
        <v>1.1871</v>
      </c>
      <c r="DL3">
        <v>4.1882999999999999</v>
      </c>
      <c r="DM3">
        <v>16.698</v>
      </c>
      <c r="DN3">
        <v>0.30420000000000003</v>
      </c>
      <c r="DO3">
        <v>0.63539999999999996</v>
      </c>
      <c r="DP3">
        <v>4.3609999999999998</v>
      </c>
      <c r="DQ3">
        <v>13.166499999999999</v>
      </c>
      <c r="DR3">
        <v>28.303699999999999</v>
      </c>
      <c r="DS3" s="212">
        <f>(DQ3+0.188)/3.0944</f>
        <v>4.3156993278179936</v>
      </c>
      <c r="DT3">
        <v>5.3888999999999996</v>
      </c>
      <c r="DU3">
        <v>6.3609999999999998</v>
      </c>
      <c r="DV3">
        <v>1.133</v>
      </c>
      <c r="DW3">
        <v>3.9228999999999998</v>
      </c>
      <c r="DX3">
        <v>10.170999999999999</v>
      </c>
      <c r="DY3">
        <v>1.2223999999999999</v>
      </c>
      <c r="DZ3">
        <v>4.2843</v>
      </c>
      <c r="EA3">
        <v>16.698</v>
      </c>
      <c r="EB3">
        <v>0.6421</v>
      </c>
      <c r="EC3">
        <v>1.3447</v>
      </c>
      <c r="EF3" s="12">
        <f>([2]Sets!R41+AO3)/2</f>
        <v>4.4842618924508795</v>
      </c>
      <c r="EG3" t="s">
        <v>1545</v>
      </c>
      <c r="EH3" s="12">
        <f>(CK3+DB3)/2</f>
        <v>3.3610877714581182</v>
      </c>
      <c r="EI3">
        <f>((DS3-CK3)+(DS3-DB3))/2</f>
        <v>0.9546115563598756</v>
      </c>
      <c r="EJ3" s="12"/>
      <c r="EN3" t="s">
        <v>160</v>
      </c>
      <c r="EO3" t="s">
        <v>1</v>
      </c>
      <c r="EP3" t="s">
        <v>140</v>
      </c>
      <c r="EQ3" t="s">
        <v>191</v>
      </c>
      <c r="ER3" t="s">
        <v>192</v>
      </c>
      <c r="ES3" t="s">
        <v>194</v>
      </c>
      <c r="ET3" t="s">
        <v>196</v>
      </c>
      <c r="EU3" t="s">
        <v>197</v>
      </c>
    </row>
    <row r="4" spans="1:151">
      <c r="B4" s="14">
        <v>44641</v>
      </c>
      <c r="C4" s="12">
        <v>67.849999999999994</v>
      </c>
      <c r="D4">
        <v>4.391</v>
      </c>
      <c r="E4">
        <v>8.77E-2</v>
      </c>
      <c r="F4">
        <v>0.31480000000000002</v>
      </c>
      <c r="G4" s="12">
        <f>(0.0877-0.6424)/2.9139</f>
        <v>-0.19036343045403067</v>
      </c>
      <c r="H4">
        <v>0.47349999999999998</v>
      </c>
      <c r="I4">
        <v>4.9409999999999998</v>
      </c>
      <c r="J4">
        <v>0.93859999999999999</v>
      </c>
      <c r="K4">
        <v>2.8805000000000001</v>
      </c>
      <c r="L4">
        <v>6.298</v>
      </c>
      <c r="M4">
        <v>14.095000000000001</v>
      </c>
      <c r="N4">
        <v>74.652699999999996</v>
      </c>
      <c r="O4">
        <v>10.167999999999999</v>
      </c>
      <c r="P4">
        <v>0.76970000000000005</v>
      </c>
      <c r="Q4">
        <v>2.8008000000000002</v>
      </c>
      <c r="R4">
        <v>16.908000000000001</v>
      </c>
      <c r="S4">
        <v>0.1681</v>
      </c>
      <c r="T4">
        <v>0.34870000000000001</v>
      </c>
      <c r="U4">
        <v>4.4240000000000004</v>
      </c>
      <c r="V4">
        <v>12.526300000000001</v>
      </c>
      <c r="W4">
        <v>27.212299999999999</v>
      </c>
      <c r="X4" s="12">
        <f>(V4-0.6424)/2.9139</f>
        <v>4.0783486049624216</v>
      </c>
      <c r="Y4">
        <v>5.1482999999999999</v>
      </c>
      <c r="Z4">
        <v>4.9409999999999998</v>
      </c>
      <c r="AA4">
        <v>0.54249999999999998</v>
      </c>
      <c r="AB4">
        <v>3.6019000000000001</v>
      </c>
      <c r="AC4">
        <v>6.298</v>
      </c>
      <c r="AD4">
        <v>13.464399999999999</v>
      </c>
      <c r="AE4">
        <v>67.213099999999997</v>
      </c>
      <c r="AF4">
        <v>10.167999999999999</v>
      </c>
      <c r="AG4">
        <v>0.73280000000000001</v>
      </c>
      <c r="AH4">
        <v>2.6617000000000002</v>
      </c>
      <c r="AI4">
        <v>16.898</v>
      </c>
      <c r="AJ4">
        <v>1.4451000000000001</v>
      </c>
      <c r="AK4">
        <v>2.9916999999999998</v>
      </c>
      <c r="AL4">
        <v>4.4240000000000004</v>
      </c>
      <c r="AM4">
        <v>12.935700000000001</v>
      </c>
      <c r="AN4">
        <v>28.4514</v>
      </c>
      <c r="AO4" s="12">
        <f>(12.9357-0.6424)/2.9139</f>
        <v>4.2188475925735274</v>
      </c>
      <c r="AP4">
        <v>5.3022</v>
      </c>
      <c r="AQ4">
        <v>4.944</v>
      </c>
      <c r="AR4">
        <v>0.59360000000000002</v>
      </c>
      <c r="AS4">
        <v>3.9316</v>
      </c>
      <c r="AT4">
        <v>6.298</v>
      </c>
      <c r="AU4">
        <v>13.1792</v>
      </c>
      <c r="AV4">
        <v>67.603399999999993</v>
      </c>
      <c r="AW4">
        <v>10.167999999999999</v>
      </c>
      <c r="AX4">
        <v>0.70089999999999997</v>
      </c>
      <c r="AY4">
        <v>2.5428000000000002</v>
      </c>
      <c r="AZ4">
        <v>16.901</v>
      </c>
      <c r="BA4">
        <v>1.4971000000000001</v>
      </c>
      <c r="BB4">
        <v>3.1294</v>
      </c>
      <c r="BC4">
        <v>4.4180000000000001</v>
      </c>
      <c r="BD4">
        <v>11.7181</v>
      </c>
      <c r="BE4">
        <v>22.645700000000001</v>
      </c>
      <c r="BF4" s="12">
        <f>(BD4-0.6424)/2.9139</f>
        <v>3.800988366107279</v>
      </c>
      <c r="BG4">
        <v>4.8445</v>
      </c>
      <c r="BH4">
        <v>6.2709999999999999</v>
      </c>
      <c r="BI4">
        <v>0.57740000000000002</v>
      </c>
      <c r="BJ4">
        <v>3.1486000000000001</v>
      </c>
      <c r="BK4">
        <v>10.167999999999999</v>
      </c>
      <c r="BL4">
        <v>1.5195000000000001</v>
      </c>
      <c r="BM4">
        <v>5.5876999999999999</v>
      </c>
      <c r="BN4">
        <v>16.901</v>
      </c>
      <c r="BO4">
        <v>1.0742</v>
      </c>
      <c r="BP4">
        <v>2.2305999999999999</v>
      </c>
      <c r="BQ4">
        <v>4.5510000000000002</v>
      </c>
      <c r="BR4">
        <v>0.36280000000000001</v>
      </c>
      <c r="BS4">
        <v>0.6925</v>
      </c>
      <c r="BT4" s="212">
        <f t="shared" ref="BT4:BT6" si="0">(BR4+0.188)/3.0944</f>
        <v>0.1779989658738366</v>
      </c>
      <c r="BU4">
        <v>0.57689999999999997</v>
      </c>
      <c r="BV4">
        <v>4.9210000000000003</v>
      </c>
      <c r="BW4">
        <v>3.0802</v>
      </c>
      <c r="BX4">
        <v>8.3946000000000005</v>
      </c>
      <c r="BY4">
        <v>6.391</v>
      </c>
      <c r="BZ4">
        <v>8.7111999999999998</v>
      </c>
      <c r="CA4">
        <v>46.049199999999999</v>
      </c>
      <c r="CB4">
        <v>10.167999999999999</v>
      </c>
      <c r="CC4">
        <v>1.1194</v>
      </c>
      <c r="CD4">
        <v>3.9205999999999999</v>
      </c>
      <c r="CE4">
        <v>16.901</v>
      </c>
      <c r="CF4">
        <v>0.1958</v>
      </c>
      <c r="CG4">
        <v>0.40689999999999998</v>
      </c>
      <c r="CH4">
        <v>4.3940000000000001</v>
      </c>
      <c r="CI4">
        <v>10.4153</v>
      </c>
      <c r="CJ4">
        <v>20.949000000000002</v>
      </c>
      <c r="CK4" s="12">
        <f>(CI4-0.6424)/2.9139</f>
        <v>3.3538899756340301</v>
      </c>
      <c r="CL4">
        <v>4.3548999999999998</v>
      </c>
      <c r="CM4">
        <v>4.944</v>
      </c>
      <c r="CN4">
        <v>3.1821000000000002</v>
      </c>
      <c r="CO4">
        <v>12.2811</v>
      </c>
      <c r="CP4">
        <v>6.3940000000000001</v>
      </c>
      <c r="CQ4">
        <v>8.3329000000000004</v>
      </c>
      <c r="CR4">
        <v>45.604199999999999</v>
      </c>
      <c r="CS4">
        <v>10.170999999999999</v>
      </c>
      <c r="CT4">
        <v>1.1990000000000001</v>
      </c>
      <c r="CU4">
        <v>4.2015000000000002</v>
      </c>
      <c r="CV4">
        <v>16.904</v>
      </c>
      <c r="CW4">
        <v>0.38790000000000002</v>
      </c>
      <c r="CX4">
        <v>0.79330000000000001</v>
      </c>
      <c r="CY4">
        <v>4.3940000000000001</v>
      </c>
      <c r="CZ4">
        <v>10.4087</v>
      </c>
      <c r="DA4">
        <v>20.917400000000001</v>
      </c>
      <c r="DB4" s="12">
        <f>(CZ4-0.6424)/2.9139</f>
        <v>3.3516249699715157</v>
      </c>
      <c r="DC4">
        <v>4.3535000000000004</v>
      </c>
      <c r="DD4">
        <v>4.9409999999999998</v>
      </c>
      <c r="DE4">
        <v>2.7553999999999998</v>
      </c>
      <c r="DF4">
        <v>10.989599999999999</v>
      </c>
      <c r="DG4">
        <v>6.3940000000000001</v>
      </c>
      <c r="DH4">
        <v>8.2484999999999999</v>
      </c>
      <c r="DI4">
        <v>45.0398</v>
      </c>
      <c r="DJ4">
        <v>10.170999999999999</v>
      </c>
      <c r="DK4">
        <v>1.1466000000000001</v>
      </c>
      <c r="DL4">
        <v>4.0202999999999998</v>
      </c>
      <c r="DM4">
        <v>16.908000000000001</v>
      </c>
      <c r="DN4">
        <v>0.40770000000000001</v>
      </c>
      <c r="DO4">
        <v>0.83379999999999999</v>
      </c>
      <c r="DP4">
        <v>4.3879999999999999</v>
      </c>
      <c r="DQ4">
        <v>11.265499999999999</v>
      </c>
      <c r="DR4">
        <v>20.5931</v>
      </c>
      <c r="DS4" s="12">
        <f t="shared" ref="DS4:DS5" si="1">(DQ4-0.6424)/2.9139</f>
        <v>3.6456638868869895</v>
      </c>
      <c r="DT4">
        <v>4.6745000000000001</v>
      </c>
      <c r="DU4">
        <v>6.3810000000000002</v>
      </c>
      <c r="DV4">
        <v>1.1006</v>
      </c>
      <c r="DW4">
        <v>5.0738000000000003</v>
      </c>
      <c r="DX4" s="9">
        <v>10.170999999999999</v>
      </c>
      <c r="DY4">
        <v>1.2068000000000001</v>
      </c>
      <c r="DZ4">
        <v>4.2389999999999999</v>
      </c>
      <c r="EA4">
        <v>16.898</v>
      </c>
      <c r="EB4">
        <v>0.4546</v>
      </c>
      <c r="EC4">
        <v>0.9345</v>
      </c>
      <c r="EF4" s="12">
        <f t="shared" ref="EF4:EF6" si="2">(X4+AO4)/2</f>
        <v>4.1485980987679749</v>
      </c>
      <c r="EG4" t="s">
        <v>1546</v>
      </c>
      <c r="EH4" s="12">
        <f t="shared" ref="EH4:EH6" si="3">(CK4+DB4)/2</f>
        <v>3.3527574728027729</v>
      </c>
      <c r="EI4">
        <f t="shared" ref="EI4:EI13" si="4">((DS4-CK4)+(DS4-DB4))/2</f>
        <v>0.29290641408421658</v>
      </c>
      <c r="EJ4" s="12"/>
      <c r="EM4" t="s">
        <v>1403</v>
      </c>
      <c r="EN4" s="37">
        <v>44638</v>
      </c>
      <c r="EO4" s="32">
        <v>0.18124999999999999</v>
      </c>
      <c r="EP4">
        <v>4</v>
      </c>
      <c r="EQ4">
        <v>-9</v>
      </c>
      <c r="ER4">
        <f t="shared" ref="ER4" si="5">(EP4*60)+EQ4</f>
        <v>231</v>
      </c>
      <c r="ES4">
        <f t="shared" ref="ES4" si="6">ER4/60</f>
        <v>3.85</v>
      </c>
      <c r="ET4">
        <f t="shared" ref="ET4" si="7">(ES4-EU4)*60</f>
        <v>51.000000000000007</v>
      </c>
      <c r="EU4">
        <v>3</v>
      </c>
    </row>
    <row r="5" spans="1:151" ht="16" thickBot="1">
      <c r="B5" s="14">
        <v>44644</v>
      </c>
      <c r="C5" s="12">
        <v>140.98333333333332</v>
      </c>
      <c r="D5">
        <v>4.3710000000000004</v>
      </c>
      <c r="E5">
        <v>9.4799999999999995E-2</v>
      </c>
      <c r="F5">
        <v>0.32</v>
      </c>
      <c r="G5" s="12">
        <f>(E5-0.6424)/2.9139</f>
        <v>-0.18792683345344727</v>
      </c>
      <c r="H5">
        <v>0.47620000000000001</v>
      </c>
      <c r="L5">
        <v>6.2910000000000004</v>
      </c>
      <c r="M5">
        <v>6.7893999999999997</v>
      </c>
      <c r="N5">
        <v>38.187199999999997</v>
      </c>
      <c r="O5">
        <v>10.167999999999999</v>
      </c>
      <c r="P5">
        <v>0.97240000000000004</v>
      </c>
      <c r="Q5">
        <v>3.5392999999999999</v>
      </c>
      <c r="R5">
        <v>16.904</v>
      </c>
      <c r="S5">
        <v>0.1716</v>
      </c>
      <c r="T5">
        <v>0.35110000000000002</v>
      </c>
      <c r="U5">
        <v>4.4080000000000004</v>
      </c>
      <c r="V5">
        <v>13.269500000000001</v>
      </c>
      <c r="W5">
        <v>31.5688</v>
      </c>
      <c r="X5" s="12">
        <f t="shared" ref="X5" si="8">(V5-0.6424)/2.9139</f>
        <v>4.3334019698685609</v>
      </c>
      <c r="Y5">
        <v>5.4276</v>
      </c>
      <c r="AC5">
        <v>6.2850000000000001</v>
      </c>
      <c r="AD5">
        <v>7.3971</v>
      </c>
      <c r="AE5">
        <v>34.744900000000001</v>
      </c>
      <c r="AF5">
        <v>10.164999999999999</v>
      </c>
      <c r="AG5">
        <v>0.89139999999999997</v>
      </c>
      <c r="AH5">
        <v>3.2382</v>
      </c>
      <c r="AI5">
        <v>16.898</v>
      </c>
      <c r="AJ5">
        <v>1.2709999999999999</v>
      </c>
      <c r="AK5">
        <v>2.6408999999999998</v>
      </c>
      <c r="AL5">
        <v>4.4039999999999999</v>
      </c>
      <c r="AM5">
        <v>13.855</v>
      </c>
      <c r="AN5">
        <v>33.360799999999998</v>
      </c>
      <c r="AO5" s="12">
        <f t="shared" ref="AO5" si="9">(AM5-0.6424)/2.9139</f>
        <v>4.5343354267476581</v>
      </c>
      <c r="AP5">
        <v>5.6475999999999997</v>
      </c>
      <c r="AT5">
        <v>6.2809999999999997</v>
      </c>
      <c r="AU5">
        <v>7.3249000000000004</v>
      </c>
      <c r="AV5">
        <v>35.115299999999998</v>
      </c>
      <c r="AW5">
        <v>10.164</v>
      </c>
      <c r="AX5">
        <v>0.85599999999999998</v>
      </c>
      <c r="AY5">
        <v>3.1052</v>
      </c>
      <c r="AZ5">
        <v>16.893999999999998</v>
      </c>
      <c r="BA5">
        <v>1.4093</v>
      </c>
      <c r="BB5">
        <v>2.9247999999999998</v>
      </c>
      <c r="BC5">
        <v>4.4009999999999998</v>
      </c>
      <c r="BD5">
        <v>11.921799999999999</v>
      </c>
      <c r="BE5">
        <v>27.974399999999999</v>
      </c>
      <c r="BF5" s="12">
        <f t="shared" ref="BF5" si="10">(BD5-0.6424)/2.9139</f>
        <v>3.8708946772366928</v>
      </c>
      <c r="BG5">
        <v>4.9211</v>
      </c>
      <c r="BH5">
        <v>6.274</v>
      </c>
      <c r="BI5">
        <v>0.53510000000000002</v>
      </c>
      <c r="BJ5">
        <v>2.9106999999999998</v>
      </c>
      <c r="BK5">
        <v>10.167999999999999</v>
      </c>
      <c r="BL5">
        <v>1.3077000000000001</v>
      </c>
      <c r="BM5">
        <v>4.7675000000000001</v>
      </c>
      <c r="BN5">
        <v>16.901</v>
      </c>
      <c r="BO5">
        <v>1.1981999999999999</v>
      </c>
      <c r="BP5">
        <v>2.4933999999999998</v>
      </c>
      <c r="BQ5">
        <v>4.3540000000000001</v>
      </c>
      <c r="BR5">
        <v>1.3126</v>
      </c>
      <c r="BS5">
        <v>2.3649</v>
      </c>
      <c r="BT5" s="212">
        <f t="shared" si="0"/>
        <v>0.48494053774560497</v>
      </c>
      <c r="BU5">
        <v>0.93389999999999995</v>
      </c>
      <c r="BV5">
        <v>4.9139999999999997</v>
      </c>
      <c r="BW5">
        <v>0.80449999999999999</v>
      </c>
      <c r="BX5">
        <v>3.3127</v>
      </c>
      <c r="BY5">
        <v>6.3840000000000003</v>
      </c>
      <c r="BZ5">
        <v>4.8906000000000001</v>
      </c>
      <c r="CA5">
        <v>23.913900000000002</v>
      </c>
      <c r="CB5">
        <v>10.167999999999999</v>
      </c>
      <c r="CC5">
        <v>0.4703</v>
      </c>
      <c r="CD5">
        <v>1.6301000000000001</v>
      </c>
      <c r="CE5">
        <v>16.898</v>
      </c>
      <c r="CF5">
        <v>0.15709999999999999</v>
      </c>
      <c r="CG5">
        <v>0.32329999999999998</v>
      </c>
      <c r="CH5">
        <v>4.3739999999999997</v>
      </c>
      <c r="CI5">
        <v>10.7887</v>
      </c>
      <c r="CJ5">
        <v>23.7606</v>
      </c>
      <c r="CK5" s="12">
        <f>(CI5-0.6424)/2.9139</f>
        <v>3.4820343869041492</v>
      </c>
      <c r="CL5">
        <v>4.4951999999999996</v>
      </c>
      <c r="CM5">
        <v>4.891</v>
      </c>
      <c r="CN5">
        <v>0.44579999999999997</v>
      </c>
      <c r="CO5">
        <v>2.1977000000000002</v>
      </c>
      <c r="CP5">
        <v>6.3810000000000002</v>
      </c>
      <c r="CQ5">
        <v>4.5942999999999996</v>
      </c>
      <c r="CR5">
        <v>23.801300000000001</v>
      </c>
      <c r="CS5">
        <v>10.167999999999999</v>
      </c>
      <c r="CT5">
        <v>0.45550000000000002</v>
      </c>
      <c r="CU5">
        <v>1.5777000000000001</v>
      </c>
      <c r="CV5">
        <v>16.893999999999998</v>
      </c>
      <c r="CW5">
        <v>0.39560000000000001</v>
      </c>
      <c r="CX5">
        <v>0.81220000000000003</v>
      </c>
      <c r="CY5">
        <v>4.3780000000000001</v>
      </c>
      <c r="CZ5">
        <v>11.592499999999999</v>
      </c>
      <c r="DA5">
        <v>25.984999999999999</v>
      </c>
      <c r="DB5" s="12">
        <f>(CZ5-0.6424)/2.9139</f>
        <v>3.7578846219842821</v>
      </c>
      <c r="DC5">
        <v>4.7973999999999997</v>
      </c>
      <c r="DD5">
        <v>4.8780000000000001</v>
      </c>
      <c r="DE5">
        <v>0.27189999999999998</v>
      </c>
      <c r="DF5">
        <v>1.2888999999999999</v>
      </c>
      <c r="DG5">
        <v>6.3840000000000003</v>
      </c>
      <c r="DH5">
        <v>4.5247000000000002</v>
      </c>
      <c r="DI5">
        <v>23.411899999999999</v>
      </c>
      <c r="DJ5">
        <v>10.170999999999999</v>
      </c>
      <c r="DK5">
        <v>0.4299</v>
      </c>
      <c r="DL5">
        <v>1.4891000000000001</v>
      </c>
      <c r="DM5">
        <v>16.898</v>
      </c>
      <c r="DN5">
        <v>0.4007</v>
      </c>
      <c r="DO5">
        <v>0.8216</v>
      </c>
      <c r="DP5">
        <v>4.3710000000000004</v>
      </c>
      <c r="DQ5">
        <v>12.7288</v>
      </c>
      <c r="DR5">
        <v>26.154900000000001</v>
      </c>
      <c r="DS5" s="12">
        <f t="shared" si="1"/>
        <v>4.1478430968804689</v>
      </c>
      <c r="DT5">
        <v>5.2244000000000002</v>
      </c>
      <c r="DU5">
        <v>6.3710000000000004</v>
      </c>
      <c r="DV5">
        <v>1.3030999999999999</v>
      </c>
      <c r="DW5">
        <v>4.3874000000000004</v>
      </c>
      <c r="DX5" s="9">
        <v>10.161</v>
      </c>
      <c r="DY5">
        <v>0.90959999999999996</v>
      </c>
      <c r="DZ5">
        <v>3.1768000000000001</v>
      </c>
      <c r="EA5">
        <v>16.885000000000002</v>
      </c>
      <c r="EB5">
        <v>0.47320000000000001</v>
      </c>
      <c r="EC5">
        <v>0.96109999999999995</v>
      </c>
      <c r="EF5" s="12">
        <f t="shared" si="2"/>
        <v>4.4338686983081095</v>
      </c>
      <c r="EG5" t="s">
        <v>1547</v>
      </c>
      <c r="EH5" s="12">
        <f t="shared" si="3"/>
        <v>3.6199595044442159</v>
      </c>
      <c r="EI5">
        <f t="shared" si="4"/>
        <v>0.52788359243625327</v>
      </c>
      <c r="EJ5" s="12"/>
      <c r="EM5" t="s">
        <v>1399</v>
      </c>
      <c r="EN5" s="37">
        <v>44641</v>
      </c>
      <c r="EO5" s="32">
        <v>0.34791666666666665</v>
      </c>
      <c r="EP5">
        <f>ES4+(24*3)-8</f>
        <v>67.849999999999994</v>
      </c>
      <c r="EQ5">
        <v>0</v>
      </c>
      <c r="ER5">
        <f t="shared" ref="ER5" si="11">(EP5*60)+EQ5</f>
        <v>4070.9999999999995</v>
      </c>
      <c r="ES5">
        <f t="shared" ref="ES5" si="12">ER5/60</f>
        <v>67.849999999999994</v>
      </c>
      <c r="ET5">
        <f t="shared" ref="ET5" si="13">(ES5-EU5)*60</f>
        <v>50.999999999999659</v>
      </c>
      <c r="EU5">
        <v>67</v>
      </c>
    </row>
    <row r="6" spans="1:151" ht="16" thickTop="1">
      <c r="B6" s="382">
        <v>44648</v>
      </c>
      <c r="C6" s="422">
        <v>240.03333333333333</v>
      </c>
      <c r="D6">
        <v>4.6109999999999998</v>
      </c>
      <c r="E6">
        <v>0.25290000000000001</v>
      </c>
      <c r="F6">
        <v>0.84670000000000001</v>
      </c>
      <c r="G6" s="12">
        <f>(0.2529-0.6424)/2.9139</f>
        <v>-0.13366965235594905</v>
      </c>
      <c r="H6">
        <v>0.53559999999999997</v>
      </c>
      <c r="I6">
        <v>4.9539999999999997</v>
      </c>
      <c r="J6">
        <v>2.7530000000000001</v>
      </c>
      <c r="K6">
        <v>13.4237</v>
      </c>
      <c r="L6">
        <v>6.274</v>
      </c>
      <c r="M6">
        <v>2.7191000000000001</v>
      </c>
      <c r="N6">
        <v>12.091699999999999</v>
      </c>
      <c r="O6">
        <v>10.161</v>
      </c>
      <c r="P6">
        <v>0.28339999999999999</v>
      </c>
      <c r="Q6">
        <v>1.0139</v>
      </c>
      <c r="R6">
        <v>16.898</v>
      </c>
      <c r="S6">
        <v>0.1188</v>
      </c>
      <c r="T6">
        <v>0.2482</v>
      </c>
      <c r="U6">
        <v>4.391</v>
      </c>
      <c r="V6">
        <v>12.505800000000001</v>
      </c>
      <c r="W6">
        <v>33.247</v>
      </c>
      <c r="X6" s="12">
        <f>(12.5058-0.6424)/2.9139</f>
        <v>4.0713133601015823</v>
      </c>
      <c r="Y6">
        <v>5.1406000000000001</v>
      </c>
      <c r="Z6">
        <v>4.9340000000000002</v>
      </c>
      <c r="AA6">
        <v>0.55210000000000004</v>
      </c>
      <c r="AB6">
        <v>3.6495000000000002</v>
      </c>
      <c r="AC6">
        <v>6.3140000000000001</v>
      </c>
      <c r="AD6">
        <v>2.5678999999999998</v>
      </c>
      <c r="AE6">
        <v>11.638400000000001</v>
      </c>
      <c r="AF6">
        <v>10.164</v>
      </c>
      <c r="AG6">
        <v>0.1293</v>
      </c>
      <c r="AH6">
        <v>0.46160000000000001</v>
      </c>
      <c r="AI6">
        <v>16.893999999999998</v>
      </c>
      <c r="AJ6">
        <v>0.79869999999999997</v>
      </c>
      <c r="AK6">
        <v>1.6456999999999999</v>
      </c>
      <c r="AL6">
        <v>4.3879999999999999</v>
      </c>
      <c r="AM6">
        <v>12.1751</v>
      </c>
      <c r="AN6">
        <v>32.924300000000002</v>
      </c>
      <c r="AO6" s="12">
        <f>(12.1751-0.6424)/2.9139</f>
        <v>3.9578228491025773</v>
      </c>
      <c r="AP6">
        <v>5.0163000000000002</v>
      </c>
      <c r="AQ6">
        <v>4.9109999999999996</v>
      </c>
      <c r="AR6">
        <v>0.1661</v>
      </c>
      <c r="AS6">
        <v>1.149</v>
      </c>
      <c r="AT6">
        <v>6.3049999999999997</v>
      </c>
      <c r="AU6">
        <v>2.5409999999999999</v>
      </c>
      <c r="AV6">
        <v>11.1927</v>
      </c>
      <c r="AW6">
        <v>10.157999999999999</v>
      </c>
      <c r="AX6">
        <v>0.20050000000000001</v>
      </c>
      <c r="AY6">
        <v>0.70930000000000004</v>
      </c>
      <c r="AZ6">
        <v>16.885000000000002</v>
      </c>
      <c r="BA6">
        <v>0.68869999999999998</v>
      </c>
      <c r="BB6">
        <v>1.4187000000000001</v>
      </c>
      <c r="BC6">
        <v>4.3940000000000001</v>
      </c>
      <c r="BD6">
        <v>12.888</v>
      </c>
      <c r="BE6">
        <v>33.936700000000002</v>
      </c>
      <c r="BF6" s="12">
        <f>(BD6-0.6424)/2.9139</f>
        <v>4.20247777892172</v>
      </c>
      <c r="BG6">
        <v>5.2842000000000002</v>
      </c>
      <c r="BH6">
        <v>6.2709999999999999</v>
      </c>
      <c r="BI6">
        <v>1.4433</v>
      </c>
      <c r="BJ6">
        <v>3.3071000000000002</v>
      </c>
      <c r="BK6">
        <v>10.164</v>
      </c>
      <c r="BL6">
        <v>1.1568000000000001</v>
      </c>
      <c r="BM6">
        <v>4.2042000000000002</v>
      </c>
      <c r="BN6">
        <v>16.888000000000002</v>
      </c>
      <c r="BO6">
        <v>1.7370000000000001</v>
      </c>
      <c r="BP6">
        <v>3.6097000000000001</v>
      </c>
      <c r="BQ6">
        <v>4.351</v>
      </c>
      <c r="BR6">
        <v>0.52769999999999995</v>
      </c>
      <c r="BS6">
        <v>2.5226999999999999</v>
      </c>
      <c r="BT6" s="212">
        <f t="shared" si="0"/>
        <v>0.23128877973112721</v>
      </c>
      <c r="BU6">
        <v>0.68069999999999997</v>
      </c>
      <c r="BV6">
        <v>4.9610000000000003</v>
      </c>
      <c r="BW6">
        <v>9.6949000000000005</v>
      </c>
      <c r="BX6">
        <v>33.937399999999997</v>
      </c>
      <c r="BY6">
        <v>6.3739999999999997</v>
      </c>
      <c r="BZ6">
        <v>2.5139999999999998</v>
      </c>
      <c r="CA6">
        <v>11.198499999999999</v>
      </c>
      <c r="CB6">
        <v>10.164</v>
      </c>
      <c r="CC6">
        <v>0.45590000000000003</v>
      </c>
      <c r="CD6">
        <v>1.5736000000000001</v>
      </c>
      <c r="CE6" t="s">
        <v>1422</v>
      </c>
      <c r="CF6" t="s">
        <v>1423</v>
      </c>
      <c r="CG6" t="s">
        <v>1424</v>
      </c>
      <c r="CH6">
        <v>4.3650000000000002</v>
      </c>
      <c r="CI6">
        <v>10.895799999999999</v>
      </c>
      <c r="CJ6">
        <v>27.697700000000001</v>
      </c>
      <c r="CK6" s="12">
        <f>(CI6-0.6424)/2.9139</f>
        <v>3.5187892515185832</v>
      </c>
      <c r="CL6">
        <v>4.5354999999999999</v>
      </c>
      <c r="CM6">
        <v>4.9409999999999998</v>
      </c>
      <c r="CN6">
        <v>4.6429</v>
      </c>
      <c r="CO6">
        <v>17.141999999999999</v>
      </c>
      <c r="CP6">
        <v>6.375</v>
      </c>
      <c r="CQ6">
        <v>2.4363999999999999</v>
      </c>
      <c r="CR6">
        <v>11.331300000000001</v>
      </c>
      <c r="CS6">
        <v>10.164999999999999</v>
      </c>
      <c r="CT6">
        <v>6.2600000000000003E-2</v>
      </c>
      <c r="CU6">
        <v>0.21310000000000001</v>
      </c>
      <c r="CV6">
        <v>16.885000000000002</v>
      </c>
      <c r="CW6">
        <v>0.40250000000000002</v>
      </c>
      <c r="CX6">
        <v>0.82089999999999996</v>
      </c>
      <c r="CY6">
        <v>4.3650000000000002</v>
      </c>
      <c r="CZ6">
        <v>11.592499999999999</v>
      </c>
      <c r="DA6">
        <v>29.5047</v>
      </c>
      <c r="DB6" s="12">
        <f>(CZ6-0.6424)/2.9139</f>
        <v>3.7578846219842821</v>
      </c>
      <c r="DC6">
        <v>4.7973999999999997</v>
      </c>
      <c r="DD6">
        <v>4.9379999999999997</v>
      </c>
      <c r="DE6">
        <v>4.1441999999999997</v>
      </c>
      <c r="DF6">
        <v>15.497199999999999</v>
      </c>
      <c r="DG6">
        <v>6.375</v>
      </c>
      <c r="DH6">
        <v>2.4876999999999998</v>
      </c>
      <c r="DI6">
        <v>11.585800000000001</v>
      </c>
      <c r="DM6">
        <v>16.888000000000002</v>
      </c>
      <c r="DN6">
        <v>0.4451</v>
      </c>
      <c r="DO6">
        <v>0.90610000000000002</v>
      </c>
      <c r="DP6">
        <v>4.3650000000000002</v>
      </c>
      <c r="DQ6">
        <v>13.764799999999999</v>
      </c>
      <c r="DR6">
        <v>31.108599999999999</v>
      </c>
      <c r="DS6" s="12">
        <f>(DQ6-0.6424)/2.9139</f>
        <v>4.503380349359964</v>
      </c>
      <c r="DT6">
        <v>5.6138000000000003</v>
      </c>
      <c r="DU6">
        <v>6.3710000000000004</v>
      </c>
      <c r="DV6">
        <v>1.1892</v>
      </c>
      <c r="DW6">
        <v>3.9912000000000001</v>
      </c>
      <c r="DX6" s="9">
        <v>10.161</v>
      </c>
      <c r="DY6">
        <v>0.93700000000000006</v>
      </c>
      <c r="DZ6">
        <v>3.2576999999999998</v>
      </c>
      <c r="EA6">
        <v>16.885000000000002</v>
      </c>
      <c r="EB6">
        <v>0.67749999999999999</v>
      </c>
      <c r="EC6">
        <v>1.3834</v>
      </c>
      <c r="EF6" s="12">
        <f t="shared" si="2"/>
        <v>4.0145681046020796</v>
      </c>
      <c r="EG6">
        <f t="shared" ref="EG6:EG13" si="14">((BF6-X6)+(BF6-AO6))/2</f>
        <v>0.18790967431964023</v>
      </c>
      <c r="EH6" s="12">
        <f t="shared" si="3"/>
        <v>3.6383369367514327</v>
      </c>
      <c r="EI6">
        <f t="shared" si="4"/>
        <v>0.86504341260853135</v>
      </c>
      <c r="EJ6" s="12"/>
      <c r="EM6" t="s">
        <v>1420</v>
      </c>
      <c r="EN6" s="37">
        <v>44644</v>
      </c>
      <c r="EO6" s="32">
        <v>0.39513888888888887</v>
      </c>
      <c r="EP6">
        <f>ES5+(24*3)+1</f>
        <v>140.85</v>
      </c>
      <c r="EQ6">
        <v>8</v>
      </c>
      <c r="ER6">
        <f t="shared" ref="ER6:ER14" si="15">(EP6*60)+EQ6</f>
        <v>8459</v>
      </c>
      <c r="ES6">
        <f t="shared" ref="ES6:ES14" si="16">ER6/60</f>
        <v>140.98333333333332</v>
      </c>
      <c r="ET6">
        <f t="shared" ref="ET6:ET14" si="17">(ES6-EU6)*60</f>
        <v>58.999999999999204</v>
      </c>
      <c r="EU6">
        <v>140</v>
      </c>
    </row>
    <row r="7" spans="1:151">
      <c r="A7" t="s">
        <v>1436</v>
      </c>
      <c r="B7" s="14">
        <v>12143</v>
      </c>
      <c r="C7" s="12">
        <v>284.75</v>
      </c>
      <c r="D7">
        <v>4.6379999999999999</v>
      </c>
      <c r="E7">
        <v>0.40589999999999998</v>
      </c>
      <c r="F7">
        <v>1.6149</v>
      </c>
      <c r="G7" s="12">
        <f>(0.4059+0.2617)/3.0853</f>
        <v>0.21638090299160534</v>
      </c>
      <c r="H7">
        <v>0.59309999999999996</v>
      </c>
      <c r="I7">
        <v>4.9749999999999996</v>
      </c>
      <c r="J7">
        <v>3.9123000000000001</v>
      </c>
      <c r="K7">
        <v>17.747599999999998</v>
      </c>
      <c r="L7">
        <v>6.2910000000000004</v>
      </c>
      <c r="M7">
        <v>2.0070000000000001</v>
      </c>
      <c r="N7">
        <v>6.6489000000000003</v>
      </c>
      <c r="O7">
        <v>10.101000000000001</v>
      </c>
      <c r="P7">
        <v>3.4099999999999998E-2</v>
      </c>
      <c r="Q7">
        <v>0.1202</v>
      </c>
      <c r="R7">
        <v>16.588000000000001</v>
      </c>
      <c r="S7">
        <v>0.14910000000000001</v>
      </c>
      <c r="T7">
        <v>0.30859999999999999</v>
      </c>
      <c r="U7">
        <v>4.4850000000000003</v>
      </c>
      <c r="V7">
        <v>11.1553</v>
      </c>
      <c r="W7">
        <v>15.650600000000001</v>
      </c>
      <c r="X7" s="12">
        <f>(V7+0.2617)/3.0853</f>
        <v>3.7004505234499074</v>
      </c>
      <c r="Y7">
        <v>4.6330999999999998</v>
      </c>
      <c r="Z7">
        <v>4.9809999999999999</v>
      </c>
      <c r="AA7">
        <v>3.8243999999999998</v>
      </c>
      <c r="AB7">
        <v>18.386099999999999</v>
      </c>
      <c r="AC7">
        <v>6.2949999999999999</v>
      </c>
      <c r="AD7">
        <v>2.17</v>
      </c>
      <c r="AE7">
        <v>8.1068999999999996</v>
      </c>
      <c r="AF7">
        <v>10.101000000000001</v>
      </c>
      <c r="AG7">
        <v>0.11409999999999999</v>
      </c>
      <c r="AH7">
        <v>0.40739999999999998</v>
      </c>
      <c r="AI7">
        <v>16.581</v>
      </c>
      <c r="AJ7">
        <v>0.5383</v>
      </c>
      <c r="AK7">
        <v>1.1217999999999999</v>
      </c>
      <c r="AL7">
        <v>4.4809999999999999</v>
      </c>
      <c r="AM7">
        <v>10.7575</v>
      </c>
      <c r="AN7">
        <v>14.925700000000001</v>
      </c>
      <c r="AO7" s="12">
        <f>(AM7+0.2617)/3.0853</f>
        <v>3.5715165462029623</v>
      </c>
      <c r="AP7">
        <v>4.4835000000000003</v>
      </c>
      <c r="AQ7">
        <v>4.984</v>
      </c>
      <c r="AR7">
        <v>4.4848999999999997</v>
      </c>
      <c r="AS7">
        <v>21.463000000000001</v>
      </c>
      <c r="AT7">
        <v>6.2910000000000004</v>
      </c>
      <c r="AU7">
        <v>1.9697</v>
      </c>
      <c r="AV7">
        <v>7.1711999999999998</v>
      </c>
      <c r="AW7" t="s">
        <v>182</v>
      </c>
      <c r="AX7" t="s">
        <v>182</v>
      </c>
      <c r="AY7" t="s">
        <v>182</v>
      </c>
      <c r="AZ7">
        <v>16.571000000000002</v>
      </c>
      <c r="BA7">
        <v>0.53449999999999998</v>
      </c>
      <c r="BB7">
        <v>1.1161000000000001</v>
      </c>
      <c r="BC7">
        <v>4.4779999999999998</v>
      </c>
      <c r="BD7">
        <v>12.6349</v>
      </c>
      <c r="BE7">
        <v>16.702500000000001</v>
      </c>
      <c r="BF7" s="12">
        <f>(BD7+0.2617)/3.0853</f>
        <v>4.1800149094091337</v>
      </c>
      <c r="BG7">
        <v>5.1890999999999998</v>
      </c>
      <c r="BH7">
        <v>6.2510000000000003</v>
      </c>
      <c r="BI7">
        <v>0.42180000000000001</v>
      </c>
      <c r="BJ7">
        <v>2.1758000000000002</v>
      </c>
      <c r="BK7">
        <v>10.098000000000001</v>
      </c>
      <c r="BL7">
        <v>1.1128</v>
      </c>
      <c r="BM7">
        <v>4.0636999999999999</v>
      </c>
      <c r="BN7">
        <v>16.574000000000002</v>
      </c>
      <c r="BO7">
        <v>1.1372</v>
      </c>
      <c r="BP7">
        <v>2.3984000000000001</v>
      </c>
      <c r="BQ7">
        <v>4.6139999999999999</v>
      </c>
      <c r="BR7">
        <v>0.84399999999999997</v>
      </c>
      <c r="BS7">
        <v>2.9834999999999998</v>
      </c>
      <c r="BT7" s="12">
        <f>(0.844+0.2617)/3.0853</f>
        <v>0.35837681910997304</v>
      </c>
      <c r="BU7">
        <v>0.75780000000000003</v>
      </c>
      <c r="BV7">
        <v>0.97399999999999998</v>
      </c>
      <c r="BW7">
        <v>11.7559</v>
      </c>
      <c r="BX7">
        <v>37.248800000000003</v>
      </c>
      <c r="BY7">
        <v>6.3579999999999997</v>
      </c>
      <c r="BZ7">
        <v>1.7303999999999999</v>
      </c>
      <c r="CA7">
        <v>7.3091999999999997</v>
      </c>
      <c r="CB7">
        <v>10.098000000000001</v>
      </c>
      <c r="CC7">
        <v>0.7036</v>
      </c>
      <c r="CD7">
        <v>2.4474</v>
      </c>
      <c r="CE7" t="s">
        <v>1481</v>
      </c>
      <c r="CF7" t="s">
        <v>1482</v>
      </c>
      <c r="CG7" t="s">
        <v>1483</v>
      </c>
      <c r="CH7">
        <v>4.4550000000000001</v>
      </c>
      <c r="CI7">
        <v>9.8796999999999997</v>
      </c>
      <c r="CJ7">
        <v>15.209199999999999</v>
      </c>
      <c r="CK7" s="12">
        <f>(CI7+0.2617)/3.0853</f>
        <v>3.2870061258224479</v>
      </c>
      <c r="CL7">
        <v>4.1536</v>
      </c>
      <c r="CM7">
        <v>4.9509999999999996</v>
      </c>
      <c r="CN7">
        <v>4.0724</v>
      </c>
      <c r="CO7">
        <v>15.511900000000001</v>
      </c>
      <c r="CP7">
        <v>6.3609999999999998</v>
      </c>
      <c r="CQ7">
        <v>1.7249000000000001</v>
      </c>
      <c r="CR7">
        <v>7.5213999999999999</v>
      </c>
      <c r="CS7">
        <v>10.105</v>
      </c>
      <c r="CT7">
        <v>3.4500000000000003E-2</v>
      </c>
      <c r="CU7">
        <v>0.1176</v>
      </c>
      <c r="CV7">
        <v>16.574999999999999</v>
      </c>
      <c r="CW7">
        <v>0.3967</v>
      </c>
      <c r="CX7">
        <v>0.82369999999999999</v>
      </c>
      <c r="CY7">
        <v>4.4550000000000001</v>
      </c>
      <c r="CZ7">
        <v>10.0245</v>
      </c>
      <c r="DA7">
        <v>16.248200000000001</v>
      </c>
      <c r="DB7" s="12">
        <f>(CZ7+0.2617)/3.0853</f>
        <v>3.3339383528344078</v>
      </c>
      <c r="DC7">
        <v>4.2081</v>
      </c>
      <c r="DD7">
        <v>4.9550000000000001</v>
      </c>
      <c r="DE7">
        <v>4.3171999999999997</v>
      </c>
      <c r="DF7">
        <v>15.444800000000001</v>
      </c>
      <c r="DG7">
        <v>6.3650000000000002</v>
      </c>
      <c r="DH7">
        <v>1.6926000000000001</v>
      </c>
      <c r="DI7">
        <v>7.3270999999999997</v>
      </c>
      <c r="DJ7">
        <v>10.108000000000001</v>
      </c>
      <c r="DK7">
        <v>3.5900000000000001E-2</v>
      </c>
      <c r="DL7">
        <v>0.127</v>
      </c>
      <c r="DM7">
        <v>16.577999999999999</v>
      </c>
      <c r="DN7">
        <v>0.3861</v>
      </c>
      <c r="DO7">
        <v>0.80410000000000004</v>
      </c>
      <c r="DP7">
        <v>4.4509999999999996</v>
      </c>
      <c r="DQ7">
        <v>13.728</v>
      </c>
      <c r="DR7">
        <v>18.8047</v>
      </c>
      <c r="DS7" s="12">
        <f>(DQ7+0.2617)/3.0853</f>
        <v>4.5343078468868496</v>
      </c>
      <c r="DT7">
        <v>5.6</v>
      </c>
      <c r="DU7">
        <v>6.3579999999999997</v>
      </c>
      <c r="DV7">
        <v>1.0322</v>
      </c>
      <c r="DW7">
        <v>3.5821999999999998</v>
      </c>
      <c r="DX7" s="9">
        <v>10.105</v>
      </c>
      <c r="DY7">
        <v>0.90700000000000003</v>
      </c>
      <c r="DZ7">
        <v>3.1558999999999999</v>
      </c>
      <c r="EA7">
        <v>16.577999999999999</v>
      </c>
      <c r="EB7">
        <v>0.74339999999999995</v>
      </c>
      <c r="EC7">
        <v>1.5546</v>
      </c>
      <c r="EF7" s="12">
        <f t="shared" ref="EF7:EF13" si="18">(X7+AO7)/2</f>
        <v>3.6359835348264351</v>
      </c>
      <c r="EG7">
        <f t="shared" si="14"/>
        <v>0.54403137458269879</v>
      </c>
      <c r="EH7" s="12">
        <f t="shared" ref="EH7:EH13" si="19">(CK7+DB7)/2</f>
        <v>3.310472239328428</v>
      </c>
      <c r="EI7">
        <f t="shared" si="4"/>
        <v>1.2238356075584218</v>
      </c>
      <c r="EJ7" s="12"/>
      <c r="EM7" t="s">
        <v>1421</v>
      </c>
      <c r="EN7" s="37">
        <v>44648</v>
      </c>
      <c r="EO7" s="32">
        <v>0.52222222222222225</v>
      </c>
      <c r="EP7">
        <f>ES6+(24*4)+3</f>
        <v>239.98333333333332</v>
      </c>
      <c r="EQ7">
        <v>3</v>
      </c>
      <c r="ER7">
        <f t="shared" si="15"/>
        <v>14402</v>
      </c>
      <c r="ES7">
        <f t="shared" si="16"/>
        <v>240.03333333333333</v>
      </c>
      <c r="ET7">
        <f t="shared" si="17"/>
        <v>1.9999999999998863</v>
      </c>
      <c r="EU7">
        <v>240</v>
      </c>
    </row>
    <row r="8" spans="1:151">
      <c r="A8" t="s">
        <v>1436</v>
      </c>
      <c r="B8" s="14">
        <v>44652</v>
      </c>
      <c r="C8" s="12">
        <v>332.56666666666666</v>
      </c>
      <c r="D8">
        <v>4.6340000000000003</v>
      </c>
      <c r="E8">
        <v>0.46510000000000001</v>
      </c>
      <c r="F8">
        <v>1.8971</v>
      </c>
      <c r="G8" s="12">
        <f>(0.4651+0.2617)/3.0853</f>
        <v>0.23556866431141216</v>
      </c>
      <c r="H8">
        <v>0.61539999999999995</v>
      </c>
      <c r="I8">
        <v>4.9740000000000002</v>
      </c>
      <c r="J8">
        <v>4.2827999999999999</v>
      </c>
      <c r="K8">
        <v>19.852499999999999</v>
      </c>
      <c r="L8">
        <v>6.2679999999999998</v>
      </c>
      <c r="M8">
        <v>1.3389</v>
      </c>
      <c r="N8">
        <v>5.3541999999999996</v>
      </c>
      <c r="O8">
        <v>10.093999999999999</v>
      </c>
      <c r="P8">
        <v>0.18759999999999999</v>
      </c>
      <c r="Q8">
        <v>0.66600000000000004</v>
      </c>
      <c r="R8">
        <v>16.577999999999999</v>
      </c>
      <c r="S8">
        <v>0.18099999999999999</v>
      </c>
      <c r="T8">
        <v>0.38250000000000001</v>
      </c>
      <c r="U8">
        <v>4.4480000000000004</v>
      </c>
      <c r="V8">
        <v>11.6275</v>
      </c>
      <c r="W8">
        <v>18.346699999999998</v>
      </c>
      <c r="X8" s="12">
        <f>(V8+0.2617)/3.0853</f>
        <v>3.8534988493825555</v>
      </c>
      <c r="Y8">
        <v>4.8105000000000002</v>
      </c>
      <c r="Z8">
        <v>4.9649999999999999</v>
      </c>
      <c r="AA8">
        <v>3.2528999999999999</v>
      </c>
      <c r="AB8">
        <v>10.8626</v>
      </c>
      <c r="AC8">
        <v>6.2949999999999999</v>
      </c>
      <c r="AD8">
        <v>1.1646000000000001</v>
      </c>
      <c r="AE8">
        <v>5.2659000000000002</v>
      </c>
      <c r="AF8">
        <v>10.095000000000001</v>
      </c>
      <c r="AG8">
        <v>0.46260000000000001</v>
      </c>
      <c r="AH8">
        <v>1.6534</v>
      </c>
      <c r="AI8">
        <v>16.577999999999999</v>
      </c>
      <c r="AJ8">
        <v>0.50260000000000005</v>
      </c>
      <c r="AK8">
        <v>1.0519000000000001</v>
      </c>
      <c r="AL8">
        <v>4.444</v>
      </c>
      <c r="AM8">
        <v>11.019399999999999</v>
      </c>
      <c r="AN8">
        <v>18.760000000000002</v>
      </c>
      <c r="AO8" s="12">
        <f>(AM8+0.2617)/3.0853</f>
        <v>3.6564029429877154</v>
      </c>
      <c r="AP8">
        <v>4.5819999999999999</v>
      </c>
      <c r="AQ8">
        <v>4.968</v>
      </c>
      <c r="AR8">
        <v>4.2518000000000002</v>
      </c>
      <c r="AS8">
        <v>12.6212</v>
      </c>
      <c r="AT8">
        <v>6.2880000000000003</v>
      </c>
      <c r="AU8">
        <v>1.1003000000000001</v>
      </c>
      <c r="AV8">
        <v>4.9217000000000004</v>
      </c>
      <c r="AW8">
        <v>10.090999999999999</v>
      </c>
      <c r="AX8">
        <v>0.1195</v>
      </c>
      <c r="AY8">
        <v>0.4254</v>
      </c>
      <c r="AZ8">
        <v>16.571000000000002</v>
      </c>
      <c r="BA8">
        <v>0.50270000000000004</v>
      </c>
      <c r="BB8">
        <v>1.0528</v>
      </c>
      <c r="BC8">
        <v>4.444</v>
      </c>
      <c r="BD8">
        <v>11.490500000000001</v>
      </c>
      <c r="BE8">
        <v>17.578499999999998</v>
      </c>
      <c r="BF8" s="12">
        <f>(BD8+0.2617)/3.0853</f>
        <v>3.8090947395715165</v>
      </c>
      <c r="BG8">
        <v>4.7590000000000003</v>
      </c>
      <c r="BH8">
        <v>6.2510000000000003</v>
      </c>
      <c r="BI8">
        <v>0.49209999999999998</v>
      </c>
      <c r="BJ8">
        <v>2.3477999999999999</v>
      </c>
      <c r="BK8">
        <v>10.093999999999999</v>
      </c>
      <c r="BL8">
        <v>1.8567</v>
      </c>
      <c r="BM8">
        <v>4.8292000000000002</v>
      </c>
      <c r="BN8">
        <v>16.574000000000002</v>
      </c>
      <c r="BO8">
        <v>1.0065999999999999</v>
      </c>
      <c r="BP8">
        <v>2.1187999999999998</v>
      </c>
      <c r="BQ8">
        <v>4.6079999999999997</v>
      </c>
      <c r="BR8">
        <v>0.89759999999999995</v>
      </c>
      <c r="BS8">
        <v>3.1063999999999998</v>
      </c>
      <c r="BT8" s="12">
        <f>(0.8976+0.2617)/3.0853</f>
        <v>0.37574952192655492</v>
      </c>
      <c r="BU8">
        <v>0.77790000000000004</v>
      </c>
      <c r="BV8">
        <v>4.9710000000000001</v>
      </c>
      <c r="BW8">
        <v>12.027100000000001</v>
      </c>
      <c r="BX8">
        <v>38.518700000000003</v>
      </c>
      <c r="BY8">
        <v>6.3540000000000001</v>
      </c>
      <c r="BZ8">
        <v>1.5343</v>
      </c>
      <c r="CA8">
        <v>6.1524999999999999</v>
      </c>
      <c r="CB8">
        <v>10.098000000000001</v>
      </c>
      <c r="CC8">
        <v>0.54349999999999998</v>
      </c>
      <c r="CD8">
        <v>1.879</v>
      </c>
      <c r="CE8" t="s">
        <v>1484</v>
      </c>
      <c r="CF8" t="s">
        <v>1485</v>
      </c>
      <c r="CG8" t="s">
        <v>1486</v>
      </c>
      <c r="CH8">
        <v>4.4210000000000003</v>
      </c>
      <c r="CI8">
        <v>9.2545000000000002</v>
      </c>
      <c r="CJ8">
        <v>16.150700000000001</v>
      </c>
      <c r="CK8" s="12">
        <f>(CI8+0.2617)/3.0853</f>
        <v>3.0843678086409745</v>
      </c>
      <c r="CL8">
        <v>3.9186999999999999</v>
      </c>
      <c r="CM8">
        <v>4.9480000000000004</v>
      </c>
      <c r="CN8">
        <v>4.5933999999999999</v>
      </c>
      <c r="CO8">
        <v>17.0425</v>
      </c>
      <c r="CP8">
        <v>6.3579999999999997</v>
      </c>
      <c r="CQ8">
        <v>1.5134000000000001</v>
      </c>
      <c r="CR8">
        <v>6.1458000000000004</v>
      </c>
      <c r="CS8">
        <v>10.098000000000001</v>
      </c>
      <c r="CT8">
        <v>9.4200000000000006E-2</v>
      </c>
      <c r="CU8">
        <v>0.32469999999999999</v>
      </c>
      <c r="CV8">
        <v>16.568000000000001</v>
      </c>
      <c r="CW8">
        <v>0.3483</v>
      </c>
      <c r="CX8">
        <v>0.72170000000000001</v>
      </c>
      <c r="CY8">
        <v>4.4249999999999998</v>
      </c>
      <c r="CZ8">
        <v>9.8429000000000002</v>
      </c>
      <c r="DA8">
        <v>17.546099999999999</v>
      </c>
      <c r="DB8" s="12">
        <f>(CZ8+0.2617)/3.0853</f>
        <v>3.2750785985155413</v>
      </c>
      <c r="DC8">
        <v>4.1398000000000001</v>
      </c>
      <c r="DD8">
        <v>4.9509999999999996</v>
      </c>
      <c r="DE8">
        <v>4.5835999999999997</v>
      </c>
      <c r="DF8">
        <v>16.756900000000002</v>
      </c>
      <c r="DG8">
        <v>6.3609999999999998</v>
      </c>
      <c r="DH8">
        <v>1.5923</v>
      </c>
      <c r="DI8">
        <v>6.5521000000000003</v>
      </c>
      <c r="DJ8">
        <v>10.101000000000001</v>
      </c>
      <c r="DK8">
        <v>0.18290000000000001</v>
      </c>
      <c r="DL8">
        <v>0.63400000000000001</v>
      </c>
      <c r="DM8">
        <v>16.574999999999999</v>
      </c>
      <c r="DN8">
        <v>0.43369999999999997</v>
      </c>
      <c r="DO8">
        <v>0.90239999999999998</v>
      </c>
      <c r="DP8">
        <v>4.4210000000000003</v>
      </c>
      <c r="DQ8">
        <v>14.0457</v>
      </c>
      <c r="DR8">
        <v>22.163699999999999</v>
      </c>
      <c r="DS8" s="12">
        <f>(DQ8+0.2617)/3.0853</f>
        <v>4.6372800051858807</v>
      </c>
      <c r="DT8">
        <v>5.7192999999999996</v>
      </c>
      <c r="DU8">
        <v>6.3550000000000004</v>
      </c>
      <c r="DV8">
        <v>1.1174999999999999</v>
      </c>
      <c r="DW8">
        <v>3.9605999999999999</v>
      </c>
      <c r="DX8" s="9">
        <v>10.095000000000001</v>
      </c>
      <c r="DY8">
        <v>1.0379</v>
      </c>
      <c r="DZ8">
        <v>3.6103000000000001</v>
      </c>
      <c r="EA8">
        <v>16.565000000000001</v>
      </c>
      <c r="EB8">
        <v>0.86140000000000005</v>
      </c>
      <c r="EC8">
        <v>1.8044</v>
      </c>
      <c r="EF8" s="12">
        <f t="shared" si="18"/>
        <v>3.7549508961851354</v>
      </c>
      <c r="EG8">
        <f t="shared" si="14"/>
        <v>5.4143843386381008E-2</v>
      </c>
      <c r="EH8" s="12">
        <f t="shared" si="19"/>
        <v>3.1797232035782579</v>
      </c>
      <c r="EI8">
        <f t="shared" si="4"/>
        <v>1.4575568016076228</v>
      </c>
      <c r="EJ8" s="12"/>
      <c r="EM8" t="s">
        <v>1488</v>
      </c>
      <c r="EN8" s="37">
        <v>44650</v>
      </c>
      <c r="EO8" s="32">
        <v>0.38541666666666669</v>
      </c>
      <c r="EP8">
        <f>ES7+(24*2)-3</f>
        <v>285.0333333333333</v>
      </c>
      <c r="EQ8">
        <v>-17</v>
      </c>
      <c r="ER8">
        <f t="shared" si="15"/>
        <v>17085</v>
      </c>
      <c r="ES8">
        <f t="shared" si="16"/>
        <v>284.75</v>
      </c>
      <c r="ET8">
        <f t="shared" si="17"/>
        <v>45</v>
      </c>
      <c r="EU8">
        <v>284</v>
      </c>
    </row>
    <row r="9" spans="1:151">
      <c r="A9" t="s">
        <v>1436</v>
      </c>
      <c r="B9" s="14">
        <v>44655</v>
      </c>
      <c r="C9" s="12">
        <v>404.81666666666666</v>
      </c>
      <c r="D9">
        <v>4.6239999999999997</v>
      </c>
      <c r="E9">
        <v>0.48809999999999998</v>
      </c>
      <c r="F9">
        <v>1.9181999999999999</v>
      </c>
      <c r="G9" s="12">
        <f>(0.4881+0.2617)/3.0853</f>
        <v>0.24302336887822901</v>
      </c>
      <c r="H9">
        <v>0.624</v>
      </c>
      <c r="I9">
        <v>4.968</v>
      </c>
      <c r="J9">
        <v>4.2140000000000004</v>
      </c>
      <c r="K9">
        <v>19.5762</v>
      </c>
      <c r="L9">
        <v>6.258</v>
      </c>
      <c r="M9">
        <v>1.53</v>
      </c>
      <c r="N9">
        <v>6.3510999999999997</v>
      </c>
      <c r="O9">
        <v>10.090999999999999</v>
      </c>
      <c r="P9">
        <v>0.86619999999999997</v>
      </c>
      <c r="Q9">
        <v>3.129</v>
      </c>
      <c r="R9">
        <v>16.571000000000002</v>
      </c>
      <c r="S9">
        <v>0.40439999999999998</v>
      </c>
      <c r="T9">
        <v>0.84609999999999996</v>
      </c>
      <c r="U9">
        <v>4.4279999999999999</v>
      </c>
      <c r="V9">
        <v>11.149100000000001</v>
      </c>
      <c r="W9">
        <v>22.558900000000001</v>
      </c>
      <c r="X9" s="12">
        <f>(11.1491+0.2617)/3.0853</f>
        <v>3.6984409943927656</v>
      </c>
      <c r="Y9">
        <v>4.6307</v>
      </c>
      <c r="Z9">
        <v>4.9279999999999999</v>
      </c>
      <c r="AA9">
        <v>0.31469999999999998</v>
      </c>
      <c r="AB9">
        <v>2.0834000000000001</v>
      </c>
      <c r="AC9">
        <v>6.2910000000000004</v>
      </c>
      <c r="AD9">
        <v>1.054</v>
      </c>
      <c r="AE9">
        <v>4.7049000000000003</v>
      </c>
      <c r="AI9">
        <v>16.571000000000002</v>
      </c>
      <c r="AJ9">
        <v>0.55959999999999999</v>
      </c>
      <c r="AK9">
        <v>1.1708000000000001</v>
      </c>
      <c r="AL9">
        <v>4.4240000000000004</v>
      </c>
      <c r="AM9">
        <v>10.815</v>
      </c>
      <c r="AN9">
        <v>21.974699999999999</v>
      </c>
      <c r="AO9" s="12">
        <f>(10.815+0.2617)/3.0853</f>
        <v>3.5901533076200041</v>
      </c>
      <c r="AP9">
        <v>0.50519999999999998</v>
      </c>
      <c r="AQ9">
        <v>4.931</v>
      </c>
      <c r="AR9">
        <v>0.34160000000000001</v>
      </c>
      <c r="AS9">
        <v>2.2721</v>
      </c>
      <c r="AT9">
        <v>6.2910000000000004</v>
      </c>
      <c r="AU9">
        <v>0.98050000000000004</v>
      </c>
      <c r="AV9">
        <v>4.2998000000000003</v>
      </c>
      <c r="AW9">
        <v>10.090999999999999</v>
      </c>
      <c r="AX9">
        <v>0.25829999999999997</v>
      </c>
      <c r="AY9">
        <v>0.92030000000000001</v>
      </c>
      <c r="AZ9">
        <v>16.574000000000002</v>
      </c>
      <c r="BA9">
        <v>0.46870000000000001</v>
      </c>
      <c r="BB9">
        <v>0.98209999999999997</v>
      </c>
      <c r="BC9">
        <v>4.4249999999999998</v>
      </c>
      <c r="BD9">
        <v>11.6785</v>
      </c>
      <c r="BE9">
        <v>20.5748</v>
      </c>
      <c r="BF9" s="12">
        <f>(BD9+0.2617)/3.0853</f>
        <v>3.8700288464654973</v>
      </c>
      <c r="BG9">
        <v>4.8296999999999999</v>
      </c>
      <c r="BH9">
        <v>6.2549999999999999</v>
      </c>
      <c r="BI9">
        <v>0.38540000000000002</v>
      </c>
      <c r="BJ9">
        <v>2.1244999999999998</v>
      </c>
      <c r="BK9">
        <v>10.090999999999999</v>
      </c>
      <c r="BL9">
        <v>1.2155</v>
      </c>
      <c r="BM9">
        <v>4.4272</v>
      </c>
      <c r="BN9">
        <v>16.571000000000002</v>
      </c>
      <c r="BO9">
        <v>1.0291999999999999</v>
      </c>
      <c r="BP9">
        <v>2.1674000000000002</v>
      </c>
      <c r="BQ9">
        <v>4.601</v>
      </c>
      <c r="BR9">
        <v>0.83740000000000003</v>
      </c>
      <c r="BS9">
        <v>2.6486000000000001</v>
      </c>
      <c r="BT9" s="12">
        <f>(0.8374+0.2617)/3.0853</f>
        <v>0.35623764301688648</v>
      </c>
      <c r="BU9">
        <v>0.75529999999999997</v>
      </c>
      <c r="BV9">
        <v>4.968</v>
      </c>
      <c r="BW9">
        <v>11.2196</v>
      </c>
      <c r="BX9">
        <v>36.305399999999999</v>
      </c>
      <c r="BY9">
        <v>6.3540000000000001</v>
      </c>
      <c r="BZ9">
        <v>1.4105000000000001</v>
      </c>
      <c r="CA9">
        <v>5.3959999999999999</v>
      </c>
      <c r="CB9">
        <v>10.098000000000001</v>
      </c>
      <c r="CC9">
        <v>0.47320000000000001</v>
      </c>
      <c r="CD9">
        <v>1.6254999999999999</v>
      </c>
      <c r="CE9">
        <v>16.577999999999999</v>
      </c>
      <c r="CF9">
        <v>0.12559999999999999</v>
      </c>
      <c r="CG9">
        <v>0.25929999999999997</v>
      </c>
      <c r="CH9">
        <v>4.4039999999999999</v>
      </c>
      <c r="CI9">
        <v>9.6310000000000002</v>
      </c>
      <c r="CJ9">
        <v>19.126000000000001</v>
      </c>
      <c r="CK9" s="12">
        <f>(CI9+0.2617)/3.0853</f>
        <v>3.2063980812238677</v>
      </c>
      <c r="CL9">
        <v>4.0602</v>
      </c>
      <c r="CM9">
        <v>4.9279999999999999</v>
      </c>
      <c r="CN9">
        <v>1.8407</v>
      </c>
      <c r="CO9">
        <v>6.7217000000000002</v>
      </c>
      <c r="CP9">
        <v>6.3579999999999997</v>
      </c>
      <c r="CQ9">
        <v>1.5169999999999999</v>
      </c>
      <c r="CR9">
        <v>5.9641000000000002</v>
      </c>
      <c r="CS9">
        <v>10.098000000000001</v>
      </c>
      <c r="CT9">
        <v>6.0600000000000001E-2</v>
      </c>
      <c r="CU9">
        <v>0.21049999999999999</v>
      </c>
      <c r="CV9">
        <v>16.568000000000001</v>
      </c>
      <c r="CW9">
        <v>0.39910000000000001</v>
      </c>
      <c r="CX9">
        <v>0.82930000000000004</v>
      </c>
      <c r="CY9">
        <v>4.4039999999999999</v>
      </c>
      <c r="CZ9">
        <v>10.735099999999999</v>
      </c>
      <c r="DA9">
        <v>20.937200000000001</v>
      </c>
      <c r="DB9" s="12">
        <f>(CZ9+0.2617)/3.0853</f>
        <v>3.5642563121900621</v>
      </c>
      <c r="DC9">
        <v>4.4751000000000003</v>
      </c>
      <c r="DD9">
        <v>4.931</v>
      </c>
      <c r="DE9">
        <v>1.4831000000000001</v>
      </c>
      <c r="DF9">
        <v>5.9073000000000002</v>
      </c>
      <c r="DG9">
        <v>6.3609999999999998</v>
      </c>
      <c r="DH9">
        <v>1.3574999999999999</v>
      </c>
      <c r="DI9">
        <v>5.0606999999999998</v>
      </c>
      <c r="DJ9">
        <v>10.098000000000001</v>
      </c>
      <c r="DK9">
        <v>0.1197</v>
      </c>
      <c r="DL9">
        <v>0.41520000000000001</v>
      </c>
      <c r="DM9">
        <v>16.571000000000002</v>
      </c>
      <c r="DN9">
        <v>0.31180000000000002</v>
      </c>
      <c r="DO9">
        <v>0.65210000000000001</v>
      </c>
      <c r="DP9">
        <v>4.4050000000000002</v>
      </c>
      <c r="DQ9">
        <v>13.622999999999999</v>
      </c>
      <c r="DR9">
        <v>23.508199999999999</v>
      </c>
      <c r="DS9" s="12">
        <f>(DQ9+0.2617)/3.0853</f>
        <v>4.5002754999513819</v>
      </c>
      <c r="DT9">
        <v>5.5605000000000002</v>
      </c>
      <c r="DU9">
        <v>6.3550000000000004</v>
      </c>
      <c r="DV9">
        <v>1.0496000000000001</v>
      </c>
      <c r="DW9">
        <v>3.5455000000000001</v>
      </c>
      <c r="DX9" s="9">
        <v>10.095000000000001</v>
      </c>
      <c r="DY9">
        <v>1.0829</v>
      </c>
      <c r="DZ9">
        <v>3.7399</v>
      </c>
      <c r="EA9">
        <v>6.5650000000000004</v>
      </c>
      <c r="EB9">
        <v>0.95250000000000001</v>
      </c>
      <c r="EC9">
        <v>1.9933000000000001</v>
      </c>
      <c r="EF9" s="12">
        <f t="shared" si="18"/>
        <v>3.6442971510063851</v>
      </c>
      <c r="EG9">
        <f t="shared" si="14"/>
        <v>0.22573169545911242</v>
      </c>
      <c r="EH9" s="12">
        <f t="shared" si="19"/>
        <v>3.3853271967069647</v>
      </c>
      <c r="EI9">
        <f t="shared" si="4"/>
        <v>1.114948303244417</v>
      </c>
      <c r="EJ9" s="12"/>
      <c r="EM9" t="s">
        <v>1490</v>
      </c>
      <c r="EN9" s="37">
        <v>44652</v>
      </c>
      <c r="EO9" s="32">
        <v>0.37777777777777777</v>
      </c>
      <c r="EP9">
        <f>ES8+(24*2)</f>
        <v>332.75</v>
      </c>
      <c r="EQ9">
        <v>-11</v>
      </c>
      <c r="ER9">
        <f t="shared" si="15"/>
        <v>19954</v>
      </c>
      <c r="ES9">
        <f t="shared" si="16"/>
        <v>332.56666666666666</v>
      </c>
      <c r="ET9">
        <f t="shared" si="17"/>
        <v>33.999999999999773</v>
      </c>
      <c r="EU9">
        <v>332</v>
      </c>
    </row>
    <row r="10" spans="1:151">
      <c r="A10" t="s">
        <v>1493</v>
      </c>
      <c r="B10" s="14">
        <v>44658</v>
      </c>
      <c r="C10" s="12">
        <v>477.2</v>
      </c>
      <c r="D10">
        <v>4.6109999999999998</v>
      </c>
      <c r="E10">
        <v>9.1499999999999998E-2</v>
      </c>
      <c r="F10">
        <v>0.59219999999999995</v>
      </c>
      <c r="G10" s="12">
        <f>(E10-0.3024)/3.399</f>
        <v>-6.2047661076787289E-2</v>
      </c>
      <c r="H10">
        <v>0.47499999999999998</v>
      </c>
      <c r="I10">
        <v>4.9279999999999999</v>
      </c>
      <c r="J10">
        <v>2.9319000000000002</v>
      </c>
      <c r="K10">
        <v>12.198499999999999</v>
      </c>
      <c r="L10">
        <v>6.2210000000000001</v>
      </c>
      <c r="M10">
        <v>0.90410000000000001</v>
      </c>
      <c r="N10">
        <v>3.0920000000000001</v>
      </c>
      <c r="O10">
        <v>9.9749999999999996</v>
      </c>
      <c r="P10">
        <v>0.1467</v>
      </c>
      <c r="Q10">
        <v>0.52739999999999998</v>
      </c>
      <c r="R10">
        <v>16.364999999999998</v>
      </c>
      <c r="S10">
        <v>0.14799999999999999</v>
      </c>
      <c r="T10">
        <v>0.30409999999999998</v>
      </c>
      <c r="U10">
        <v>4.4939999999999998</v>
      </c>
      <c r="V10">
        <v>11.468999999999999</v>
      </c>
      <c r="W10">
        <v>13.601800000000001</v>
      </c>
      <c r="X10" s="12">
        <f>(V10-0.3024)/3.399</f>
        <v>3.2852603706972636</v>
      </c>
      <c r="Y10">
        <v>4.7510000000000003</v>
      </c>
      <c r="Z10">
        <v>4.931</v>
      </c>
      <c r="AA10">
        <v>1.2685</v>
      </c>
      <c r="AB10">
        <v>6.9535</v>
      </c>
      <c r="AC10">
        <v>6.234</v>
      </c>
      <c r="AD10">
        <v>0.67749999999999999</v>
      </c>
      <c r="AE10">
        <v>2.9159999999999999</v>
      </c>
      <c r="AF10" t="s">
        <v>182</v>
      </c>
      <c r="AG10" t="s">
        <v>182</v>
      </c>
      <c r="AH10" t="s">
        <v>182</v>
      </c>
      <c r="AI10">
        <v>16.358000000000001</v>
      </c>
      <c r="AJ10">
        <v>0.56589999999999996</v>
      </c>
      <c r="AK10">
        <v>1.1891</v>
      </c>
      <c r="AL10">
        <v>4.4880000000000004</v>
      </c>
      <c r="AM10">
        <v>9.5767000000000007</v>
      </c>
      <c r="AN10">
        <v>12.8774</v>
      </c>
      <c r="AO10" s="12">
        <f>(AM10-0.3024)/3.399</f>
        <v>2.7285378052368343</v>
      </c>
      <c r="AP10">
        <v>4.0396999999999998</v>
      </c>
      <c r="AQ10">
        <v>4.9240000000000004</v>
      </c>
      <c r="AR10">
        <v>0.73060000000000003</v>
      </c>
      <c r="AS10">
        <v>4.8308</v>
      </c>
      <c r="AT10">
        <v>6.2309999999999999</v>
      </c>
      <c r="AU10">
        <v>0.65690000000000004</v>
      </c>
      <c r="AV10">
        <v>2.7883</v>
      </c>
      <c r="AW10" t="s">
        <v>182</v>
      </c>
      <c r="AX10" t="s">
        <v>182</v>
      </c>
      <c r="AY10" t="s">
        <v>182</v>
      </c>
      <c r="AZ10">
        <v>16.353999999999999</v>
      </c>
      <c r="BA10">
        <v>0.50480000000000003</v>
      </c>
      <c r="BB10">
        <v>1.0584</v>
      </c>
      <c r="BC10">
        <v>4.4870000000000001</v>
      </c>
      <c r="BD10">
        <v>11.758900000000001</v>
      </c>
      <c r="BE10">
        <v>12.940300000000001</v>
      </c>
      <c r="BF10" s="12">
        <f>(BD10-0.3024)/3.399</f>
        <v>3.3705501618122979</v>
      </c>
      <c r="BG10">
        <v>4.8598999999999997</v>
      </c>
      <c r="BH10">
        <v>6.194</v>
      </c>
      <c r="BI10">
        <v>0.41210000000000002</v>
      </c>
      <c r="BJ10">
        <v>2.1941000000000002</v>
      </c>
      <c r="BK10">
        <v>9.9710000000000001</v>
      </c>
      <c r="BL10">
        <v>2.0695999999999999</v>
      </c>
      <c r="BM10">
        <v>5.9081000000000001</v>
      </c>
      <c r="BN10">
        <v>16.353999999999999</v>
      </c>
      <c r="BO10">
        <v>1.117</v>
      </c>
      <c r="BP10">
        <v>2.3551000000000002</v>
      </c>
      <c r="BQ10">
        <v>4.9340000000000002</v>
      </c>
      <c r="BR10">
        <v>10.3452</v>
      </c>
      <c r="BS10">
        <v>32.340800000000002</v>
      </c>
      <c r="BT10" s="12">
        <f>(BR10-0.3024)/3.399</f>
        <v>2.9546337157987641</v>
      </c>
      <c r="BU10" t="s">
        <v>182</v>
      </c>
      <c r="BY10">
        <v>6.3079999999999998</v>
      </c>
      <c r="BZ10">
        <v>1.3179000000000001</v>
      </c>
      <c r="CA10">
        <v>4.6497000000000002</v>
      </c>
      <c r="CB10">
        <v>9.9779999999999998</v>
      </c>
      <c r="CC10">
        <v>0.35820000000000002</v>
      </c>
      <c r="CD10">
        <v>1.2279</v>
      </c>
      <c r="CE10">
        <v>16.361000000000001</v>
      </c>
      <c r="CF10">
        <v>0.1555</v>
      </c>
      <c r="CG10">
        <v>0.32100000000000001</v>
      </c>
      <c r="CH10">
        <v>4.4649999999999999</v>
      </c>
      <c r="CI10">
        <v>10.803900000000001</v>
      </c>
      <c r="CJ10">
        <v>12.891</v>
      </c>
      <c r="CK10" s="12">
        <f>(CI10-0.3024)/3.399</f>
        <v>3.0895851721094441</v>
      </c>
      <c r="CL10">
        <v>4.5010000000000003</v>
      </c>
      <c r="CM10">
        <v>4.8579999999999997</v>
      </c>
      <c r="CN10">
        <v>10.861499999999999</v>
      </c>
      <c r="CO10">
        <v>2.3866999999999998</v>
      </c>
      <c r="CP10">
        <v>6.3109999999999999</v>
      </c>
      <c r="CQ10">
        <v>3.1703000000000001</v>
      </c>
      <c r="CR10">
        <v>5.2549999999999999</v>
      </c>
      <c r="CS10">
        <v>9.9879999999999995</v>
      </c>
      <c r="CT10">
        <v>0.36330000000000001</v>
      </c>
      <c r="CU10">
        <v>0.28649999999999998</v>
      </c>
      <c r="CV10">
        <v>16.355</v>
      </c>
      <c r="CW10">
        <v>0.3846</v>
      </c>
      <c r="CX10">
        <v>0.8004</v>
      </c>
      <c r="CY10">
        <v>4.4610000000000003</v>
      </c>
      <c r="CZ10">
        <f>8.8346+1.0146</f>
        <v>9.8491999999999997</v>
      </c>
      <c r="DA10">
        <v>13.459899999999999</v>
      </c>
      <c r="DB10" s="12">
        <f>(CZ10-0.3024)/3.399</f>
        <v>2.8087084436598997</v>
      </c>
      <c r="DC10">
        <v>3.7608999999999999</v>
      </c>
      <c r="DD10">
        <v>4.8979999999999997</v>
      </c>
      <c r="DE10">
        <v>0.89800000000000002</v>
      </c>
      <c r="DF10">
        <v>3.8521000000000001</v>
      </c>
      <c r="DG10">
        <v>6.3109999999999999</v>
      </c>
      <c r="DH10">
        <v>1.2063999999999999</v>
      </c>
      <c r="DI10">
        <v>4.3456999999999999</v>
      </c>
      <c r="DJ10">
        <v>9.9779999999999998</v>
      </c>
      <c r="DK10">
        <v>0.45750000000000002</v>
      </c>
      <c r="DL10">
        <v>1.5706</v>
      </c>
      <c r="DM10">
        <v>16.355</v>
      </c>
      <c r="DN10">
        <v>0.36180000000000001</v>
      </c>
      <c r="DO10">
        <v>0.75770000000000004</v>
      </c>
      <c r="DP10">
        <v>4.4580000000000002</v>
      </c>
      <c r="DQ10">
        <v>13.8172</v>
      </c>
      <c r="DR10">
        <v>15.989000000000001</v>
      </c>
      <c r="DS10" s="401">
        <f>(DQ10-0.3024)/3.399</f>
        <v>3.9761106207708146</v>
      </c>
      <c r="DT10">
        <v>5.6334999999999997</v>
      </c>
      <c r="DU10">
        <v>6.3109999999999999</v>
      </c>
      <c r="DV10">
        <v>1.4610000000000001</v>
      </c>
      <c r="DW10">
        <v>4.0429000000000004</v>
      </c>
      <c r="DX10" s="9">
        <v>9.9779999999999998</v>
      </c>
      <c r="DY10">
        <v>1.5019</v>
      </c>
      <c r="DZ10">
        <v>4.5433000000000003</v>
      </c>
      <c r="EA10">
        <v>16.355</v>
      </c>
      <c r="EB10">
        <v>0.88480000000000003</v>
      </c>
      <c r="EC10">
        <v>1.85</v>
      </c>
      <c r="EF10" s="12">
        <f t="shared" si="18"/>
        <v>3.006899087967049</v>
      </c>
      <c r="EG10">
        <f t="shared" si="14"/>
        <v>0.36365107384524897</v>
      </c>
      <c r="EH10" s="12">
        <f t="shared" si="19"/>
        <v>2.9491468078846719</v>
      </c>
      <c r="EI10">
        <f t="shared" si="4"/>
        <v>1.0269638128861427</v>
      </c>
      <c r="EJ10" s="12"/>
      <c r="EM10" t="s">
        <v>1489</v>
      </c>
      <c r="EN10" s="37">
        <v>44655</v>
      </c>
      <c r="EO10" s="32">
        <v>0.36736111111111108</v>
      </c>
      <c r="EP10">
        <f>ES9+(24*3)</f>
        <v>404.56666666666666</v>
      </c>
      <c r="EQ10">
        <f>15</f>
        <v>15</v>
      </c>
      <c r="ER10">
        <f t="shared" si="15"/>
        <v>24289</v>
      </c>
      <c r="ES10">
        <f t="shared" si="16"/>
        <v>404.81666666666666</v>
      </c>
      <c r="ET10">
        <f t="shared" si="17"/>
        <v>48.999999999999773</v>
      </c>
      <c r="EU10">
        <v>404</v>
      </c>
    </row>
    <row r="11" spans="1:151">
      <c r="A11" t="s">
        <v>1493</v>
      </c>
      <c r="B11" s="14">
        <v>44662</v>
      </c>
      <c r="C11" s="12">
        <v>577.0333333333333</v>
      </c>
      <c r="D11">
        <v>4.6150000000000002</v>
      </c>
      <c r="E11">
        <v>0.72209999999999996</v>
      </c>
      <c r="F11">
        <v>3.2334999999999998</v>
      </c>
      <c r="G11" s="12">
        <f>(E11-0.3024)/3.399</f>
        <v>0.12347749338040599</v>
      </c>
      <c r="H11" t="s">
        <v>182</v>
      </c>
      <c r="I11">
        <v>4.9710000000000001</v>
      </c>
      <c r="J11">
        <v>10.1829</v>
      </c>
      <c r="K11">
        <v>41.473300000000002</v>
      </c>
      <c r="L11">
        <v>6.1909999999999998</v>
      </c>
      <c r="M11">
        <v>0.84309999999999996</v>
      </c>
      <c r="N11">
        <v>3.9731000000000001</v>
      </c>
      <c r="O11">
        <v>9.9649999999999999</v>
      </c>
      <c r="P11">
        <v>0.48280000000000001</v>
      </c>
      <c r="Q11">
        <v>1.7431000000000001</v>
      </c>
      <c r="R11">
        <v>16.350999999999999</v>
      </c>
      <c r="S11">
        <v>0.2235</v>
      </c>
      <c r="T11">
        <v>0.46789999999999998</v>
      </c>
      <c r="U11">
        <v>4.4550000000000001</v>
      </c>
      <c r="V11">
        <v>10.3331</v>
      </c>
      <c r="W11">
        <v>15.404</v>
      </c>
      <c r="X11" s="12">
        <f>(V11-0.3024)/3.399</f>
        <v>2.9510738452486023</v>
      </c>
      <c r="Y11">
        <v>4.3239999999999998</v>
      </c>
      <c r="Z11">
        <v>4.9409999999999998</v>
      </c>
      <c r="AA11">
        <v>3.2730999999999999</v>
      </c>
      <c r="AB11">
        <v>16.4879</v>
      </c>
      <c r="AC11">
        <v>6.2249999999999996</v>
      </c>
      <c r="AD11">
        <v>0.8478</v>
      </c>
      <c r="AE11">
        <v>3.6318999999999999</v>
      </c>
      <c r="AF11">
        <v>9.9610000000000003</v>
      </c>
      <c r="AG11">
        <v>6.2E-2</v>
      </c>
      <c r="AH11">
        <v>0.2223</v>
      </c>
      <c r="AI11">
        <v>16.344999999999999</v>
      </c>
      <c r="AJ11">
        <v>0.56169999999999998</v>
      </c>
      <c r="AK11">
        <v>1.1772</v>
      </c>
      <c r="AL11">
        <v>4.4509999999999996</v>
      </c>
      <c r="AM11">
        <f>9.8603+0.2199</f>
        <v>10.080200000000001</v>
      </c>
      <c r="AN11">
        <v>15.160399999999999</v>
      </c>
      <c r="AO11" s="12">
        <f>(AM11-0.3024)/3.399</f>
        <v>2.8766696087084438</v>
      </c>
      <c r="AP11">
        <v>4.1463000000000001</v>
      </c>
      <c r="AQ11">
        <v>4.9509999999999996</v>
      </c>
      <c r="AR11">
        <v>4.7445000000000004</v>
      </c>
      <c r="AS11">
        <v>22.688099999999999</v>
      </c>
      <c r="AT11">
        <v>6.2240000000000002</v>
      </c>
      <c r="AU11">
        <v>0.74450000000000005</v>
      </c>
      <c r="AV11">
        <v>3.1522999999999999</v>
      </c>
      <c r="AW11">
        <v>9.9670000000000005</v>
      </c>
      <c r="AX11">
        <v>0.19739999999999999</v>
      </c>
      <c r="AY11">
        <v>0.70409999999999995</v>
      </c>
      <c r="AZ11">
        <v>16.350999999999999</v>
      </c>
      <c r="BA11">
        <v>0.54849999999999999</v>
      </c>
      <c r="BB11">
        <v>1.1491</v>
      </c>
      <c r="BC11">
        <v>4.4509999999999996</v>
      </c>
      <c r="BD11">
        <v>12.4633</v>
      </c>
      <c r="BE11">
        <v>16.391500000000001</v>
      </c>
      <c r="BF11" s="12">
        <f>(BD11-0.3024)/3.399</f>
        <v>3.5777875845837008</v>
      </c>
      <c r="BG11">
        <v>5.1246</v>
      </c>
      <c r="BH11">
        <v>6.1950000000000003</v>
      </c>
      <c r="BI11">
        <v>0.32229999999999998</v>
      </c>
      <c r="BJ11">
        <v>1.7569999999999999</v>
      </c>
      <c r="BK11">
        <v>9.968</v>
      </c>
      <c r="BL11">
        <v>1.4430000000000001</v>
      </c>
      <c r="BM11">
        <v>3.7158000000000002</v>
      </c>
      <c r="BN11">
        <v>16.344999999999999</v>
      </c>
      <c r="BO11">
        <v>1.1637</v>
      </c>
      <c r="BP11">
        <v>2.4575</v>
      </c>
      <c r="BQ11">
        <v>4.9379999999999997</v>
      </c>
      <c r="BR11">
        <v>12.385999999999999</v>
      </c>
      <c r="BS11">
        <v>38.6541</v>
      </c>
      <c r="BT11" s="12">
        <f>(BR11-0.3024)/3.399</f>
        <v>3.5550456016475431</v>
      </c>
      <c r="BU11" t="s">
        <v>182</v>
      </c>
      <c r="BY11">
        <v>6.3049999999999997</v>
      </c>
      <c r="BZ11">
        <v>1.7016</v>
      </c>
      <c r="CA11">
        <v>3.5840000000000001</v>
      </c>
      <c r="CB11">
        <v>9.9710000000000001</v>
      </c>
      <c r="CC11">
        <v>0.36270000000000002</v>
      </c>
      <c r="CD11">
        <v>1.2292000000000001</v>
      </c>
      <c r="CE11" t="s">
        <v>1515</v>
      </c>
      <c r="CF11" t="s">
        <v>1516</v>
      </c>
      <c r="CG11" t="s">
        <v>1517</v>
      </c>
      <c r="CH11">
        <v>4.4409999999999998</v>
      </c>
      <c r="CI11">
        <v>9.4602000000000004</v>
      </c>
      <c r="CJ11">
        <v>12.895799999999999</v>
      </c>
      <c r="CK11" s="12">
        <f>(CI11-0.3024)/3.399</f>
        <v>2.6942630185348633</v>
      </c>
      <c r="CL11">
        <v>3.996</v>
      </c>
      <c r="CM11">
        <v>4.931</v>
      </c>
      <c r="CN11">
        <v>6.0568999999999997</v>
      </c>
      <c r="CO11">
        <v>23.4727</v>
      </c>
      <c r="CP11">
        <v>6.3079999999999998</v>
      </c>
      <c r="CQ11">
        <v>1.0145999999999999</v>
      </c>
      <c r="CR11">
        <v>3.4363999999999999</v>
      </c>
      <c r="CS11">
        <v>9.9710000000000001</v>
      </c>
      <c r="CT11">
        <v>0.64229999999999998</v>
      </c>
      <c r="CU11">
        <v>2.1916000000000002</v>
      </c>
      <c r="CV11">
        <v>16.350999999999999</v>
      </c>
      <c r="CW11">
        <v>0.35039999999999999</v>
      </c>
      <c r="CX11">
        <v>0.71719999999999995</v>
      </c>
      <c r="CY11">
        <v>4.431</v>
      </c>
      <c r="CZ11">
        <v>9.8948999999999998</v>
      </c>
      <c r="DA11">
        <v>14.962</v>
      </c>
      <c r="DB11" s="12">
        <f>(CZ11-0.3024)/3.399</f>
        <v>2.8221535745807587</v>
      </c>
      <c r="DC11">
        <v>4.1593999999999998</v>
      </c>
      <c r="DD11">
        <v>4.9240000000000004</v>
      </c>
      <c r="DE11">
        <v>5.7859999999999996</v>
      </c>
      <c r="DF11">
        <v>20.840199999999999</v>
      </c>
      <c r="DG11">
        <v>6.3079999999999998</v>
      </c>
      <c r="DH11">
        <v>0.95779999999999998</v>
      </c>
      <c r="DI11">
        <v>3.1444999999999999</v>
      </c>
      <c r="DJ11">
        <v>9.9740000000000002</v>
      </c>
      <c r="DK11">
        <v>4.9500000000000002E-2</v>
      </c>
      <c r="DL11">
        <v>0.1696</v>
      </c>
      <c r="DM11">
        <v>16.344000000000001</v>
      </c>
      <c r="DN11">
        <v>0.35270000000000001</v>
      </c>
      <c r="DO11">
        <v>0.73229999999999995</v>
      </c>
      <c r="DP11" s="391">
        <v>4.4249999999999998</v>
      </c>
      <c r="DQ11" s="391">
        <v>14.9613</v>
      </c>
      <c r="DR11" s="391">
        <v>20.279199999999999</v>
      </c>
      <c r="DS11" s="401">
        <f>(DQ11-0.3024)/3.399</f>
        <v>4.3127096204766104</v>
      </c>
      <c r="DT11">
        <v>6.0633999999999997</v>
      </c>
      <c r="DU11">
        <v>6.3010000000000002</v>
      </c>
      <c r="DV11">
        <v>1.0143</v>
      </c>
      <c r="DW11">
        <v>3.5268000000000002</v>
      </c>
      <c r="DX11">
        <v>9.9649999999999999</v>
      </c>
      <c r="DY11">
        <v>1.2626999999999999</v>
      </c>
      <c r="DZ11">
        <v>4.3346999999999998</v>
      </c>
      <c r="EA11">
        <v>16.338000000000001</v>
      </c>
      <c r="EB11">
        <v>1.1414</v>
      </c>
      <c r="EC11">
        <v>2.3969</v>
      </c>
      <c r="EF11" s="12">
        <f t="shared" si="18"/>
        <v>2.913871726978523</v>
      </c>
      <c r="EG11">
        <f t="shared" si="14"/>
        <v>0.66391585760517779</v>
      </c>
      <c r="EH11" s="12">
        <f t="shared" si="19"/>
        <v>2.758208296557811</v>
      </c>
      <c r="EI11">
        <f t="shared" si="4"/>
        <v>1.5545013239187995</v>
      </c>
      <c r="EJ11" s="12"/>
      <c r="EM11" t="s">
        <v>1491</v>
      </c>
      <c r="EN11" s="37">
        <v>44658</v>
      </c>
      <c r="EO11" s="32">
        <v>0.3833333333333333</v>
      </c>
      <c r="EP11">
        <f>ES10+(24*3)</f>
        <v>476.81666666666666</v>
      </c>
      <c r="EQ11">
        <v>23</v>
      </c>
      <c r="ER11">
        <f t="shared" si="15"/>
        <v>28632</v>
      </c>
      <c r="ES11">
        <f t="shared" si="16"/>
        <v>477.2</v>
      </c>
      <c r="ET11">
        <f t="shared" si="17"/>
        <v>11.999999999999318</v>
      </c>
      <c r="EU11">
        <v>477</v>
      </c>
    </row>
    <row r="12" spans="1:151">
      <c r="A12" t="s">
        <v>1536</v>
      </c>
      <c r="B12" s="14">
        <v>44666</v>
      </c>
      <c r="C12" s="12">
        <v>676.08333333333337</v>
      </c>
      <c r="D12">
        <v>4.5979999999999999</v>
      </c>
      <c r="E12">
        <v>0.76329999999999998</v>
      </c>
      <c r="F12">
        <v>3.0514999999999999</v>
      </c>
      <c r="G12" s="12">
        <f>(E12-1.1239)/3.2564</f>
        <v>-0.11073578184498216</v>
      </c>
      <c r="H12">
        <v>0.72740000000000005</v>
      </c>
      <c r="I12">
        <v>4.9480000000000004</v>
      </c>
      <c r="J12">
        <v>8.0112000000000005</v>
      </c>
      <c r="K12">
        <v>33.093400000000003</v>
      </c>
      <c r="L12">
        <v>6.1749999999999998</v>
      </c>
      <c r="M12">
        <v>1.1276999999999999</v>
      </c>
      <c r="N12">
        <v>4.9992999999999999</v>
      </c>
      <c r="O12">
        <v>9.891</v>
      </c>
      <c r="P12">
        <v>0.60919999999999996</v>
      </c>
      <c r="Q12">
        <v>2.2147000000000001</v>
      </c>
      <c r="R12">
        <v>16.201000000000001</v>
      </c>
      <c r="S12">
        <v>2871</v>
      </c>
      <c r="T12">
        <v>0.60850000000000004</v>
      </c>
      <c r="U12" s="266">
        <v>4.5780000000000003</v>
      </c>
      <c r="V12" s="266">
        <v>1.5086999999999999</v>
      </c>
      <c r="W12" s="266">
        <v>3.7130999999999998</v>
      </c>
      <c r="X12" s="12">
        <f>(V12-1.1239)/3.2564</f>
        <v>0.11816730131433485</v>
      </c>
      <c r="Y12" s="266">
        <v>1.0076000000000001</v>
      </c>
      <c r="Z12" s="266">
        <v>4.9379999999999997</v>
      </c>
      <c r="AA12" s="266">
        <v>15.969200000000001</v>
      </c>
      <c r="AB12" s="266">
        <v>31.291599999999999</v>
      </c>
      <c r="AC12" s="266">
        <v>6.2009999999999996</v>
      </c>
      <c r="AD12" s="266">
        <v>1.0822000000000001</v>
      </c>
      <c r="AE12" s="266">
        <v>5.0145999999999997</v>
      </c>
      <c r="AF12">
        <v>9.891</v>
      </c>
      <c r="AG12">
        <v>0.1255</v>
      </c>
      <c r="AH12">
        <v>0.4551</v>
      </c>
      <c r="AI12">
        <v>16.201000000000001</v>
      </c>
      <c r="AJ12">
        <v>0.58699999999999997</v>
      </c>
      <c r="AK12">
        <v>1.2422</v>
      </c>
      <c r="AL12">
        <v>4.5110000000000001</v>
      </c>
      <c r="AM12">
        <v>13.9954</v>
      </c>
      <c r="AN12">
        <v>11.411</v>
      </c>
      <c r="AO12" s="12">
        <f>(AM12-1.1239)/3.2564</f>
        <v>3.952677803709618</v>
      </c>
      <c r="AP12">
        <v>5.7004000000000001</v>
      </c>
      <c r="AQ12">
        <v>4.9290000000000003</v>
      </c>
      <c r="AR12">
        <v>2.6616</v>
      </c>
      <c r="AS12">
        <v>14.810600000000001</v>
      </c>
      <c r="AT12">
        <v>6.2050000000000001</v>
      </c>
      <c r="AU12" s="195">
        <v>3.7757999999999998</v>
      </c>
      <c r="AV12">
        <v>7.3148</v>
      </c>
      <c r="AW12">
        <v>9.891</v>
      </c>
      <c r="AX12">
        <v>0.93069999999999997</v>
      </c>
      <c r="AY12">
        <v>1.7853000000000001</v>
      </c>
      <c r="AZ12">
        <v>16.201000000000001</v>
      </c>
      <c r="BA12">
        <v>0.62980000000000003</v>
      </c>
      <c r="BB12">
        <v>1.3359000000000001</v>
      </c>
      <c r="BC12">
        <v>4.508</v>
      </c>
      <c r="BD12">
        <v>13.3628</v>
      </c>
      <c r="BE12">
        <v>12.024699999999999</v>
      </c>
      <c r="BF12" s="12">
        <f>(BD12-1.1239)/3.2564</f>
        <v>3.7584141997297631</v>
      </c>
      <c r="BG12">
        <v>5.4626999999999999</v>
      </c>
      <c r="BH12">
        <v>6.1609999999999996</v>
      </c>
      <c r="BI12">
        <v>0.35730000000000001</v>
      </c>
      <c r="BJ12">
        <v>1.8931</v>
      </c>
      <c r="BK12">
        <v>9.891</v>
      </c>
      <c r="BL12">
        <v>1.3711</v>
      </c>
      <c r="BM12">
        <v>3.4013</v>
      </c>
      <c r="BN12">
        <v>16.198</v>
      </c>
      <c r="BO12">
        <v>1.2475000000000001</v>
      </c>
      <c r="BP12">
        <v>2.6572</v>
      </c>
      <c r="BQ12" t="s">
        <v>182</v>
      </c>
      <c r="BT12" s="12">
        <f>(BR12-1.1239)/3.2564</f>
        <v>-0.34513573271096915</v>
      </c>
      <c r="BU12" t="s">
        <v>182</v>
      </c>
      <c r="BV12">
        <v>4.9210000000000003</v>
      </c>
      <c r="BW12">
        <v>11.2395</v>
      </c>
      <c r="BX12">
        <v>35.348300000000002</v>
      </c>
      <c r="BY12">
        <v>6.274</v>
      </c>
      <c r="BZ12">
        <v>1.2245999999999999</v>
      </c>
      <c r="CA12">
        <v>3.3986999999999998</v>
      </c>
      <c r="CB12">
        <v>9.8940000000000001</v>
      </c>
      <c r="CC12">
        <v>0.51480000000000004</v>
      </c>
      <c r="CD12">
        <v>1.778</v>
      </c>
      <c r="CE12" t="s">
        <v>1537</v>
      </c>
      <c r="CF12" t="s">
        <v>1538</v>
      </c>
      <c r="CG12" t="s">
        <v>1539</v>
      </c>
      <c r="CH12" s="266">
        <v>4.4909999999999997</v>
      </c>
      <c r="CI12" s="266">
        <v>1.2821</v>
      </c>
      <c r="CJ12" s="266">
        <v>3.8773</v>
      </c>
      <c r="CK12" s="12">
        <f>(CI12-1.1239)/3.2564</f>
        <v>4.8581255374032704E-2</v>
      </c>
      <c r="CL12" s="266" t="s">
        <v>182</v>
      </c>
      <c r="CM12" s="266">
        <v>4.9050000000000002</v>
      </c>
      <c r="CN12" s="266">
        <v>16.773299999999999</v>
      </c>
      <c r="CO12" s="266">
        <v>26.3643</v>
      </c>
      <c r="CP12" s="266">
        <v>6.2779999999999996</v>
      </c>
      <c r="CQ12" s="266">
        <v>0.90280000000000005</v>
      </c>
      <c r="CR12" s="266">
        <v>3.1116000000000001</v>
      </c>
      <c r="CS12">
        <v>9.9009999999999998</v>
      </c>
      <c r="CT12">
        <v>0.26919999999999999</v>
      </c>
      <c r="CU12">
        <v>0.2482</v>
      </c>
      <c r="CV12">
        <v>16.198</v>
      </c>
      <c r="CW12">
        <v>0.3654</v>
      </c>
      <c r="CX12">
        <v>0.76300000000000001</v>
      </c>
      <c r="CY12" s="266">
        <v>4.4880000000000004</v>
      </c>
      <c r="CZ12" s="266">
        <v>1.2830999999999999</v>
      </c>
      <c r="DA12" s="266">
        <v>3.9020000000000001</v>
      </c>
      <c r="DB12" s="12">
        <f>(CZ12-1.1239)/3.2564</f>
        <v>4.8888342955410884E-2</v>
      </c>
      <c r="DC12" s="266" t="s">
        <v>182</v>
      </c>
      <c r="DD12" s="266">
        <v>4.9009999999999998</v>
      </c>
      <c r="DE12" s="266">
        <v>16.417899999999999</v>
      </c>
      <c r="DF12" s="266">
        <v>25.3462</v>
      </c>
      <c r="DG12" s="266">
        <v>6.2779999999999996</v>
      </c>
      <c r="DH12" s="266">
        <v>0.92879999999999996</v>
      </c>
      <c r="DI12" s="266">
        <v>3.2229999999999999</v>
      </c>
      <c r="DJ12">
        <v>9.8949999999999996</v>
      </c>
      <c r="DK12">
        <v>0.53039999999999998</v>
      </c>
      <c r="DL12">
        <v>0.32950000000000002</v>
      </c>
      <c r="DM12">
        <v>16.195</v>
      </c>
      <c r="DN12">
        <v>0.34470000000000001</v>
      </c>
      <c r="DO12">
        <v>7167</v>
      </c>
      <c r="DP12">
        <v>4.4779999999999998</v>
      </c>
      <c r="DQ12">
        <v>13.604100000000001</v>
      </c>
      <c r="DR12">
        <v>14.0921</v>
      </c>
      <c r="DS12" s="12">
        <f>(DQ12-1.1239)/3.2564</f>
        <v>3.8325144331163243</v>
      </c>
      <c r="DT12">
        <v>5.5533999999999999</v>
      </c>
      <c r="DU12">
        <v>6.2750000000000004</v>
      </c>
      <c r="DV12">
        <v>1.2768999999999999</v>
      </c>
      <c r="DW12">
        <v>3.5819999999999999</v>
      </c>
      <c r="DX12">
        <v>9.891</v>
      </c>
      <c r="DY12">
        <v>1.1996</v>
      </c>
      <c r="DZ12">
        <v>4.1719999999999997</v>
      </c>
      <c r="EA12">
        <v>16.190999999999999</v>
      </c>
      <c r="EB12">
        <v>1.1969000000000001</v>
      </c>
      <c r="EC12">
        <v>2.54</v>
      </c>
      <c r="EF12" s="12">
        <f t="shared" si="18"/>
        <v>2.0354225525119762</v>
      </c>
      <c r="EG12">
        <f t="shared" si="14"/>
        <v>1.7229916472177866</v>
      </c>
      <c r="EH12" s="12">
        <f t="shared" si="19"/>
        <v>4.8734799164721794E-2</v>
      </c>
      <c r="EI12">
        <f t="shared" si="4"/>
        <v>3.7837796339516023</v>
      </c>
      <c r="EM12" t="s">
        <v>1492</v>
      </c>
      <c r="EN12" s="37">
        <v>44662</v>
      </c>
      <c r="EO12" s="32">
        <v>4.2361111111111106E-2</v>
      </c>
      <c r="EP12">
        <f>ES11+(24*4)+4</f>
        <v>577.20000000000005</v>
      </c>
      <c r="EQ12">
        <v>-10</v>
      </c>
      <c r="ER12">
        <f t="shared" si="15"/>
        <v>34622</v>
      </c>
      <c r="ES12">
        <f t="shared" si="16"/>
        <v>577.0333333333333</v>
      </c>
      <c r="ET12">
        <f t="shared" si="17"/>
        <v>1.999999999998181</v>
      </c>
      <c r="EU12">
        <v>577</v>
      </c>
    </row>
    <row r="13" spans="1:151">
      <c r="A13" t="s">
        <v>1536</v>
      </c>
      <c r="B13" s="14">
        <v>44671</v>
      </c>
      <c r="C13" s="12">
        <v>789.11666666666667</v>
      </c>
      <c r="D13">
        <v>4.5979999999999999</v>
      </c>
      <c r="E13">
        <v>0.34260000000000002</v>
      </c>
      <c r="F13">
        <v>1.4535</v>
      </c>
      <c r="G13" s="12">
        <f>(E13-1.1239)/3.2564</f>
        <v>-0.2399275273307947</v>
      </c>
      <c r="H13">
        <v>0.56930000000000003</v>
      </c>
      <c r="I13">
        <v>4.9340000000000002</v>
      </c>
      <c r="J13">
        <v>5.9351000000000003</v>
      </c>
      <c r="K13">
        <v>25.938099999999999</v>
      </c>
      <c r="L13">
        <v>6.1639999999999997</v>
      </c>
      <c r="M13">
        <v>0.81220000000000003</v>
      </c>
      <c r="N13">
        <v>3.5213000000000001</v>
      </c>
      <c r="O13">
        <v>9.8879999999999999</v>
      </c>
      <c r="P13">
        <v>6.3299999999999995E-2</v>
      </c>
      <c r="Q13">
        <v>0.22839999999999999</v>
      </c>
      <c r="R13">
        <v>16.198</v>
      </c>
      <c r="S13">
        <v>0.23050000000000001</v>
      </c>
      <c r="T13">
        <v>0.4874</v>
      </c>
      <c r="U13">
        <v>4.4710000000000001</v>
      </c>
      <c r="V13">
        <v>14.9625</v>
      </c>
      <c r="W13">
        <v>30.648499999999999</v>
      </c>
      <c r="X13" s="12">
        <f>(V13-1.1239)/3.2564</f>
        <v>4.2496622036604839</v>
      </c>
      <c r="Y13">
        <v>6.0639000000000003</v>
      </c>
      <c r="Z13">
        <v>4.931</v>
      </c>
      <c r="AA13">
        <v>3.1305999999999998</v>
      </c>
      <c r="AB13">
        <v>13.0532</v>
      </c>
      <c r="AC13">
        <v>6.2149999999999999</v>
      </c>
      <c r="AD13">
        <v>1.2931999999999999</v>
      </c>
      <c r="AE13">
        <v>6.2438000000000002</v>
      </c>
      <c r="AF13">
        <v>9.8879999999999999</v>
      </c>
      <c r="AG13">
        <v>0.36930000000000002</v>
      </c>
      <c r="AH13">
        <v>1.32</v>
      </c>
      <c r="AI13">
        <v>16.201000000000001</v>
      </c>
      <c r="AJ13">
        <v>1.4120999999999999</v>
      </c>
      <c r="AK13">
        <v>2.8479000000000001</v>
      </c>
      <c r="AL13">
        <v>4.4740000000000002</v>
      </c>
      <c r="AM13">
        <v>10.731</v>
      </c>
      <c r="AN13">
        <v>11.9283</v>
      </c>
      <c r="AO13" s="12">
        <f>(AM13-1.1239)/3.2564</f>
        <v>2.9502211030585919</v>
      </c>
      <c r="AP13" t="s">
        <v>1540</v>
      </c>
      <c r="AQ13">
        <v>4.8179999999999996</v>
      </c>
      <c r="AR13">
        <v>2.3083</v>
      </c>
      <c r="AS13">
        <v>10.004099999999999</v>
      </c>
      <c r="AT13">
        <v>6.194</v>
      </c>
      <c r="AU13">
        <v>0.75839999999999996</v>
      </c>
      <c r="AV13">
        <v>3.2504</v>
      </c>
      <c r="AW13">
        <v>9.8840000000000003</v>
      </c>
      <c r="AX13">
        <v>0.41710000000000003</v>
      </c>
      <c r="AY13">
        <v>1.5041</v>
      </c>
      <c r="AZ13">
        <v>16.193999999999999</v>
      </c>
      <c r="BA13">
        <v>0.54810000000000003</v>
      </c>
      <c r="BB13">
        <v>1.1545000000000001</v>
      </c>
      <c r="BC13">
        <v>4.4710000000000001</v>
      </c>
      <c r="BD13">
        <v>12.1258</v>
      </c>
      <c r="BE13">
        <v>13.348800000000001</v>
      </c>
      <c r="BF13" s="12">
        <f>(BD13-1.1239)/3.2564</f>
        <v>3.3785468615649177</v>
      </c>
      <c r="BG13">
        <v>4.9977999999999998</v>
      </c>
      <c r="BH13">
        <v>6.1609999999999996</v>
      </c>
      <c r="BI13">
        <v>0.47010000000000002</v>
      </c>
      <c r="BJ13">
        <v>2.5327000000000002</v>
      </c>
      <c r="BK13">
        <v>9.8840000000000003</v>
      </c>
      <c r="BL13">
        <v>1.583</v>
      </c>
      <c r="BM13">
        <v>4.1957000000000004</v>
      </c>
      <c r="BN13">
        <v>16.187999999999999</v>
      </c>
      <c r="BO13">
        <v>1.1729000000000001</v>
      </c>
      <c r="BP13">
        <v>2.4998</v>
      </c>
      <c r="BQ13" t="s">
        <v>182</v>
      </c>
      <c r="BT13" s="12">
        <f>(BR13-1.1239)/3.2564</f>
        <v>-0.34513573271096915</v>
      </c>
      <c r="BU13" t="s">
        <v>182</v>
      </c>
      <c r="BV13">
        <v>4.9169999999999998</v>
      </c>
      <c r="BW13">
        <v>10.412000000000001</v>
      </c>
      <c r="BX13">
        <v>32.329500000000003</v>
      </c>
      <c r="BY13">
        <v>6.2770000000000001</v>
      </c>
      <c r="BZ13">
        <v>1.1509</v>
      </c>
      <c r="CA13">
        <v>3.8250999999999999</v>
      </c>
      <c r="CB13">
        <v>9.8940000000000001</v>
      </c>
      <c r="CC13">
        <v>0.90510000000000002</v>
      </c>
      <c r="CD13">
        <v>3.1273</v>
      </c>
      <c r="CE13">
        <v>16.196999999999999</v>
      </c>
      <c r="CF13">
        <v>0.13689999999999999</v>
      </c>
      <c r="CG13">
        <v>0.2848</v>
      </c>
      <c r="CH13">
        <v>4.4509999999999996</v>
      </c>
      <c r="CI13">
        <v>13.3475</v>
      </c>
      <c r="CJ13">
        <v>12.471500000000001</v>
      </c>
      <c r="CK13" s="12">
        <f>(CI13-1.1239)/3.2564</f>
        <v>3.7537157597346766</v>
      </c>
      <c r="CL13" t="s">
        <v>1540</v>
      </c>
      <c r="CM13">
        <v>4.8949999999999996</v>
      </c>
      <c r="CN13">
        <v>3.2265000000000001</v>
      </c>
      <c r="CO13">
        <v>10.939</v>
      </c>
      <c r="CP13">
        <v>6.2809999999999997</v>
      </c>
      <c r="CQ13" s="195">
        <v>3.4232</v>
      </c>
      <c r="CR13">
        <v>5.0587</v>
      </c>
      <c r="CS13">
        <v>9.8979999999999997</v>
      </c>
      <c r="CT13">
        <v>0.13370000000000001</v>
      </c>
      <c r="CU13">
        <v>0.46189999999999998</v>
      </c>
      <c r="CV13">
        <v>16.195</v>
      </c>
      <c r="CW13">
        <v>0.36649999999999999</v>
      </c>
      <c r="CX13">
        <v>0.76819999999999999</v>
      </c>
      <c r="CY13">
        <v>4.5350000000000001</v>
      </c>
      <c r="CZ13">
        <v>10.2597</v>
      </c>
      <c r="DA13">
        <v>9.4031000000000002</v>
      </c>
      <c r="DB13" s="12">
        <f>(CZ13-1.1239)/3.2564</f>
        <v>2.8054907259550421</v>
      </c>
      <c r="DC13">
        <v>4.2965</v>
      </c>
      <c r="DD13">
        <v>4.9210000000000003</v>
      </c>
      <c r="DE13">
        <v>6.5292000000000003</v>
      </c>
      <c r="DF13">
        <v>26.569900000000001</v>
      </c>
      <c r="DG13">
        <v>6.2779999999999996</v>
      </c>
      <c r="DH13">
        <v>0.86619999999999997</v>
      </c>
      <c r="DI13">
        <v>3.4123000000000001</v>
      </c>
      <c r="DJ13">
        <v>9.8949999999999996</v>
      </c>
      <c r="DK13">
        <v>0.98040000000000005</v>
      </c>
      <c r="DL13">
        <v>2.3938000000000001</v>
      </c>
      <c r="DM13">
        <v>16.195</v>
      </c>
      <c r="DN13">
        <v>0.3337</v>
      </c>
      <c r="DO13">
        <v>0.70230000000000004</v>
      </c>
      <c r="DP13">
        <v>4.444</v>
      </c>
      <c r="DQ13">
        <v>13.097799999999999</v>
      </c>
      <c r="DR13">
        <v>15.6174</v>
      </c>
      <c r="DS13" s="12">
        <f>(DQ13-1.1239)/3.2564</f>
        <v>3.6770359906645376</v>
      </c>
      <c r="DT13">
        <v>5.3631000000000002</v>
      </c>
      <c r="DU13">
        <v>6.274</v>
      </c>
      <c r="DV13">
        <v>1.3084</v>
      </c>
      <c r="DW13">
        <v>3.7052</v>
      </c>
      <c r="DX13">
        <v>9.891</v>
      </c>
      <c r="DY13">
        <v>1.5637000000000001</v>
      </c>
      <c r="DZ13">
        <v>4.5955000000000004</v>
      </c>
      <c r="EA13">
        <v>16.190999999999999</v>
      </c>
      <c r="EB13">
        <v>0.94399999999999995</v>
      </c>
      <c r="EC13">
        <v>2.0036</v>
      </c>
      <c r="EF13" s="12">
        <f t="shared" si="18"/>
        <v>3.5999416533595379</v>
      </c>
      <c r="EG13">
        <f t="shared" si="14"/>
        <v>-0.22139479179462018</v>
      </c>
      <c r="EH13" s="12">
        <f t="shared" si="19"/>
        <v>3.2796032428448596</v>
      </c>
      <c r="EI13">
        <f t="shared" si="4"/>
        <v>0.39743274781967819</v>
      </c>
      <c r="EM13" t="s">
        <v>1534</v>
      </c>
      <c r="EN13" s="37">
        <v>44666</v>
      </c>
      <c r="EO13" s="32">
        <v>0.16944444444444443</v>
      </c>
      <c r="EP13">
        <f>ES12+(24*4)+3</f>
        <v>676.0333333333333</v>
      </c>
      <c r="EQ13">
        <v>3</v>
      </c>
      <c r="ER13">
        <f t="shared" si="15"/>
        <v>40565</v>
      </c>
      <c r="ES13">
        <f t="shared" si="16"/>
        <v>676.08333333333337</v>
      </c>
      <c r="ET13">
        <f t="shared" si="17"/>
        <v>5.0000000000022737</v>
      </c>
      <c r="EU13">
        <v>676</v>
      </c>
    </row>
    <row r="14" spans="1:151">
      <c r="B14" s="14"/>
      <c r="AU14" s="195" t="s">
        <v>1541</v>
      </c>
      <c r="CQ14" s="195" t="s">
        <v>1542</v>
      </c>
      <c r="EM14" t="s">
        <v>1535</v>
      </c>
      <c r="EN14" s="37">
        <v>44671</v>
      </c>
      <c r="EO14" s="32">
        <v>0.37916666666666665</v>
      </c>
      <c r="EP14">
        <f>ES13+(24*5)-7</f>
        <v>789.08333333333337</v>
      </c>
      <c r="EQ14">
        <v>2</v>
      </c>
      <c r="ER14">
        <f t="shared" si="15"/>
        <v>47347</v>
      </c>
      <c r="ES14">
        <f t="shared" si="16"/>
        <v>789.11666666666667</v>
      </c>
      <c r="ET14">
        <f t="shared" si="17"/>
        <v>7.0000000000004547</v>
      </c>
      <c r="EU14">
        <v>789</v>
      </c>
    </row>
    <row r="15" spans="1:151">
      <c r="BE15" t="s">
        <v>227</v>
      </c>
      <c r="BF15" s="12">
        <f>AVERAGE(BF3:BF13)</f>
        <v>3.7991382943747523</v>
      </c>
      <c r="DR15" t="s">
        <v>227</v>
      </c>
      <c r="DS15" s="12">
        <f>AVERAGE(DS3:DS13)</f>
        <v>4.189347334363438</v>
      </c>
      <c r="EF15" s="433" t="s">
        <v>1548</v>
      </c>
      <c r="EG15" s="434">
        <f>AVERAGE(EG6:EG11)</f>
        <v>0.33989725319970993</v>
      </c>
      <c r="EH15" s="433"/>
      <c r="EI15" s="434">
        <f>AVERAGE(EI6:EI11)</f>
        <v>1.2071415436373225</v>
      </c>
    </row>
    <row r="18" spans="63:66">
      <c r="BK18" t="s">
        <v>1865</v>
      </c>
      <c r="BL18">
        <v>16</v>
      </c>
      <c r="BM18" t="s">
        <v>1866</v>
      </c>
      <c r="BN18" t="s">
        <v>1867</v>
      </c>
    </row>
  </sheetData>
  <mergeCells count="8">
    <mergeCell ref="CY1:DO1"/>
    <mergeCell ref="DP1:EC1"/>
    <mergeCell ref="D1:T1"/>
    <mergeCell ref="U1:AK1"/>
    <mergeCell ref="AL1:BB1"/>
    <mergeCell ref="BC1:BP1"/>
    <mergeCell ref="BQ1:CG1"/>
    <mergeCell ref="CH1:CX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E3E4B-5D04-B147-AFEE-74536CD63A7E}">
  <dimension ref="A1:NS23"/>
  <sheetViews>
    <sheetView zoomScale="85" workbookViewId="0">
      <pane xSplit="3" topLeftCell="D1" activePane="topRight" state="frozen"/>
      <selection pane="topRight" activeCell="B3" sqref="B3:C9"/>
    </sheetView>
  </sheetViews>
  <sheetFormatPr defaultColWidth="10.6640625" defaultRowHeight="15.5"/>
  <sheetData>
    <row r="1" spans="1:383" ht="46.5">
      <c r="C1" s="10" t="s">
        <v>1675</v>
      </c>
      <c r="D1" s="688" t="s">
        <v>1593</v>
      </c>
      <c r="E1" s="688"/>
      <c r="F1" s="688"/>
      <c r="G1" s="688"/>
      <c r="H1" s="688"/>
      <c r="I1" s="688"/>
      <c r="J1" s="688"/>
      <c r="K1" s="688"/>
      <c r="L1" s="688"/>
      <c r="M1" s="688"/>
      <c r="N1" s="688"/>
      <c r="O1" s="688"/>
      <c r="P1" s="688"/>
      <c r="Q1" s="688"/>
      <c r="R1" s="688"/>
      <c r="S1" s="688"/>
      <c r="T1" s="688"/>
      <c r="U1" s="688" t="s">
        <v>1594</v>
      </c>
      <c r="V1" s="688"/>
      <c r="W1" s="688"/>
      <c r="X1" s="688"/>
      <c r="Y1" s="688"/>
      <c r="Z1" s="688"/>
      <c r="AA1" s="688"/>
      <c r="AB1" s="688"/>
      <c r="AC1" s="688"/>
      <c r="AD1" s="688"/>
      <c r="AE1" s="688"/>
      <c r="AF1" s="688"/>
      <c r="AG1" s="688"/>
      <c r="AH1" s="688"/>
      <c r="AI1" s="688"/>
      <c r="AJ1" s="688"/>
      <c r="AK1" s="688"/>
      <c r="AL1" s="688" t="s">
        <v>1595</v>
      </c>
      <c r="AM1" s="688"/>
      <c r="AN1" s="688"/>
      <c r="AO1" s="688"/>
      <c r="AP1" s="688"/>
      <c r="AQ1" s="688"/>
      <c r="AR1" s="688"/>
      <c r="AS1" s="688"/>
      <c r="AT1" s="688"/>
      <c r="AU1" s="688"/>
      <c r="AV1" s="688"/>
      <c r="AW1" s="688"/>
      <c r="AX1" s="688"/>
      <c r="AY1" s="688"/>
      <c r="AZ1" s="688"/>
      <c r="BA1" s="688"/>
      <c r="BB1" s="688"/>
      <c r="BC1" s="688" t="s">
        <v>1596</v>
      </c>
      <c r="BD1" s="688"/>
      <c r="BE1" s="688"/>
      <c r="BF1" s="688"/>
      <c r="BG1" s="688"/>
      <c r="BH1" s="688"/>
      <c r="BI1" s="688"/>
      <c r="BJ1" s="688"/>
      <c r="BK1" s="688"/>
      <c r="BL1" s="688"/>
      <c r="BM1" s="688"/>
      <c r="BN1" s="688"/>
      <c r="BO1" s="688"/>
      <c r="BP1" s="688"/>
      <c r="BQ1" s="688"/>
      <c r="BR1" s="688"/>
      <c r="BS1" s="688"/>
      <c r="BT1" s="688"/>
      <c r="BU1" s="688"/>
      <c r="BV1" s="688"/>
      <c r="BW1" s="688"/>
      <c r="BX1" s="688"/>
      <c r="BY1" s="688"/>
      <c r="BZ1" s="688" t="s">
        <v>1597</v>
      </c>
      <c r="CA1" s="688"/>
      <c r="CB1" s="688"/>
      <c r="CC1" s="688"/>
      <c r="CD1" s="688"/>
      <c r="CE1" s="688"/>
      <c r="CF1" s="688"/>
      <c r="CG1" s="688"/>
      <c r="CH1" s="688"/>
      <c r="CI1" s="688"/>
      <c r="CJ1" s="688"/>
      <c r="CK1" s="688"/>
      <c r="CL1" s="688"/>
      <c r="CM1" s="688"/>
      <c r="CN1" s="688"/>
      <c r="CO1" s="688"/>
      <c r="CP1" s="688"/>
      <c r="CQ1" s="688"/>
      <c r="CR1" s="688"/>
      <c r="CS1" s="688"/>
      <c r="CT1" s="688"/>
      <c r="CU1" s="688"/>
      <c r="CV1" s="688"/>
      <c r="CW1" s="688" t="s">
        <v>1598</v>
      </c>
      <c r="CX1" s="688"/>
      <c r="CY1" s="688"/>
      <c r="CZ1" s="688"/>
      <c r="DA1" s="688"/>
      <c r="DB1" s="688"/>
      <c r="DC1" s="688"/>
      <c r="DD1" s="688"/>
      <c r="DE1" s="688"/>
      <c r="DF1" s="688"/>
      <c r="DG1" s="688"/>
      <c r="DH1" s="688"/>
      <c r="DI1" s="688"/>
      <c r="DJ1" s="688"/>
      <c r="DK1" s="688"/>
      <c r="DL1" s="688"/>
      <c r="DM1" s="688"/>
      <c r="DN1" s="688"/>
      <c r="DO1" s="688"/>
      <c r="DP1" s="688"/>
      <c r="DQ1" s="688"/>
      <c r="DR1" s="688"/>
      <c r="DS1" s="688"/>
      <c r="DT1" s="688" t="s">
        <v>1599</v>
      </c>
      <c r="DU1" s="688"/>
      <c r="DV1" s="688"/>
      <c r="DW1" s="688"/>
      <c r="DX1" s="688"/>
      <c r="DY1" s="688"/>
      <c r="DZ1" s="688"/>
      <c r="EA1" s="688"/>
      <c r="EB1" s="688"/>
      <c r="EC1" s="688"/>
      <c r="ED1" s="688"/>
      <c r="EE1" s="688"/>
      <c r="EF1" s="688"/>
      <c r="EG1" s="688"/>
      <c r="EH1" s="688"/>
      <c r="EI1" s="688"/>
      <c r="EJ1" s="688"/>
      <c r="EK1" s="688" t="s">
        <v>1600</v>
      </c>
      <c r="EL1" s="688"/>
      <c r="EM1" s="688"/>
      <c r="EN1" s="688"/>
      <c r="EO1" s="688"/>
      <c r="EP1" s="688"/>
      <c r="EQ1" s="688"/>
      <c r="ER1" s="688"/>
      <c r="ES1" s="688"/>
      <c r="ET1" s="688"/>
      <c r="EU1" s="688"/>
      <c r="EV1" s="688"/>
      <c r="EW1" s="688"/>
      <c r="EX1" s="688"/>
      <c r="EY1" s="688"/>
      <c r="EZ1" s="688"/>
      <c r="FA1" s="688"/>
      <c r="FB1" s="688"/>
      <c r="FC1" s="688"/>
      <c r="FD1" s="688"/>
      <c r="FE1" s="688" t="s">
        <v>1601</v>
      </c>
      <c r="FF1" s="688"/>
      <c r="FG1" s="688"/>
      <c r="FH1" s="688"/>
      <c r="FI1" s="688"/>
      <c r="FJ1" s="688"/>
      <c r="FK1" s="688"/>
      <c r="FL1" s="688"/>
      <c r="FM1" s="688"/>
      <c r="FN1" s="688"/>
      <c r="FO1" s="688"/>
      <c r="FP1" s="688"/>
      <c r="FQ1" s="688"/>
      <c r="FR1" s="688"/>
      <c r="FS1" s="688"/>
      <c r="FT1" s="688"/>
      <c r="FU1" s="688"/>
      <c r="FV1" s="688" t="s">
        <v>1602</v>
      </c>
      <c r="FW1" s="688"/>
      <c r="FX1" s="688"/>
      <c r="FY1" s="688"/>
      <c r="FZ1" s="688"/>
      <c r="GA1" s="688"/>
      <c r="GB1" s="688"/>
      <c r="GC1" s="688"/>
      <c r="GD1" s="688"/>
      <c r="GE1" s="688"/>
      <c r="GF1" s="688"/>
      <c r="GG1" s="688"/>
      <c r="GH1" s="688"/>
      <c r="GI1" s="688"/>
      <c r="GJ1" s="688"/>
      <c r="GK1" s="688"/>
      <c r="GL1" s="688"/>
      <c r="GM1" s="688"/>
      <c r="GN1" s="688"/>
      <c r="GO1" s="688"/>
      <c r="GP1" s="688" t="s">
        <v>1603</v>
      </c>
      <c r="GQ1" s="688"/>
      <c r="GR1" s="688"/>
      <c r="GS1" s="688"/>
      <c r="GT1" s="688"/>
      <c r="GU1" s="688"/>
      <c r="GV1" s="688"/>
      <c r="GW1" s="688"/>
      <c r="GX1" s="688"/>
      <c r="GY1" s="688"/>
      <c r="GZ1" s="688"/>
      <c r="HA1" s="688"/>
      <c r="HB1" s="688"/>
      <c r="HC1" s="688"/>
      <c r="HD1" s="688"/>
      <c r="HE1" s="688"/>
      <c r="HF1" s="688"/>
      <c r="HG1" s="688" t="s">
        <v>1604</v>
      </c>
      <c r="HH1" s="688"/>
      <c r="HI1" s="688"/>
      <c r="HJ1" s="688"/>
      <c r="HK1" s="688"/>
      <c r="HL1" s="688"/>
      <c r="HM1" s="688"/>
      <c r="HN1" s="688"/>
      <c r="HO1" s="688"/>
      <c r="HP1" s="688"/>
      <c r="HQ1" s="688"/>
      <c r="HR1" s="688"/>
      <c r="HS1" s="688"/>
      <c r="HT1" s="688"/>
      <c r="HU1" s="688"/>
      <c r="HV1" s="688"/>
      <c r="HW1" s="688"/>
      <c r="HX1" s="688"/>
      <c r="HY1" s="688"/>
      <c r="HZ1" s="688"/>
      <c r="IA1" s="688" t="s">
        <v>1605</v>
      </c>
      <c r="IB1" s="688"/>
      <c r="IC1" s="688"/>
      <c r="ID1" s="688"/>
      <c r="IE1" s="688"/>
      <c r="IF1" s="688"/>
      <c r="IG1" s="688"/>
      <c r="IH1" s="688"/>
      <c r="II1" s="688"/>
      <c r="IJ1" s="688"/>
      <c r="IK1" s="688"/>
      <c r="IL1" s="688"/>
      <c r="IM1" s="688"/>
      <c r="IN1" s="688"/>
      <c r="IO1" s="688"/>
      <c r="IP1" s="688"/>
      <c r="IQ1" s="688"/>
      <c r="IR1" s="688"/>
      <c r="IS1" s="688"/>
      <c r="IT1" s="688"/>
      <c r="IU1" s="688"/>
      <c r="IV1" s="688"/>
      <c r="IW1" s="688"/>
      <c r="IX1" s="688" t="s">
        <v>1606</v>
      </c>
      <c r="IY1" s="688"/>
      <c r="IZ1" s="688"/>
      <c r="JA1" s="688"/>
      <c r="JB1" s="688"/>
      <c r="JC1" s="688"/>
      <c r="JD1" s="688"/>
      <c r="JE1" s="688"/>
      <c r="JF1" s="688"/>
      <c r="JG1" s="688"/>
      <c r="JH1" s="688"/>
      <c r="JI1" s="688"/>
      <c r="JJ1" s="688"/>
      <c r="JK1" s="688"/>
      <c r="JL1" s="688"/>
      <c r="JM1" s="688"/>
      <c r="JN1" s="688"/>
      <c r="JO1" s="688"/>
      <c r="JP1" s="688"/>
      <c r="JQ1" s="688"/>
      <c r="JR1" s="688">
        <v>70</v>
      </c>
      <c r="JS1" s="688"/>
      <c r="JT1" s="688"/>
      <c r="JU1" s="688"/>
      <c r="JV1" s="688"/>
      <c r="JW1" s="688"/>
      <c r="JX1" s="688"/>
      <c r="JY1" s="688"/>
      <c r="JZ1" s="688"/>
      <c r="KA1" s="688"/>
      <c r="KB1" s="688"/>
      <c r="KC1" s="688"/>
      <c r="KD1" s="688"/>
      <c r="KE1" s="688"/>
      <c r="KF1" s="688"/>
      <c r="KG1" s="688"/>
      <c r="KH1" s="688"/>
      <c r="KI1" s="688">
        <v>80</v>
      </c>
      <c r="KJ1" s="688"/>
      <c r="KK1" s="688"/>
      <c r="KL1" s="688"/>
      <c r="KM1" s="688"/>
      <c r="KN1" s="688"/>
      <c r="KO1" s="688"/>
      <c r="KP1" s="688"/>
      <c r="KQ1" s="688"/>
      <c r="KR1" s="688"/>
      <c r="KS1" s="688"/>
      <c r="KT1" s="688"/>
      <c r="KU1" s="688"/>
      <c r="KV1" s="688"/>
      <c r="KW1" s="688">
        <v>901</v>
      </c>
      <c r="KX1" s="688"/>
      <c r="KY1" s="688"/>
      <c r="KZ1" s="688"/>
      <c r="LA1" s="688"/>
      <c r="LB1" s="688"/>
      <c r="LC1" s="688"/>
      <c r="LD1" s="688"/>
      <c r="LE1" s="688"/>
      <c r="LF1" s="688"/>
      <c r="LG1" s="688"/>
      <c r="LH1" s="688"/>
      <c r="LI1" s="688"/>
      <c r="LJ1" s="688"/>
      <c r="LK1" s="688"/>
      <c r="LL1" s="688"/>
      <c r="LM1" s="688"/>
      <c r="LN1" s="688">
        <v>902</v>
      </c>
      <c r="LO1" s="688"/>
      <c r="LP1" s="688"/>
      <c r="LQ1" s="688"/>
      <c r="LR1" s="688"/>
      <c r="LS1" s="688"/>
      <c r="LT1" s="688"/>
      <c r="LU1" s="688"/>
      <c r="LV1" s="688"/>
      <c r="LW1" s="688"/>
      <c r="LX1" s="688"/>
      <c r="LY1" s="688"/>
      <c r="LZ1" s="688"/>
      <c r="MA1" s="688"/>
      <c r="MB1" s="688"/>
      <c r="MC1" s="688"/>
      <c r="MD1" s="688"/>
      <c r="ME1" s="688" t="s">
        <v>1607</v>
      </c>
      <c r="MF1" s="688"/>
      <c r="MG1" s="688"/>
      <c r="MH1" s="688"/>
      <c r="MI1" s="688"/>
      <c r="MJ1" s="688"/>
      <c r="MK1" s="688"/>
      <c r="ML1" s="688"/>
      <c r="MM1" s="688"/>
      <c r="MN1" s="688"/>
      <c r="MO1" s="688"/>
      <c r="MP1" s="688"/>
      <c r="MQ1" s="688"/>
      <c r="MR1" s="688"/>
      <c r="MS1" s="688"/>
      <c r="MT1" s="688"/>
      <c r="MU1" s="688"/>
      <c r="MV1" s="688" t="s">
        <v>1608</v>
      </c>
      <c r="MW1" s="688"/>
      <c r="MX1" s="688"/>
      <c r="MY1" s="688"/>
      <c r="MZ1" s="688"/>
      <c r="NA1" s="688"/>
      <c r="NB1" s="688"/>
      <c r="NC1" s="688"/>
      <c r="ND1" s="688"/>
      <c r="NE1" s="688"/>
      <c r="NF1" s="688"/>
      <c r="NG1" s="688"/>
      <c r="NH1" s="688"/>
      <c r="NI1" s="688"/>
      <c r="NJ1" s="688"/>
      <c r="NK1" s="688"/>
      <c r="NL1" s="688"/>
    </row>
    <row r="2" spans="1:383" ht="31">
      <c r="A2" s="255" t="s">
        <v>10</v>
      </c>
      <c r="B2" s="451" t="s">
        <v>0</v>
      </c>
      <c r="C2" s="13" t="s">
        <v>40</v>
      </c>
      <c r="D2" s="450" t="s">
        <v>2</v>
      </c>
      <c r="E2" s="450" t="s">
        <v>4</v>
      </c>
      <c r="F2" s="450" t="s">
        <v>3</v>
      </c>
      <c r="G2" s="317" t="s">
        <v>78</v>
      </c>
      <c r="H2" s="317" t="s">
        <v>925</v>
      </c>
      <c r="I2" s="317"/>
      <c r="J2" s="317"/>
      <c r="K2" s="317"/>
      <c r="L2" s="450" t="s">
        <v>2</v>
      </c>
      <c r="M2" s="450" t="s">
        <v>4</v>
      </c>
      <c r="N2" s="450" t="s">
        <v>3</v>
      </c>
      <c r="O2" s="450" t="s">
        <v>2</v>
      </c>
      <c r="P2" s="450" t="s">
        <v>4</v>
      </c>
      <c r="Q2" s="450" t="s">
        <v>3</v>
      </c>
      <c r="R2" s="450" t="s">
        <v>2</v>
      </c>
      <c r="S2" s="450" t="s">
        <v>4</v>
      </c>
      <c r="T2" s="450" t="s">
        <v>3</v>
      </c>
      <c r="U2" s="456" t="s">
        <v>2</v>
      </c>
      <c r="V2" s="456" t="s">
        <v>4</v>
      </c>
      <c r="W2" s="456" t="s">
        <v>3</v>
      </c>
      <c r="X2" s="457" t="s">
        <v>78</v>
      </c>
      <c r="Y2" s="457" t="s">
        <v>925</v>
      </c>
      <c r="Z2" s="457"/>
      <c r="AA2" s="457"/>
      <c r="AB2" s="457"/>
      <c r="AC2" s="456" t="s">
        <v>2</v>
      </c>
      <c r="AD2" s="456" t="s">
        <v>4</v>
      </c>
      <c r="AE2" s="456" t="s">
        <v>3</v>
      </c>
      <c r="AF2" s="456" t="s">
        <v>2</v>
      </c>
      <c r="AG2" s="456" t="s">
        <v>4</v>
      </c>
      <c r="AH2" s="456" t="s">
        <v>3</v>
      </c>
      <c r="AI2" s="456" t="s">
        <v>2</v>
      </c>
      <c r="AJ2" s="456" t="s">
        <v>4</v>
      </c>
      <c r="AK2" s="456" t="s">
        <v>3</v>
      </c>
      <c r="AL2" s="449" t="s">
        <v>2</v>
      </c>
      <c r="AM2" s="449" t="s">
        <v>4</v>
      </c>
      <c r="AN2" s="449" t="s">
        <v>3</v>
      </c>
      <c r="AO2" s="23" t="s">
        <v>78</v>
      </c>
      <c r="AP2" s="23" t="s">
        <v>925</v>
      </c>
      <c r="AQ2" s="23"/>
      <c r="AR2" s="23"/>
      <c r="AS2" s="23"/>
      <c r="AT2" s="449" t="s">
        <v>2</v>
      </c>
      <c r="AU2" s="449" t="s">
        <v>4</v>
      </c>
      <c r="AV2" s="449" t="s">
        <v>3</v>
      </c>
      <c r="AW2" s="449" t="s">
        <v>2</v>
      </c>
      <c r="AX2" s="449" t="s">
        <v>4</v>
      </c>
      <c r="AY2" s="449" t="s">
        <v>3</v>
      </c>
      <c r="AZ2" s="449" t="s">
        <v>2</v>
      </c>
      <c r="BA2" s="449" t="s">
        <v>4</v>
      </c>
      <c r="BB2" s="449" t="s">
        <v>3</v>
      </c>
      <c r="BC2" s="476" t="s">
        <v>2</v>
      </c>
      <c r="BD2" s="476" t="s">
        <v>4</v>
      </c>
      <c r="BE2" s="476" t="s">
        <v>3</v>
      </c>
      <c r="BF2" s="477" t="s">
        <v>78</v>
      </c>
      <c r="BG2" s="477" t="s">
        <v>925</v>
      </c>
      <c r="BH2" s="477"/>
      <c r="BI2" s="477"/>
      <c r="BJ2" s="477"/>
      <c r="BK2" s="476" t="s">
        <v>2</v>
      </c>
      <c r="BL2" s="476" t="s">
        <v>4</v>
      </c>
      <c r="BM2" s="476" t="s">
        <v>3</v>
      </c>
      <c r="BN2" s="476" t="s">
        <v>2</v>
      </c>
      <c r="BO2" s="476" t="s">
        <v>4</v>
      </c>
      <c r="BP2" s="476" t="s">
        <v>3</v>
      </c>
      <c r="BQ2" s="476" t="s">
        <v>2</v>
      </c>
      <c r="BR2" s="476" t="s">
        <v>4</v>
      </c>
      <c r="BS2" s="476" t="s">
        <v>3</v>
      </c>
      <c r="BT2" s="476" t="s">
        <v>2</v>
      </c>
      <c r="BU2" s="476" t="s">
        <v>4</v>
      </c>
      <c r="BV2" s="476" t="s">
        <v>3</v>
      </c>
      <c r="BW2" s="476" t="s">
        <v>2</v>
      </c>
      <c r="BX2" s="476" t="s">
        <v>4</v>
      </c>
      <c r="BY2" s="476" t="s">
        <v>3</v>
      </c>
      <c r="BZ2" s="474" t="s">
        <v>2</v>
      </c>
      <c r="CA2" s="474" t="s">
        <v>4</v>
      </c>
      <c r="CB2" s="474" t="s">
        <v>3</v>
      </c>
      <c r="CC2" s="475" t="s">
        <v>78</v>
      </c>
      <c r="CD2" s="475" t="s">
        <v>925</v>
      </c>
      <c r="CE2" s="475"/>
      <c r="CF2" s="475"/>
      <c r="CG2" s="475"/>
      <c r="CH2" s="474" t="s">
        <v>2</v>
      </c>
      <c r="CI2" s="474" t="s">
        <v>4</v>
      </c>
      <c r="CJ2" s="474" t="s">
        <v>3</v>
      </c>
      <c r="CK2" s="474" t="s">
        <v>2</v>
      </c>
      <c r="CL2" s="474" t="s">
        <v>4</v>
      </c>
      <c r="CM2" s="474" t="s">
        <v>3</v>
      </c>
      <c r="CN2" s="474" t="s">
        <v>2</v>
      </c>
      <c r="CO2" s="474" t="s">
        <v>4</v>
      </c>
      <c r="CP2" s="474" t="s">
        <v>3</v>
      </c>
      <c r="CQ2" s="474" t="s">
        <v>2</v>
      </c>
      <c r="CR2" s="474" t="s">
        <v>4</v>
      </c>
      <c r="CS2" s="474" t="s">
        <v>3</v>
      </c>
      <c r="CT2" s="474" t="s">
        <v>2</v>
      </c>
      <c r="CU2" s="474" t="s">
        <v>4</v>
      </c>
      <c r="CV2" s="474" t="s">
        <v>3</v>
      </c>
      <c r="CW2" s="464" t="s">
        <v>2</v>
      </c>
      <c r="CX2" s="464" t="s">
        <v>4</v>
      </c>
      <c r="CY2" s="464" t="s">
        <v>3</v>
      </c>
      <c r="CZ2" s="465" t="s">
        <v>78</v>
      </c>
      <c r="DA2" s="465" t="s">
        <v>925</v>
      </c>
      <c r="DB2" s="465"/>
      <c r="DC2" s="465"/>
      <c r="DD2" s="465"/>
      <c r="DE2" s="464" t="s">
        <v>2</v>
      </c>
      <c r="DF2" s="464" t="s">
        <v>4</v>
      </c>
      <c r="DG2" s="464" t="s">
        <v>3</v>
      </c>
      <c r="DH2" s="464" t="s">
        <v>2</v>
      </c>
      <c r="DI2" s="464" t="s">
        <v>4</v>
      </c>
      <c r="DJ2" s="464" t="s">
        <v>3</v>
      </c>
      <c r="DK2" s="464" t="s">
        <v>2</v>
      </c>
      <c r="DL2" s="464" t="s">
        <v>4</v>
      </c>
      <c r="DM2" s="464" t="s">
        <v>3</v>
      </c>
      <c r="DN2" s="464" t="s">
        <v>2</v>
      </c>
      <c r="DO2" s="464" t="s">
        <v>4</v>
      </c>
      <c r="DP2" s="464" t="s">
        <v>3</v>
      </c>
      <c r="DQ2" s="464" t="s">
        <v>2</v>
      </c>
      <c r="DR2" s="464" t="s">
        <v>4</v>
      </c>
      <c r="DS2" s="464" t="s">
        <v>3</v>
      </c>
      <c r="DT2" s="462" t="s">
        <v>2</v>
      </c>
      <c r="DU2" s="462" t="s">
        <v>4</v>
      </c>
      <c r="DV2" s="462" t="s">
        <v>3</v>
      </c>
      <c r="DW2" s="463" t="s">
        <v>78</v>
      </c>
      <c r="DX2" s="463" t="s">
        <v>925</v>
      </c>
      <c r="DY2" s="462" t="s">
        <v>2</v>
      </c>
      <c r="DZ2" s="462" t="s">
        <v>4</v>
      </c>
      <c r="EA2" s="462" t="s">
        <v>3</v>
      </c>
      <c r="EB2" s="462" t="s">
        <v>2</v>
      </c>
      <c r="EC2" s="462" t="s">
        <v>4</v>
      </c>
      <c r="ED2" s="462" t="s">
        <v>3</v>
      </c>
      <c r="EE2" s="462" t="s">
        <v>2</v>
      </c>
      <c r="EF2" s="462" t="s">
        <v>4</v>
      </c>
      <c r="EG2" s="462" t="s">
        <v>3</v>
      </c>
      <c r="EH2" s="462" t="s">
        <v>2</v>
      </c>
      <c r="EI2" s="462" t="s">
        <v>4</v>
      </c>
      <c r="EJ2" s="462" t="s">
        <v>3</v>
      </c>
      <c r="EK2" s="460" t="s">
        <v>2</v>
      </c>
      <c r="EL2" s="460" t="s">
        <v>4</v>
      </c>
      <c r="EM2" s="460" t="s">
        <v>3</v>
      </c>
      <c r="EN2" s="461" t="s">
        <v>78</v>
      </c>
      <c r="EO2" s="461" t="s">
        <v>925</v>
      </c>
      <c r="EP2" s="461"/>
      <c r="EQ2" s="461"/>
      <c r="ER2" s="461"/>
      <c r="ES2" s="460" t="s">
        <v>2</v>
      </c>
      <c r="ET2" s="460" t="s">
        <v>4</v>
      </c>
      <c r="EU2" s="460" t="s">
        <v>3</v>
      </c>
      <c r="EV2" s="460" t="s">
        <v>2</v>
      </c>
      <c r="EW2" s="460" t="s">
        <v>4</v>
      </c>
      <c r="EX2" s="460" t="s">
        <v>3</v>
      </c>
      <c r="EY2" s="460" t="s">
        <v>2</v>
      </c>
      <c r="EZ2" s="460" t="s">
        <v>4</v>
      </c>
      <c r="FA2" s="460" t="s">
        <v>3</v>
      </c>
      <c r="FB2" s="460" t="s">
        <v>2</v>
      </c>
      <c r="FC2" s="460" t="s">
        <v>4</v>
      </c>
      <c r="FD2" s="460" t="s">
        <v>3</v>
      </c>
      <c r="FE2" s="458" t="s">
        <v>2</v>
      </c>
      <c r="FF2" s="458" t="s">
        <v>4</v>
      </c>
      <c r="FG2" s="458" t="s">
        <v>3</v>
      </c>
      <c r="FH2" s="459" t="s">
        <v>78</v>
      </c>
      <c r="FI2" s="459" t="s">
        <v>925</v>
      </c>
      <c r="FJ2" s="459"/>
      <c r="FK2" s="459"/>
      <c r="FL2" s="459"/>
      <c r="FM2" s="458" t="s">
        <v>2</v>
      </c>
      <c r="FN2" s="458" t="s">
        <v>4</v>
      </c>
      <c r="FO2" s="458" t="s">
        <v>3</v>
      </c>
      <c r="FP2" s="458" t="s">
        <v>2</v>
      </c>
      <c r="FQ2" s="458" t="s">
        <v>4</v>
      </c>
      <c r="FR2" s="458" t="s">
        <v>3</v>
      </c>
      <c r="FS2" s="458" t="s">
        <v>2</v>
      </c>
      <c r="FT2" s="458" t="s">
        <v>4</v>
      </c>
      <c r="FU2" s="458" t="s">
        <v>3</v>
      </c>
      <c r="FV2" s="468" t="s">
        <v>2</v>
      </c>
      <c r="FW2" s="468" t="s">
        <v>4</v>
      </c>
      <c r="FX2" s="468" t="s">
        <v>3</v>
      </c>
      <c r="FY2" s="469" t="s">
        <v>78</v>
      </c>
      <c r="FZ2" s="469" t="s">
        <v>925</v>
      </c>
      <c r="GA2" s="469"/>
      <c r="GB2" s="469"/>
      <c r="GC2" s="469"/>
      <c r="GD2" s="468" t="s">
        <v>2</v>
      </c>
      <c r="GE2" s="468" t="s">
        <v>4</v>
      </c>
      <c r="GF2" s="468" t="s">
        <v>3</v>
      </c>
      <c r="GG2" s="468" t="s">
        <v>2</v>
      </c>
      <c r="GH2" s="468" t="s">
        <v>4</v>
      </c>
      <c r="GI2" s="468" t="s">
        <v>3</v>
      </c>
      <c r="GJ2" s="468" t="s">
        <v>2</v>
      </c>
      <c r="GK2" s="468" t="s">
        <v>4</v>
      </c>
      <c r="GL2" s="468" t="s">
        <v>3</v>
      </c>
      <c r="GM2" s="468" t="s">
        <v>2</v>
      </c>
      <c r="GN2" s="468" t="s">
        <v>4</v>
      </c>
      <c r="GO2" s="468" t="s">
        <v>3</v>
      </c>
      <c r="GP2" s="454" t="s">
        <v>2</v>
      </c>
      <c r="GQ2" s="454" t="s">
        <v>4</v>
      </c>
      <c r="GR2" s="454" t="s">
        <v>3</v>
      </c>
      <c r="GS2" s="455" t="s">
        <v>78</v>
      </c>
      <c r="GT2" s="455" t="s">
        <v>925</v>
      </c>
      <c r="GU2" s="455"/>
      <c r="GV2" s="455"/>
      <c r="GW2" s="455"/>
      <c r="GX2" s="454" t="s">
        <v>2</v>
      </c>
      <c r="GY2" s="454" t="s">
        <v>4</v>
      </c>
      <c r="GZ2" s="454" t="s">
        <v>3</v>
      </c>
      <c r="HA2" s="454" t="s">
        <v>2</v>
      </c>
      <c r="HB2" s="454" t="s">
        <v>4</v>
      </c>
      <c r="HC2" s="454" t="s">
        <v>3</v>
      </c>
      <c r="HD2" s="454" t="s">
        <v>2</v>
      </c>
      <c r="HE2" s="454" t="s">
        <v>4</v>
      </c>
      <c r="HF2" s="454" t="s">
        <v>3</v>
      </c>
      <c r="HG2" s="452" t="s">
        <v>2</v>
      </c>
      <c r="HH2" s="452" t="s">
        <v>4</v>
      </c>
      <c r="HI2" s="452" t="s">
        <v>3</v>
      </c>
      <c r="HJ2" s="453" t="s">
        <v>78</v>
      </c>
      <c r="HK2" s="453" t="s">
        <v>925</v>
      </c>
      <c r="HL2" s="453"/>
      <c r="HM2" s="453"/>
      <c r="HN2" s="453"/>
      <c r="HO2" s="452" t="s">
        <v>2</v>
      </c>
      <c r="HP2" s="452" t="s">
        <v>4</v>
      </c>
      <c r="HQ2" s="452" t="s">
        <v>3</v>
      </c>
      <c r="HR2" s="452" t="s">
        <v>2</v>
      </c>
      <c r="HS2" s="452" t="s">
        <v>4</v>
      </c>
      <c r="HT2" s="452" t="s">
        <v>3</v>
      </c>
      <c r="HU2" s="452"/>
      <c r="HV2" s="452"/>
      <c r="HW2" s="452"/>
      <c r="HX2" s="452" t="s">
        <v>2</v>
      </c>
      <c r="HY2" s="452" t="s">
        <v>4</v>
      </c>
      <c r="HZ2" s="452" t="s">
        <v>3</v>
      </c>
      <c r="IA2" s="472" t="s">
        <v>2</v>
      </c>
      <c r="IB2" s="472" t="s">
        <v>4</v>
      </c>
      <c r="IC2" s="472" t="s">
        <v>3</v>
      </c>
      <c r="ID2" s="473" t="s">
        <v>78</v>
      </c>
      <c r="IE2" s="473" t="s">
        <v>925</v>
      </c>
      <c r="IF2" s="473"/>
      <c r="IG2" s="473"/>
      <c r="IH2" s="473"/>
      <c r="II2" s="472" t="s">
        <v>2</v>
      </c>
      <c r="IJ2" s="472" t="s">
        <v>4</v>
      </c>
      <c r="IK2" s="472" t="s">
        <v>3</v>
      </c>
      <c r="IL2" s="472" t="s">
        <v>2</v>
      </c>
      <c r="IM2" s="472" t="s">
        <v>4</v>
      </c>
      <c r="IN2" s="472" t="s">
        <v>3</v>
      </c>
      <c r="IO2" s="472" t="s">
        <v>2</v>
      </c>
      <c r="IP2" s="472" t="s">
        <v>4</v>
      </c>
      <c r="IQ2" s="472" t="s">
        <v>3</v>
      </c>
      <c r="IR2" s="472" t="s">
        <v>2</v>
      </c>
      <c r="IS2" s="472" t="s">
        <v>4</v>
      </c>
      <c r="IT2" s="472" t="s">
        <v>3</v>
      </c>
      <c r="IU2" s="472" t="s">
        <v>2</v>
      </c>
      <c r="IV2" s="472" t="s">
        <v>4</v>
      </c>
      <c r="IW2" s="472" t="s">
        <v>3</v>
      </c>
      <c r="IX2" s="470" t="s">
        <v>2</v>
      </c>
      <c r="IY2" s="470" t="s">
        <v>4</v>
      </c>
      <c r="IZ2" s="470" t="s">
        <v>3</v>
      </c>
      <c r="JA2" s="471" t="s">
        <v>78</v>
      </c>
      <c r="JB2" s="471" t="s">
        <v>925</v>
      </c>
      <c r="JC2" s="470" t="s">
        <v>2</v>
      </c>
      <c r="JD2" s="470" t="s">
        <v>4</v>
      </c>
      <c r="JE2" s="470" t="s">
        <v>3</v>
      </c>
      <c r="JF2" s="470" t="s">
        <v>2</v>
      </c>
      <c r="JG2" s="470" t="s">
        <v>4</v>
      </c>
      <c r="JH2" s="470" t="s">
        <v>3</v>
      </c>
      <c r="JI2" s="470" t="s">
        <v>2</v>
      </c>
      <c r="JJ2" s="470" t="s">
        <v>4</v>
      </c>
      <c r="JK2" s="470" t="s">
        <v>3</v>
      </c>
      <c r="JL2" s="470" t="s">
        <v>2</v>
      </c>
      <c r="JM2" s="470" t="s">
        <v>4</v>
      </c>
      <c r="JN2" s="470" t="s">
        <v>3</v>
      </c>
      <c r="JO2" s="470" t="s">
        <v>2</v>
      </c>
      <c r="JP2" s="470" t="s">
        <v>4</v>
      </c>
      <c r="JQ2" s="470" t="s">
        <v>3</v>
      </c>
      <c r="JR2" s="466" t="s">
        <v>2</v>
      </c>
      <c r="JS2" s="466" t="s">
        <v>4</v>
      </c>
      <c r="JT2" s="466" t="s">
        <v>3</v>
      </c>
      <c r="JU2" s="467" t="s">
        <v>78</v>
      </c>
      <c r="JV2" s="467" t="s">
        <v>925</v>
      </c>
      <c r="JW2" s="466" t="s">
        <v>2</v>
      </c>
      <c r="JX2" s="466" t="s">
        <v>4</v>
      </c>
      <c r="JY2" s="466" t="s">
        <v>3</v>
      </c>
      <c r="JZ2" s="466" t="s">
        <v>2</v>
      </c>
      <c r="KA2" s="466" t="s">
        <v>4</v>
      </c>
      <c r="KB2" s="466" t="s">
        <v>3</v>
      </c>
      <c r="KC2" s="466" t="s">
        <v>2</v>
      </c>
      <c r="KD2" s="466" t="s">
        <v>4</v>
      </c>
      <c r="KE2" s="466" t="s">
        <v>3</v>
      </c>
      <c r="KF2" s="466" t="s">
        <v>2</v>
      </c>
      <c r="KG2" s="466" t="s">
        <v>4</v>
      </c>
      <c r="KH2" s="466" t="s">
        <v>3</v>
      </c>
      <c r="KI2" s="452" t="s">
        <v>2</v>
      </c>
      <c r="KJ2" s="452" t="s">
        <v>4</v>
      </c>
      <c r="KK2" s="452" t="s">
        <v>3</v>
      </c>
      <c r="KL2" s="453" t="s">
        <v>78</v>
      </c>
      <c r="KM2" s="453" t="s">
        <v>925</v>
      </c>
      <c r="KN2" s="452" t="s">
        <v>2</v>
      </c>
      <c r="KO2" s="452" t="s">
        <v>4</v>
      </c>
      <c r="KP2" s="452" t="s">
        <v>3</v>
      </c>
      <c r="KQ2" s="452" t="s">
        <v>2</v>
      </c>
      <c r="KR2" s="452" t="s">
        <v>4</v>
      </c>
      <c r="KS2" s="452" t="s">
        <v>3</v>
      </c>
      <c r="KT2" s="452" t="s">
        <v>2</v>
      </c>
      <c r="KU2" s="452" t="s">
        <v>4</v>
      </c>
      <c r="KV2" s="452" t="s">
        <v>3</v>
      </c>
      <c r="KW2" s="470" t="s">
        <v>2</v>
      </c>
      <c r="KX2" s="470" t="s">
        <v>4</v>
      </c>
      <c r="KY2" s="470" t="s">
        <v>3</v>
      </c>
      <c r="KZ2" s="471" t="s">
        <v>78</v>
      </c>
      <c r="LA2" s="471" t="s">
        <v>925</v>
      </c>
      <c r="LB2" s="470" t="s">
        <v>2</v>
      </c>
      <c r="LC2" s="470" t="s">
        <v>4</v>
      </c>
      <c r="LD2" s="470" t="s">
        <v>3</v>
      </c>
      <c r="LE2" s="470" t="s">
        <v>2</v>
      </c>
      <c r="LF2" s="470" t="s">
        <v>4</v>
      </c>
      <c r="LG2" s="470" t="s">
        <v>3</v>
      </c>
      <c r="LH2" s="470" t="s">
        <v>2</v>
      </c>
      <c r="LI2" s="470" t="s">
        <v>4</v>
      </c>
      <c r="LJ2" s="470" t="s">
        <v>3</v>
      </c>
      <c r="LK2" s="470" t="s">
        <v>2</v>
      </c>
      <c r="LL2" s="470" t="s">
        <v>4</v>
      </c>
      <c r="LM2" s="470" t="s">
        <v>3</v>
      </c>
      <c r="LN2" s="472" t="s">
        <v>2</v>
      </c>
      <c r="LO2" s="472" t="s">
        <v>4</v>
      </c>
      <c r="LP2" s="472" t="s">
        <v>3</v>
      </c>
      <c r="LQ2" s="473" t="s">
        <v>78</v>
      </c>
      <c r="LR2" s="473" t="s">
        <v>925</v>
      </c>
      <c r="LS2" s="472" t="s">
        <v>2</v>
      </c>
      <c r="LT2" s="472" t="s">
        <v>4</v>
      </c>
      <c r="LU2" s="472" t="s">
        <v>3</v>
      </c>
      <c r="LV2" s="472" t="s">
        <v>2</v>
      </c>
      <c r="LW2" s="472" t="s">
        <v>4</v>
      </c>
      <c r="LX2" s="472" t="s">
        <v>3</v>
      </c>
      <c r="LY2" s="472" t="s">
        <v>2</v>
      </c>
      <c r="LZ2" s="472" t="s">
        <v>4</v>
      </c>
      <c r="MA2" s="472" t="s">
        <v>3</v>
      </c>
      <c r="MB2" s="472" t="s">
        <v>2</v>
      </c>
      <c r="MC2" s="472" t="s">
        <v>4</v>
      </c>
      <c r="MD2" s="472" t="s">
        <v>3</v>
      </c>
      <c r="ME2" s="474" t="s">
        <v>2</v>
      </c>
      <c r="MF2" s="474" t="s">
        <v>4</v>
      </c>
      <c r="MG2" s="474" t="s">
        <v>3</v>
      </c>
      <c r="MH2" s="475" t="s">
        <v>78</v>
      </c>
      <c r="MI2" s="475" t="s">
        <v>925</v>
      </c>
      <c r="MJ2" s="474" t="s">
        <v>2</v>
      </c>
      <c r="MK2" s="474" t="s">
        <v>4</v>
      </c>
      <c r="ML2" s="474" t="s">
        <v>3</v>
      </c>
      <c r="MM2" s="474" t="s">
        <v>2</v>
      </c>
      <c r="MN2" s="474" t="s">
        <v>4</v>
      </c>
      <c r="MO2" s="474" t="s">
        <v>3</v>
      </c>
      <c r="MP2" s="474" t="s">
        <v>2</v>
      </c>
      <c r="MQ2" s="474" t="s">
        <v>4</v>
      </c>
      <c r="MR2" s="474" t="s">
        <v>3</v>
      </c>
      <c r="MS2" s="474" t="s">
        <v>2</v>
      </c>
      <c r="MT2" s="474" t="s">
        <v>4</v>
      </c>
      <c r="MU2" s="474" t="s">
        <v>3</v>
      </c>
      <c r="MV2" s="476" t="s">
        <v>2</v>
      </c>
      <c r="MW2" s="476" t="s">
        <v>4</v>
      </c>
      <c r="MX2" s="476" t="s">
        <v>3</v>
      </c>
      <c r="MY2" s="477" t="s">
        <v>78</v>
      </c>
      <c r="MZ2" s="477" t="s">
        <v>925</v>
      </c>
      <c r="NA2" s="476" t="s">
        <v>2</v>
      </c>
      <c r="NB2" s="476" t="s">
        <v>4</v>
      </c>
      <c r="NC2" s="476" t="s">
        <v>3</v>
      </c>
      <c r="ND2" s="476" t="s">
        <v>2</v>
      </c>
      <c r="NE2" s="476" t="s">
        <v>4</v>
      </c>
      <c r="NF2" s="476" t="s">
        <v>3</v>
      </c>
      <c r="NG2" s="476" t="s">
        <v>2</v>
      </c>
      <c r="NH2" s="476" t="s">
        <v>4</v>
      </c>
      <c r="NI2" s="476" t="s">
        <v>3</v>
      </c>
      <c r="NJ2" s="476" t="s">
        <v>2</v>
      </c>
      <c r="NK2" s="476" t="s">
        <v>4</v>
      </c>
      <c r="NL2" s="476" t="s">
        <v>3</v>
      </c>
      <c r="NO2" s="501" t="s">
        <v>1676</v>
      </c>
      <c r="NP2" s="502" t="s">
        <v>1677</v>
      </c>
      <c r="NQ2" s="503" t="s">
        <v>1678</v>
      </c>
      <c r="NR2" s="504" t="s">
        <v>1679</v>
      </c>
      <c r="NS2" t="s">
        <v>1680</v>
      </c>
    </row>
    <row r="3" spans="1:383">
      <c r="A3" t="s">
        <v>1592</v>
      </c>
      <c r="B3" s="14">
        <v>44690</v>
      </c>
      <c r="C3" s="12">
        <v>42.1</v>
      </c>
      <c r="D3">
        <v>4.5309999999999997</v>
      </c>
      <c r="E3">
        <v>12.5764</v>
      </c>
      <c r="F3">
        <v>11.869899999999999</v>
      </c>
      <c r="G3" s="12">
        <f>(E3-1.4747)/3.2493</f>
        <v>3.4166435847721046</v>
      </c>
      <c r="H3">
        <v>5.1670999999999996</v>
      </c>
      <c r="L3">
        <v>6.1379999999999999</v>
      </c>
      <c r="M3">
        <v>0.99150000000000005</v>
      </c>
      <c r="N3">
        <v>3.5874000000000001</v>
      </c>
      <c r="O3">
        <v>9.7650000000000006</v>
      </c>
      <c r="P3">
        <v>0.64410000000000001</v>
      </c>
      <c r="Q3">
        <v>2.5676999999999999</v>
      </c>
      <c r="R3">
        <v>15.975</v>
      </c>
      <c r="S3">
        <v>3.0386000000000002</v>
      </c>
      <c r="T3">
        <v>6.6455000000000002</v>
      </c>
      <c r="U3">
        <v>4.6239999999999997</v>
      </c>
      <c r="V3">
        <v>9.1164000000000005</v>
      </c>
      <c r="W3">
        <v>8.6038999999999994</v>
      </c>
      <c r="X3" s="12">
        <f>(V3-1.4747)/3.2493</f>
        <v>2.3517988489828578</v>
      </c>
      <c r="Y3">
        <v>3.8668</v>
      </c>
      <c r="AC3">
        <v>6.1310000000000002</v>
      </c>
      <c r="AD3">
        <v>1.2648999999999999</v>
      </c>
      <c r="AE3">
        <v>3.8172999999999999</v>
      </c>
      <c r="AF3">
        <v>9.7639999999999993</v>
      </c>
      <c r="AG3">
        <v>1.139</v>
      </c>
      <c r="AH3">
        <v>4.2309999999999999</v>
      </c>
      <c r="AI3">
        <v>15.981</v>
      </c>
      <c r="AJ3">
        <v>2.7486000000000002</v>
      </c>
      <c r="AK3">
        <v>5.9989999999999997</v>
      </c>
      <c r="AL3">
        <v>4.5209999999999999</v>
      </c>
      <c r="AM3">
        <v>8.8094000000000001</v>
      </c>
      <c r="AN3">
        <v>7.8170999999999999</v>
      </c>
      <c r="AO3" s="12">
        <f>(AM3-1.4747)/3.2493</f>
        <v>2.2573169605761243</v>
      </c>
      <c r="AP3">
        <v>3.7513999999999998</v>
      </c>
      <c r="AT3">
        <v>6.1280000000000001</v>
      </c>
      <c r="AU3">
        <v>0.61609999999999998</v>
      </c>
      <c r="AV3">
        <v>3.0173999999999999</v>
      </c>
      <c r="AW3">
        <v>9.7609999999999992</v>
      </c>
      <c r="AX3">
        <v>1.4323999999999999</v>
      </c>
      <c r="AY3">
        <v>5.1700999999999997</v>
      </c>
      <c r="AZ3">
        <v>15.974</v>
      </c>
      <c r="BA3">
        <v>2.8559999999999999</v>
      </c>
      <c r="BB3">
        <v>6.2575000000000003</v>
      </c>
      <c r="BF3" s="12">
        <f>(BD3-1.4747)/3.2493</f>
        <v>-0.45385159880589665</v>
      </c>
      <c r="BG3">
        <v>0.47270000000000001</v>
      </c>
      <c r="BH3">
        <v>4.875</v>
      </c>
      <c r="BI3">
        <v>8.5599999999999996E-2</v>
      </c>
      <c r="BJ3">
        <v>0.3765</v>
      </c>
      <c r="BK3">
        <v>6.125</v>
      </c>
      <c r="BL3">
        <v>0.81610000000000005</v>
      </c>
      <c r="BM3">
        <v>3.5707</v>
      </c>
      <c r="BN3">
        <v>9.7650000000000006</v>
      </c>
      <c r="BO3">
        <v>1.4119999999999999</v>
      </c>
      <c r="BP3">
        <v>5.2652000000000001</v>
      </c>
      <c r="BQ3">
        <v>14.244999999999999</v>
      </c>
      <c r="BR3">
        <v>3.4099999999999998E-2</v>
      </c>
      <c r="BS3">
        <v>6.0699999999999997E-2</v>
      </c>
      <c r="BT3">
        <v>15.991</v>
      </c>
      <c r="BU3">
        <v>1.1543000000000001</v>
      </c>
      <c r="BV3">
        <v>2.4843999999999999</v>
      </c>
      <c r="BW3">
        <v>20.827999999999999</v>
      </c>
      <c r="BX3">
        <v>4.65E-2</v>
      </c>
      <c r="BY3">
        <v>7.5499999999999998E-2</v>
      </c>
      <c r="CC3" s="12">
        <f>(CA3-1.4747)/3.2493</f>
        <v>-0.45385159880589665</v>
      </c>
      <c r="CD3">
        <v>0.53959999999999997</v>
      </c>
      <c r="CE3">
        <v>4.8739999999999997</v>
      </c>
      <c r="CF3">
        <v>0.26340000000000002</v>
      </c>
      <c r="CG3">
        <v>0.41449999999999998</v>
      </c>
      <c r="CH3">
        <v>6.1280000000000001</v>
      </c>
      <c r="CI3">
        <v>0.95409999999999995</v>
      </c>
      <c r="CJ3">
        <v>4.1909000000000001</v>
      </c>
      <c r="CK3">
        <v>9.7639999999999993</v>
      </c>
      <c r="CL3">
        <v>1.3849</v>
      </c>
      <c r="CM3">
        <v>5.1574999999999998</v>
      </c>
      <c r="CN3">
        <v>14.250999999999999</v>
      </c>
      <c r="CO3">
        <v>3.09E-2</v>
      </c>
      <c r="CP3">
        <v>5.0700000000000002E-2</v>
      </c>
      <c r="CQ3">
        <v>15.984</v>
      </c>
      <c r="CR3">
        <v>2.5047999999999999</v>
      </c>
      <c r="CS3">
        <v>5.4676999999999998</v>
      </c>
      <c r="CT3">
        <v>20.827999999999999</v>
      </c>
      <c r="CU3">
        <v>4.9399999999999999E-2</v>
      </c>
      <c r="CV3">
        <v>7.6799999999999993E-2</v>
      </c>
      <c r="CW3">
        <v>4.5339999999999998</v>
      </c>
      <c r="CX3">
        <v>1.1375999999999999</v>
      </c>
      <c r="CY3">
        <v>1.3259000000000001</v>
      </c>
      <c r="CZ3" s="12">
        <v>0</v>
      </c>
      <c r="DA3">
        <v>0.86809999999999998</v>
      </c>
      <c r="DE3">
        <v>6.1340000000000003</v>
      </c>
      <c r="DF3">
        <v>0.58530000000000004</v>
      </c>
      <c r="DG3">
        <v>3.254</v>
      </c>
      <c r="DH3">
        <v>9.7680000000000007</v>
      </c>
      <c r="DI3">
        <v>0.31040000000000001</v>
      </c>
      <c r="DJ3">
        <v>1.1496</v>
      </c>
      <c r="DK3">
        <v>14.191000000000001</v>
      </c>
      <c r="DL3">
        <v>3.3000000000000002E-2</v>
      </c>
      <c r="DM3">
        <v>7.4099999999999999E-2</v>
      </c>
      <c r="DN3">
        <v>15.994</v>
      </c>
      <c r="DO3">
        <v>0.24560000000000001</v>
      </c>
      <c r="DP3">
        <v>0.52370000000000005</v>
      </c>
      <c r="DT3">
        <v>4.5140000000000002</v>
      </c>
      <c r="DU3">
        <v>9.3914000000000009</v>
      </c>
      <c r="DV3">
        <v>8.7445000000000004</v>
      </c>
      <c r="DW3" s="12">
        <f>(DU3-1.4747)/3.2493</f>
        <v>2.4364324623765121</v>
      </c>
      <c r="DX3">
        <v>3.9701</v>
      </c>
      <c r="EB3">
        <v>6.1280000000000001</v>
      </c>
      <c r="EC3">
        <v>0.6925</v>
      </c>
      <c r="ED3">
        <v>3.1392000000000002</v>
      </c>
      <c r="EE3">
        <v>9.7639999999999993</v>
      </c>
      <c r="EF3">
        <v>0.78110000000000002</v>
      </c>
      <c r="EG3">
        <v>3.0110000000000001</v>
      </c>
      <c r="EH3">
        <v>15.988</v>
      </c>
      <c r="EI3">
        <v>1.8655999999999999</v>
      </c>
      <c r="EJ3">
        <v>4.0399000000000003</v>
      </c>
      <c r="EK3">
        <v>4.508</v>
      </c>
      <c r="EL3">
        <v>7.4751000000000003</v>
      </c>
      <c r="EM3">
        <v>7.1837999999999997</v>
      </c>
      <c r="EN3" s="12">
        <f>(EL3-1.4747)/3.2493</f>
        <v>1.8466746683901152</v>
      </c>
      <c r="EO3">
        <v>3.2498999999999998</v>
      </c>
      <c r="ES3">
        <v>6.1310000000000002</v>
      </c>
      <c r="ET3">
        <v>1.1304000000000001</v>
      </c>
      <c r="EU3">
        <v>3.7801</v>
      </c>
      <c r="EV3">
        <v>9.7639999999999993</v>
      </c>
      <c r="EW3">
        <v>0.91359999999999997</v>
      </c>
      <c r="EX3">
        <v>3.3919999999999999</v>
      </c>
      <c r="EY3">
        <v>15.988</v>
      </c>
      <c r="EZ3">
        <v>1.9775</v>
      </c>
      <c r="FA3">
        <v>4.2851999999999997</v>
      </c>
      <c r="FB3">
        <v>20.794</v>
      </c>
      <c r="FC3">
        <v>6.2199999999999998E-2</v>
      </c>
      <c r="FD3">
        <v>0.1002</v>
      </c>
      <c r="FE3">
        <v>4.508</v>
      </c>
      <c r="FF3">
        <v>9.8374000000000006</v>
      </c>
      <c r="FG3">
        <v>9.7593999999999994</v>
      </c>
      <c r="FH3" s="12">
        <f>(FF3-1.4747)/3.2493</f>
        <v>2.5736927953713109</v>
      </c>
      <c r="FI3">
        <v>4.1376999999999997</v>
      </c>
      <c r="FM3">
        <v>6.1280000000000001</v>
      </c>
      <c r="FN3">
        <v>8944</v>
      </c>
      <c r="FO3">
        <v>3.5838999999999999</v>
      </c>
      <c r="FP3">
        <v>9.7639999999999993</v>
      </c>
      <c r="FQ3">
        <v>0.78110000000000002</v>
      </c>
      <c r="FR3">
        <v>2.8978000000000002</v>
      </c>
      <c r="FS3">
        <v>15.984</v>
      </c>
      <c r="FT3">
        <v>2.0747</v>
      </c>
      <c r="FU3">
        <v>4.5084999999999997</v>
      </c>
      <c r="FV3">
        <v>4.4980000000000002</v>
      </c>
      <c r="FW3">
        <v>2.5716000000000001</v>
      </c>
      <c r="FX3">
        <v>1.9430000000000001</v>
      </c>
      <c r="FY3" s="12">
        <f>(FW3-1.4747)/3.2493</f>
        <v>0.33758040193272404</v>
      </c>
      <c r="FZ3">
        <v>1.4071</v>
      </c>
      <c r="GD3">
        <v>6.1280000000000001</v>
      </c>
      <c r="GE3">
        <v>0.83360000000000001</v>
      </c>
      <c r="GF3">
        <v>3.4312</v>
      </c>
      <c r="GG3">
        <v>9.7609999999999992</v>
      </c>
      <c r="GH3">
        <v>1.7729999999999999</v>
      </c>
      <c r="GI3">
        <v>6.6535000000000002</v>
      </c>
      <c r="GJ3">
        <v>14.211</v>
      </c>
      <c r="GK3">
        <v>3.5200000000000002E-2</v>
      </c>
      <c r="GL3">
        <v>7.7499999999999999E-2</v>
      </c>
      <c r="GM3">
        <v>15.991</v>
      </c>
      <c r="GN3">
        <v>0.25390000000000001</v>
      </c>
      <c r="GO3">
        <v>0.53739999999999999</v>
      </c>
      <c r="GP3">
        <v>4.4980000000000002</v>
      </c>
      <c r="GQ3">
        <v>11.310600000000001</v>
      </c>
      <c r="GR3">
        <v>12.044700000000001</v>
      </c>
      <c r="GS3" s="12">
        <f>(GQ3-1.4747)/3.2493</f>
        <v>3.0270827562859695</v>
      </c>
      <c r="GT3">
        <v>4.6913999999999998</v>
      </c>
      <c r="GX3">
        <v>6.1280000000000001</v>
      </c>
      <c r="GY3">
        <v>0.96819999999999995</v>
      </c>
      <c r="GZ3">
        <v>2.9380000000000002</v>
      </c>
      <c r="HA3">
        <v>9.7650000000000006</v>
      </c>
      <c r="HB3">
        <v>0.26819999999999999</v>
      </c>
      <c r="HC3">
        <v>0.98199999999999998</v>
      </c>
      <c r="HD3">
        <v>15.984999999999999</v>
      </c>
      <c r="HE3">
        <v>1.7869999999999999</v>
      </c>
      <c r="HF3">
        <v>3.8708</v>
      </c>
      <c r="HG3">
        <v>4.4909999999999997</v>
      </c>
      <c r="HH3">
        <v>9.2417999999999996</v>
      </c>
      <c r="HI3">
        <v>9.9161999999999999</v>
      </c>
      <c r="HJ3" s="12">
        <f>(HH3-1.4747)/3.2493</f>
        <v>2.3903917766903637</v>
      </c>
      <c r="HK3">
        <v>3.9138999999999999</v>
      </c>
      <c r="HO3">
        <v>6.1280000000000001</v>
      </c>
      <c r="HP3">
        <v>1.0158</v>
      </c>
      <c r="HQ3">
        <v>2.7475999999999998</v>
      </c>
      <c r="HR3">
        <v>9.7650000000000006</v>
      </c>
      <c r="HS3">
        <v>1.0057</v>
      </c>
      <c r="HT3">
        <v>3.7418</v>
      </c>
      <c r="HU3">
        <v>15.988</v>
      </c>
      <c r="HV3">
        <v>1.6356999999999999</v>
      </c>
      <c r="HW3">
        <v>3.5379</v>
      </c>
      <c r="IA3">
        <v>4.4880000000000004</v>
      </c>
      <c r="IB3">
        <v>9.8289000000000009</v>
      </c>
      <c r="IC3">
        <v>10.1029</v>
      </c>
      <c r="ID3" s="12">
        <f>(IB3-1.4747)/3.2493</f>
        <v>2.5710768473209615</v>
      </c>
      <c r="IE3">
        <v>4.1345999999999998</v>
      </c>
      <c r="II3">
        <v>6.1280000000000001</v>
      </c>
      <c r="IJ3">
        <v>0.8196</v>
      </c>
      <c r="IK3">
        <v>2.4232999999999998</v>
      </c>
      <c r="IL3" t="s">
        <v>1609</v>
      </c>
      <c r="IO3">
        <v>9.7639999999999993</v>
      </c>
      <c r="IP3">
        <v>0.93720000000000003</v>
      </c>
      <c r="IQ3">
        <v>3.4940000000000002</v>
      </c>
      <c r="IR3">
        <v>15.981</v>
      </c>
      <c r="IS3">
        <v>2.8887999999999998</v>
      </c>
      <c r="IT3">
        <v>6.3308</v>
      </c>
      <c r="IU3">
        <v>20.811</v>
      </c>
      <c r="IV3">
        <v>3.6900000000000002E-2</v>
      </c>
      <c r="IW3">
        <v>5.8299999999999998E-2</v>
      </c>
      <c r="IX3">
        <v>4.4779999999999998</v>
      </c>
      <c r="IY3">
        <v>8.3192000000000004</v>
      </c>
      <c r="IZ3">
        <v>8.7775999999999996</v>
      </c>
      <c r="JA3" s="12">
        <f>(IY3-1.4747)/3.2493</f>
        <v>2.106453697719509</v>
      </c>
      <c r="JB3">
        <v>3.5672000000000001</v>
      </c>
      <c r="JC3">
        <v>6.1280000000000001</v>
      </c>
      <c r="JD3">
        <v>0.85329999999999995</v>
      </c>
      <c r="JE3">
        <v>2.8048000000000002</v>
      </c>
      <c r="JF3" t="s">
        <v>320</v>
      </c>
      <c r="JI3">
        <v>9.7609999999999992</v>
      </c>
      <c r="JJ3">
        <v>1.0987</v>
      </c>
      <c r="JK3">
        <v>4.0933000000000002</v>
      </c>
      <c r="JL3">
        <v>15.981</v>
      </c>
      <c r="JM3">
        <v>2.4620000000000002</v>
      </c>
      <c r="JN3">
        <v>5.3703000000000003</v>
      </c>
      <c r="JO3">
        <v>20.788</v>
      </c>
      <c r="JP3">
        <v>4.2599999999999999E-2</v>
      </c>
      <c r="JQ3">
        <v>6.6600000000000006E-2</v>
      </c>
      <c r="JR3">
        <v>4.4779999999999998</v>
      </c>
      <c r="JS3">
        <v>8.7711000000000006</v>
      </c>
      <c r="JT3">
        <v>9.4007000000000005</v>
      </c>
      <c r="JU3" s="12">
        <f>(JS3-1.4747)/3.2493</f>
        <v>2.2455298064198446</v>
      </c>
      <c r="JV3">
        <v>3.7370000000000001</v>
      </c>
      <c r="JW3">
        <v>6.1280000000000001</v>
      </c>
      <c r="JX3">
        <v>0.71230000000000004</v>
      </c>
      <c r="JY3">
        <v>2.5173000000000001</v>
      </c>
      <c r="JZ3">
        <v>9.7650000000000006</v>
      </c>
      <c r="KA3">
        <v>0.78</v>
      </c>
      <c r="KB3">
        <v>2.8925999999999998</v>
      </c>
      <c r="KC3">
        <v>15.984999999999999</v>
      </c>
      <c r="KD3">
        <v>1.8321000000000001</v>
      </c>
      <c r="KE3">
        <v>3.976</v>
      </c>
      <c r="KF3">
        <v>20.765000000000001</v>
      </c>
      <c r="KG3">
        <v>5.8900000000000001E-2</v>
      </c>
      <c r="KH3">
        <v>9.7199999999999995E-2</v>
      </c>
      <c r="KI3">
        <v>4.4740000000000002</v>
      </c>
      <c r="KJ3">
        <v>9.7322000000000006</v>
      </c>
      <c r="KK3">
        <v>10.8118</v>
      </c>
      <c r="KL3" s="12">
        <f>(KJ3-1.4747)/3.2493</f>
        <v>2.5413165912658111</v>
      </c>
      <c r="KM3">
        <v>4.0982000000000003</v>
      </c>
      <c r="KN3">
        <v>6.1280000000000001</v>
      </c>
      <c r="KO3">
        <v>0.89180000000000004</v>
      </c>
      <c r="KP3">
        <v>3.1951000000000001</v>
      </c>
      <c r="KQ3">
        <v>9.7609999999999992</v>
      </c>
      <c r="KR3">
        <v>1.0489999999999999</v>
      </c>
      <c r="KS3">
        <v>3.9687999999999999</v>
      </c>
      <c r="KT3">
        <v>15.984</v>
      </c>
      <c r="KU3">
        <v>1.6007</v>
      </c>
      <c r="KV3">
        <v>3.4742999999999999</v>
      </c>
      <c r="KW3">
        <v>4.4649999999999999</v>
      </c>
      <c r="KX3">
        <v>9.3984000000000005</v>
      </c>
      <c r="KY3">
        <v>10.358499999999999</v>
      </c>
      <c r="KZ3" s="12">
        <f>(KX3-1.4747)/3.2493</f>
        <v>2.4385867725356234</v>
      </c>
      <c r="LA3">
        <v>3.9727999999999999</v>
      </c>
      <c r="LB3">
        <v>6.1280000000000001</v>
      </c>
      <c r="LC3">
        <v>0.77239999999999998</v>
      </c>
      <c r="LD3">
        <v>2.8237999999999999</v>
      </c>
      <c r="LE3">
        <v>9.7609999999999992</v>
      </c>
      <c r="LF3">
        <v>1.0664</v>
      </c>
      <c r="LG3">
        <v>3.9255</v>
      </c>
      <c r="LH3">
        <v>15.981</v>
      </c>
      <c r="LI3">
        <v>2.4903</v>
      </c>
      <c r="LJ3">
        <v>5.4366000000000003</v>
      </c>
      <c r="LK3">
        <v>20.760999999999999</v>
      </c>
      <c r="LL3">
        <v>4.6600000000000003E-2</v>
      </c>
      <c r="LM3">
        <v>7.7299999999999994E-2</v>
      </c>
      <c r="LN3">
        <v>4.4649999999999999</v>
      </c>
      <c r="LO3">
        <v>9.9108000000000001</v>
      </c>
      <c r="LP3">
        <v>11.1609</v>
      </c>
      <c r="LQ3" s="12">
        <f>(LO3-1.4747)/3.2493</f>
        <v>2.5962822761825626</v>
      </c>
      <c r="LR3">
        <v>4.1653000000000002</v>
      </c>
      <c r="LS3">
        <v>6.1310000000000002</v>
      </c>
      <c r="LT3">
        <v>1.1013999999999999</v>
      </c>
      <c r="LU3">
        <v>4.2390999999999996</v>
      </c>
      <c r="LV3">
        <v>9.7650000000000006</v>
      </c>
      <c r="LW3">
        <v>0.78220000000000001</v>
      </c>
      <c r="LX3">
        <v>2.8614000000000002</v>
      </c>
      <c r="LY3">
        <v>15.961</v>
      </c>
      <c r="LZ3">
        <v>5.7331000000000003</v>
      </c>
      <c r="MA3">
        <v>12.8231</v>
      </c>
      <c r="MB3">
        <v>20.754999999999999</v>
      </c>
      <c r="MC3">
        <v>7.5600000000000001E-2</v>
      </c>
      <c r="MD3">
        <v>0.1236</v>
      </c>
      <c r="ME3">
        <v>4.8710000000000004</v>
      </c>
      <c r="MF3">
        <v>4.5900000000000003E-2</v>
      </c>
      <c r="MG3">
        <v>0.26750000000000002</v>
      </c>
      <c r="MH3" s="12">
        <f>(MF3-1.4747)/3.2493</f>
        <v>-0.43972547933401035</v>
      </c>
      <c r="MI3">
        <v>0.45779999999999998</v>
      </c>
      <c r="MJ3">
        <v>6.125</v>
      </c>
      <c r="MK3">
        <v>0.84319999999999995</v>
      </c>
      <c r="ML3">
        <v>2.7296</v>
      </c>
      <c r="MM3">
        <v>9.7609999999999992</v>
      </c>
      <c r="MN3">
        <v>0.96130000000000004</v>
      </c>
      <c r="MO3">
        <v>3.5579999999999998</v>
      </c>
      <c r="MP3">
        <v>15.988</v>
      </c>
      <c r="MQ3">
        <v>1.1883999999999999</v>
      </c>
      <c r="MR3">
        <v>2.5459999999999998</v>
      </c>
      <c r="MS3">
        <v>20.788</v>
      </c>
      <c r="MT3">
        <v>5.2699999999999997E-2</v>
      </c>
      <c r="MU3">
        <v>8.4099999999999994E-2</v>
      </c>
      <c r="MV3">
        <v>4.8780000000000001</v>
      </c>
      <c r="MW3">
        <v>4.7500000000000001E-2</v>
      </c>
      <c r="MX3">
        <v>0.24940000000000001</v>
      </c>
      <c r="MY3" s="12">
        <f>(MW3-1.4747)/3.2493</f>
        <v>-0.4392330655833564</v>
      </c>
      <c r="MZ3">
        <v>0.45839999999999997</v>
      </c>
      <c r="NA3">
        <v>6.1280000000000001</v>
      </c>
      <c r="NB3">
        <v>0.74609999999999999</v>
      </c>
      <c r="NC3">
        <v>1.7282999999999999</v>
      </c>
      <c r="ND3">
        <v>9.7680000000000007</v>
      </c>
      <c r="NE3">
        <v>0.37859999999999999</v>
      </c>
      <c r="NF3">
        <v>1.3903000000000001</v>
      </c>
      <c r="NG3">
        <v>15.991</v>
      </c>
      <c r="NH3">
        <v>1.1112</v>
      </c>
      <c r="NI3">
        <v>2.3919000000000001</v>
      </c>
      <c r="NJ3">
        <v>20.771000000000001</v>
      </c>
      <c r="NK3">
        <v>4.3900000000000002E-2</v>
      </c>
      <c r="NL3">
        <v>7.0499999999999993E-2</v>
      </c>
      <c r="NO3" s="12">
        <f>(FH3+EN3+DW3)/3</f>
        <v>2.2855999753793128</v>
      </c>
      <c r="NP3" s="12">
        <f>(GS3+HJ3)/2</f>
        <v>2.7087372664881668</v>
      </c>
      <c r="NQ3" s="12">
        <f>(G3+X3+AO3)/3</f>
        <v>2.675253131443696</v>
      </c>
      <c r="NR3" s="12">
        <f>(ID3+JA3)/2</f>
        <v>2.3387652725202352</v>
      </c>
      <c r="NS3" s="12">
        <f>(LQ3+KZ3)/2</f>
        <v>2.5174345243590928</v>
      </c>
    </row>
    <row r="4" spans="1:383">
      <c r="A4" t="s">
        <v>1592</v>
      </c>
      <c r="B4" s="14">
        <v>44694</v>
      </c>
      <c r="C4" s="12">
        <v>134</v>
      </c>
      <c r="D4">
        <v>4.4450000000000003</v>
      </c>
      <c r="E4">
        <v>15.4657</v>
      </c>
      <c r="F4">
        <v>18.601199999999999</v>
      </c>
      <c r="G4" s="12">
        <f>(E4-1.4747)/3.2493</f>
        <v>4.305850490874958</v>
      </c>
      <c r="H4">
        <v>6.2530000000000001</v>
      </c>
      <c r="L4">
        <v>6.2409999999999997</v>
      </c>
      <c r="M4">
        <v>1.4225000000000001</v>
      </c>
      <c r="N4">
        <v>4.4173999999999998</v>
      </c>
      <c r="O4">
        <v>9.7680000000000007</v>
      </c>
      <c r="P4">
        <v>0.47960000000000003</v>
      </c>
      <c r="Q4">
        <v>1.7797000000000001</v>
      </c>
      <c r="R4">
        <v>15.984999999999999</v>
      </c>
      <c r="S4">
        <v>0.6351</v>
      </c>
      <c r="T4">
        <v>1.3513999999999999</v>
      </c>
      <c r="U4">
        <v>4.4379999999999997</v>
      </c>
      <c r="V4">
        <v>15.7174</v>
      </c>
      <c r="W4">
        <v>19.1173</v>
      </c>
      <c r="X4" s="12">
        <f>(V4-1.4747)/3.2493</f>
        <v>4.3833133290247126</v>
      </c>
      <c r="Y4">
        <v>6.3475999999999999</v>
      </c>
      <c r="AC4">
        <v>6.2409999999999997</v>
      </c>
      <c r="AD4">
        <v>1.5044</v>
      </c>
      <c r="AE4">
        <v>4.4539</v>
      </c>
      <c r="AF4">
        <v>9.7650000000000006</v>
      </c>
      <c r="AG4">
        <v>0.36280000000000001</v>
      </c>
      <c r="AH4">
        <v>1.369</v>
      </c>
      <c r="AI4">
        <v>15.981</v>
      </c>
      <c r="AJ4">
        <v>0.6462</v>
      </c>
      <c r="AK4">
        <v>1.3689</v>
      </c>
      <c r="AL4">
        <v>4.4340000000000002</v>
      </c>
      <c r="AM4">
        <v>14.9733</v>
      </c>
      <c r="AN4">
        <v>18.657599999999999</v>
      </c>
      <c r="AO4" s="12">
        <f>(AM4-1.4747)/3.2493</f>
        <v>4.1543101591111933</v>
      </c>
      <c r="AP4">
        <v>6.0679999999999996</v>
      </c>
      <c r="AT4">
        <v>6.2409999999999997</v>
      </c>
      <c r="AU4">
        <v>1.5121</v>
      </c>
      <c r="AV4">
        <v>4.3710000000000004</v>
      </c>
      <c r="AW4">
        <v>9.7680000000000007</v>
      </c>
      <c r="AX4">
        <v>0.41810000000000003</v>
      </c>
      <c r="AY4">
        <v>1.573</v>
      </c>
      <c r="AZ4">
        <v>15.978</v>
      </c>
      <c r="BA4">
        <v>0.60519999999999996</v>
      </c>
      <c r="BB4">
        <v>1.2821</v>
      </c>
      <c r="BC4">
        <v>4.4409999999999998</v>
      </c>
      <c r="BD4">
        <v>0.3579</v>
      </c>
      <c r="BE4">
        <v>0.35389999999999999</v>
      </c>
      <c r="BF4" s="12">
        <f>(BD4-1.4747)/3.2493</f>
        <v>-0.34370479795648295</v>
      </c>
      <c r="BG4">
        <v>0.57509999999999994</v>
      </c>
      <c r="BH4" t="s">
        <v>1644</v>
      </c>
      <c r="BK4">
        <v>6.2409999999999997</v>
      </c>
      <c r="BL4">
        <v>2.9575</v>
      </c>
      <c r="BM4">
        <v>11.704599999999999</v>
      </c>
      <c r="BN4">
        <v>7.2380000000000004</v>
      </c>
      <c r="BO4">
        <v>0.27510000000000001</v>
      </c>
      <c r="BP4">
        <v>1.2056</v>
      </c>
      <c r="BQ4">
        <v>9.7650000000000006</v>
      </c>
      <c r="BR4">
        <v>0.58320000000000005</v>
      </c>
      <c r="BS4">
        <v>2.0299999999999998</v>
      </c>
      <c r="BT4">
        <v>15.978</v>
      </c>
      <c r="BU4">
        <v>0.3916</v>
      </c>
      <c r="BV4">
        <v>0.83199999999999996</v>
      </c>
      <c r="BW4" t="s">
        <v>320</v>
      </c>
      <c r="BZ4">
        <v>4.4610000000000003</v>
      </c>
      <c r="CA4">
        <v>0.3165</v>
      </c>
      <c r="CB4">
        <v>0.27760000000000001</v>
      </c>
      <c r="CC4" s="12">
        <f>(CA4-1.4747)/3.2493</f>
        <v>-0.35644600375465485</v>
      </c>
      <c r="CD4">
        <v>0.5595</v>
      </c>
      <c r="CH4">
        <v>6.2409999999999997</v>
      </c>
      <c r="CI4">
        <v>1.6498999999999999</v>
      </c>
      <c r="CJ4">
        <v>0.57550000000000001</v>
      </c>
      <c r="CK4">
        <v>7.2380000000000004</v>
      </c>
      <c r="CL4">
        <v>0.19600000000000001</v>
      </c>
      <c r="CM4">
        <v>0.85880000000000001</v>
      </c>
      <c r="CN4">
        <v>9.7639999999999993</v>
      </c>
      <c r="CO4">
        <v>0.50690000000000002</v>
      </c>
      <c r="CP4">
        <v>1.7686999999999999</v>
      </c>
      <c r="CQ4">
        <v>15.981</v>
      </c>
      <c r="CR4">
        <v>0.2298</v>
      </c>
      <c r="CS4">
        <v>0.48959999999999998</v>
      </c>
      <c r="CT4" t="s">
        <v>320</v>
      </c>
      <c r="CW4">
        <v>4.4109999999999996</v>
      </c>
      <c r="CX4">
        <v>0.51480000000000004</v>
      </c>
      <c r="CY4">
        <v>2.4996</v>
      </c>
      <c r="CZ4" s="12">
        <v>0</v>
      </c>
      <c r="DA4">
        <v>1.3856999999999999</v>
      </c>
      <c r="DE4">
        <v>6.141</v>
      </c>
      <c r="DF4">
        <v>0.97260000000000002</v>
      </c>
      <c r="DG4">
        <v>2.2559</v>
      </c>
      <c r="DH4">
        <v>9.7509999999999994</v>
      </c>
      <c r="DI4">
        <v>0.64029999999999998</v>
      </c>
      <c r="DJ4">
        <v>2.3555000000000001</v>
      </c>
      <c r="DN4">
        <v>15.981</v>
      </c>
      <c r="DO4">
        <v>0.22009999999999999</v>
      </c>
      <c r="DP4">
        <v>0.4662</v>
      </c>
      <c r="DT4" s="9">
        <v>4.4379999999999997</v>
      </c>
      <c r="DU4" s="9">
        <v>10.2248</v>
      </c>
      <c r="DV4" s="9">
        <v>13.835599999999999</v>
      </c>
      <c r="DW4" s="12">
        <f>(DU4-1.4747)/3.2493</f>
        <v>2.6929184747484074</v>
      </c>
      <c r="DX4" t="s">
        <v>1661</v>
      </c>
      <c r="DY4">
        <v>4.9009999999999998</v>
      </c>
      <c r="DZ4">
        <v>3.2229999999999999</v>
      </c>
      <c r="EA4">
        <v>12.1591</v>
      </c>
      <c r="EB4">
        <v>6.1550000000000002</v>
      </c>
      <c r="EC4">
        <v>0.56969999999999998</v>
      </c>
      <c r="ED4">
        <v>2.4266000000000001</v>
      </c>
      <c r="EE4">
        <v>9.7550000000000008</v>
      </c>
      <c r="EF4">
        <v>0.47920000000000001</v>
      </c>
      <c r="EG4">
        <v>1.76</v>
      </c>
      <c r="EH4">
        <v>15.984999999999999</v>
      </c>
      <c r="EI4">
        <v>0.71399999999999997</v>
      </c>
      <c r="EJ4">
        <v>1.5343</v>
      </c>
      <c r="EK4">
        <v>4.4349999999999996</v>
      </c>
      <c r="EL4">
        <v>8.9762000000000004</v>
      </c>
      <c r="EM4">
        <v>12.374000000000001</v>
      </c>
      <c r="EN4" s="12">
        <f>(EL4-1.4747)/3.2493</f>
        <v>2.3086510940818021</v>
      </c>
      <c r="EO4" t="s">
        <v>1610</v>
      </c>
      <c r="EP4">
        <v>4.9210000000000003</v>
      </c>
      <c r="EQ4">
        <v>6.3905000000000003</v>
      </c>
      <c r="ER4">
        <v>25.442499999999999</v>
      </c>
      <c r="ES4" t="s">
        <v>1611</v>
      </c>
      <c r="ET4" t="s">
        <v>1612</v>
      </c>
      <c r="EU4" t="s">
        <v>1613</v>
      </c>
      <c r="EV4">
        <v>9.7509999999999994</v>
      </c>
      <c r="EW4">
        <v>0.42609999999999998</v>
      </c>
      <c r="EX4">
        <v>1.5590999999999999</v>
      </c>
      <c r="EY4">
        <v>15.984999999999999</v>
      </c>
      <c r="EZ4">
        <v>0.74309999999999998</v>
      </c>
      <c r="FA4">
        <v>1.5931999999999999</v>
      </c>
      <c r="FE4">
        <v>4.431</v>
      </c>
      <c r="FF4">
        <v>11.501799999999999</v>
      </c>
      <c r="FG4">
        <v>15.144</v>
      </c>
      <c r="FH4" s="12">
        <f>(FF4-1.4747)/3.2493</f>
        <v>3.0859261994891205</v>
      </c>
      <c r="FI4">
        <v>4.7633000000000001</v>
      </c>
      <c r="FJ4">
        <v>4.8810000000000002</v>
      </c>
      <c r="FK4">
        <v>0.22359999999999999</v>
      </c>
      <c r="FL4">
        <v>1.351</v>
      </c>
      <c r="FM4">
        <v>6.1580000000000004</v>
      </c>
      <c r="FN4">
        <v>0.57550000000000001</v>
      </c>
      <c r="FO4">
        <v>2.3950999999999998</v>
      </c>
      <c r="FP4">
        <v>9.7539999999999996</v>
      </c>
      <c r="FQ4">
        <v>0.498</v>
      </c>
      <c r="FR4">
        <v>1.8233999999999999</v>
      </c>
      <c r="FS4">
        <v>15.984</v>
      </c>
      <c r="FT4">
        <v>0.83420000000000005</v>
      </c>
      <c r="FU4">
        <v>1.8024</v>
      </c>
      <c r="FV4" s="479">
        <v>4.4109999999999996</v>
      </c>
      <c r="FW4" s="479">
        <v>0.68189999999999995</v>
      </c>
      <c r="FX4" s="479">
        <v>0.83299999999999996</v>
      </c>
      <c r="FY4" s="12">
        <v>0</v>
      </c>
      <c r="FZ4" s="479" t="s">
        <v>1610</v>
      </c>
      <c r="GA4">
        <v>4.8840000000000003</v>
      </c>
      <c r="GB4">
        <v>1.6688000000000001</v>
      </c>
      <c r="GC4">
        <v>8.8183000000000007</v>
      </c>
      <c r="GD4" t="s">
        <v>1614</v>
      </c>
      <c r="GE4" t="s">
        <v>1615</v>
      </c>
      <c r="GF4" t="s">
        <v>1616</v>
      </c>
      <c r="GG4">
        <v>9.7539999999999996</v>
      </c>
      <c r="GH4">
        <v>0.60199999999999998</v>
      </c>
      <c r="GI4">
        <v>2.2067000000000001</v>
      </c>
      <c r="GM4">
        <v>15.997999999999999</v>
      </c>
      <c r="GN4">
        <v>0.1482</v>
      </c>
      <c r="GO4">
        <v>0.307</v>
      </c>
      <c r="GP4">
        <v>4.4379999999999997</v>
      </c>
      <c r="GQ4">
        <v>15.595499999999999</v>
      </c>
      <c r="GR4">
        <v>22.9284</v>
      </c>
      <c r="GS4" s="12">
        <f>(GQ4-1.4747)/3.2493</f>
        <v>4.3457975563967626</v>
      </c>
      <c r="GT4">
        <v>6.3018000000000001</v>
      </c>
      <c r="GU4">
        <v>4.9009999999999998</v>
      </c>
      <c r="GV4">
        <v>2.6339999999999999</v>
      </c>
      <c r="GW4">
        <v>9.4209999999999994</v>
      </c>
      <c r="GX4" t="s">
        <v>1617</v>
      </c>
      <c r="GY4" t="s">
        <v>1618</v>
      </c>
      <c r="GZ4" t="s">
        <v>1619</v>
      </c>
      <c r="HA4">
        <v>9.7539999999999996</v>
      </c>
      <c r="HB4">
        <v>1.0048999999999999</v>
      </c>
      <c r="HC4">
        <v>2.1078000000000001</v>
      </c>
      <c r="HD4">
        <v>15.981</v>
      </c>
      <c r="HE4">
        <v>1.5283</v>
      </c>
      <c r="HF4">
        <v>3.3140999999999998</v>
      </c>
      <c r="HG4">
        <v>4.4240000000000004</v>
      </c>
      <c r="HH4">
        <v>12.1539</v>
      </c>
      <c r="HI4">
        <v>16.903500000000001</v>
      </c>
      <c r="HJ4" s="12">
        <f>(HH4-1.4747)/3.2493</f>
        <v>3.2866155787400362</v>
      </c>
      <c r="HK4" t="s">
        <v>182</v>
      </c>
      <c r="HL4">
        <v>4.9109999999999996</v>
      </c>
      <c r="HM4">
        <v>3.9672000000000001</v>
      </c>
      <c r="HN4">
        <v>18.182300000000001</v>
      </c>
      <c r="HO4">
        <v>6.1479999999999997</v>
      </c>
      <c r="HP4">
        <v>0.40899999999999997</v>
      </c>
      <c r="HQ4">
        <v>1.903</v>
      </c>
      <c r="HR4">
        <v>9.7509999999999994</v>
      </c>
      <c r="HS4">
        <v>2.93E-2</v>
      </c>
      <c r="HT4">
        <v>1.6958</v>
      </c>
      <c r="HU4">
        <v>15.984</v>
      </c>
      <c r="HV4">
        <v>0.61019999999999996</v>
      </c>
      <c r="HW4">
        <v>1.3050999999999999</v>
      </c>
      <c r="HX4">
        <v>20.780999999999999</v>
      </c>
      <c r="HY4">
        <v>4.2900000000000001E-2</v>
      </c>
      <c r="HZ4">
        <v>6.3500000000000001E-2</v>
      </c>
      <c r="IA4">
        <v>4.4210000000000003</v>
      </c>
      <c r="IB4">
        <v>12.100300000000001</v>
      </c>
      <c r="IC4">
        <v>16.374600000000001</v>
      </c>
      <c r="ID4" s="12">
        <f>(IB4-1.4747)/3.2493</f>
        <v>3.2701197180931278</v>
      </c>
      <c r="IE4">
        <v>4.9882</v>
      </c>
      <c r="IF4">
        <v>4.8609999999999998</v>
      </c>
      <c r="IG4">
        <v>0.27629999999999999</v>
      </c>
      <c r="IH4">
        <v>1.8193999999999999</v>
      </c>
      <c r="II4">
        <v>6.1580000000000004</v>
      </c>
      <c r="IJ4">
        <v>0.5</v>
      </c>
      <c r="IK4">
        <v>2.0411999999999999</v>
      </c>
      <c r="IL4">
        <v>7.2039999999999997</v>
      </c>
      <c r="IM4">
        <v>0.43480000000000002</v>
      </c>
      <c r="IN4">
        <v>0.53669999999999995</v>
      </c>
      <c r="IO4">
        <v>9.7539999999999996</v>
      </c>
      <c r="IP4">
        <v>0.39100000000000001</v>
      </c>
      <c r="IQ4">
        <v>1.4255</v>
      </c>
      <c r="IR4">
        <v>15.984</v>
      </c>
      <c r="IS4">
        <v>0.77180000000000004</v>
      </c>
      <c r="IT4">
        <v>1.6497999999999999</v>
      </c>
      <c r="IX4">
        <v>4.4210000000000003</v>
      </c>
      <c r="IY4">
        <v>10.749599999999999</v>
      </c>
      <c r="IZ4">
        <v>15.8574</v>
      </c>
      <c r="JA4" s="12">
        <f>(IY4-1.4747)/3.2493</f>
        <v>2.854430184962915</v>
      </c>
      <c r="JB4">
        <v>4.4805999999999999</v>
      </c>
      <c r="JC4">
        <v>6.1580000000000004</v>
      </c>
      <c r="JD4">
        <v>0.52229999999999999</v>
      </c>
      <c r="JE4">
        <v>2.1095999999999999</v>
      </c>
      <c r="JF4">
        <v>7.2080000000000002</v>
      </c>
      <c r="JG4">
        <v>0.30680000000000002</v>
      </c>
      <c r="JH4">
        <v>0.1535</v>
      </c>
      <c r="JI4">
        <v>9.7550000000000008</v>
      </c>
      <c r="JJ4">
        <v>2.6599999999999999E-2</v>
      </c>
      <c r="JK4">
        <v>1.6807000000000001</v>
      </c>
      <c r="JL4">
        <v>15.984999999999999</v>
      </c>
      <c r="JM4">
        <v>0.71409999999999996</v>
      </c>
      <c r="JN4">
        <v>1.5328999999999999</v>
      </c>
      <c r="JR4">
        <v>4.4180000000000001</v>
      </c>
      <c r="JS4">
        <v>10.6425</v>
      </c>
      <c r="JT4">
        <v>15.9771</v>
      </c>
      <c r="JU4" s="12">
        <f>(JS4-1.4747)/3.2493</f>
        <v>2.8214692395285139</v>
      </c>
      <c r="JV4">
        <v>4.4402999999999997</v>
      </c>
      <c r="JW4">
        <v>6.1210000000000004</v>
      </c>
      <c r="JX4">
        <v>0.5766</v>
      </c>
      <c r="JY4">
        <v>2.9073000000000002</v>
      </c>
      <c r="JZ4">
        <v>9.7509999999999994</v>
      </c>
      <c r="KA4">
        <v>1.2944</v>
      </c>
      <c r="KB4">
        <v>4.8605</v>
      </c>
      <c r="KC4">
        <v>15.975</v>
      </c>
      <c r="KD4">
        <v>1.4265000000000001</v>
      </c>
      <c r="KE4">
        <v>3.0947</v>
      </c>
      <c r="KI4">
        <v>4.4210000000000003</v>
      </c>
      <c r="KJ4">
        <v>12.5853</v>
      </c>
      <c r="KK4">
        <v>19.3733</v>
      </c>
      <c r="KL4" s="12">
        <f>(KJ4-1.4747)/3.2493</f>
        <v>3.4193826362601176</v>
      </c>
      <c r="KM4">
        <v>5.1704999999999997</v>
      </c>
      <c r="KN4" t="s">
        <v>1620</v>
      </c>
      <c r="KO4" t="s">
        <v>1621</v>
      </c>
      <c r="KP4" t="s">
        <v>1622</v>
      </c>
      <c r="KQ4">
        <v>9.7539999999999996</v>
      </c>
      <c r="KR4">
        <v>1.5382</v>
      </c>
      <c r="KS4">
        <v>5.7629999999999999</v>
      </c>
      <c r="KT4">
        <v>15.974</v>
      </c>
      <c r="KU4">
        <v>1.4071</v>
      </c>
      <c r="KV4">
        <v>3.0415000000000001</v>
      </c>
      <c r="KW4">
        <v>4.415</v>
      </c>
      <c r="KX4">
        <v>10.9884</v>
      </c>
      <c r="KY4">
        <v>16.858899999999998</v>
      </c>
      <c r="KZ4" s="12">
        <f>(KX4-1.4747)/3.2493</f>
        <v>2.9279229372480229</v>
      </c>
      <c r="LA4">
        <v>4.5702999999999996</v>
      </c>
      <c r="LB4" t="s">
        <v>1623</v>
      </c>
      <c r="LC4" t="s">
        <v>1624</v>
      </c>
      <c r="LD4" t="s">
        <v>1625</v>
      </c>
      <c r="LE4">
        <v>9.7550000000000008</v>
      </c>
      <c r="LF4">
        <v>0.97270000000000001</v>
      </c>
      <c r="LG4">
        <v>4.7422000000000004</v>
      </c>
      <c r="LH4">
        <v>15.975</v>
      </c>
      <c r="LI4">
        <v>1.5118</v>
      </c>
      <c r="LJ4">
        <v>3.2827000000000002</v>
      </c>
      <c r="LK4">
        <v>20.780999999999999</v>
      </c>
      <c r="LL4">
        <v>5.2499999999999998E-2</v>
      </c>
      <c r="LM4">
        <v>8.2199999999999995E-2</v>
      </c>
      <c r="LN4">
        <v>4.4139999999999997</v>
      </c>
      <c r="LO4">
        <v>10.9438</v>
      </c>
      <c r="LP4">
        <v>16.854900000000001</v>
      </c>
      <c r="LQ4" s="12">
        <f>(LO4-1.4747)/3.2493</f>
        <v>2.9141969039485427</v>
      </c>
      <c r="LR4">
        <v>4.5534999999999997</v>
      </c>
      <c r="LS4" t="s">
        <v>1626</v>
      </c>
      <c r="LT4" t="s">
        <v>1627</v>
      </c>
      <c r="LU4" t="s">
        <v>1628</v>
      </c>
      <c r="LV4">
        <v>9.7579999999999991</v>
      </c>
      <c r="LW4">
        <v>1.004</v>
      </c>
      <c r="LX4">
        <v>3.7227000000000001</v>
      </c>
      <c r="LY4">
        <v>15.971</v>
      </c>
      <c r="LZ4">
        <v>1.6720999999999999</v>
      </c>
      <c r="MA4">
        <v>3.6187999999999998</v>
      </c>
      <c r="MB4">
        <v>20.763999999999999</v>
      </c>
      <c r="MC4">
        <v>3.2000000000000001E-2</v>
      </c>
      <c r="MD4">
        <v>5.5800000000000002E-2</v>
      </c>
      <c r="ME4" t="s">
        <v>1638</v>
      </c>
      <c r="MH4" s="12">
        <f>(MF4-1.4747)/3.2493</f>
        <v>-0.45385159880589665</v>
      </c>
      <c r="MJ4">
        <v>6.1210000000000004</v>
      </c>
      <c r="MK4">
        <v>0.56589999999999996</v>
      </c>
      <c r="ML4">
        <v>2.2187999999999999</v>
      </c>
      <c r="MM4" t="s">
        <v>1635</v>
      </c>
      <c r="MN4" t="s">
        <v>1636</v>
      </c>
      <c r="MO4" t="s">
        <v>1637</v>
      </c>
      <c r="MP4">
        <v>15.978</v>
      </c>
      <c r="MQ4">
        <v>0.27060000000000001</v>
      </c>
      <c r="MR4">
        <v>0.57850000000000001</v>
      </c>
      <c r="MV4" t="s">
        <v>1638</v>
      </c>
      <c r="MY4" s="12">
        <f>(MW4-1.4747)/3.2493</f>
        <v>-0.45385159880589665</v>
      </c>
      <c r="NA4" t="s">
        <v>1629</v>
      </c>
      <c r="NB4" t="s">
        <v>1630</v>
      </c>
      <c r="NC4" t="s">
        <v>1631</v>
      </c>
      <c r="ND4" t="s">
        <v>1632</v>
      </c>
      <c r="NE4" t="s">
        <v>1633</v>
      </c>
      <c r="NF4" t="s">
        <v>1634</v>
      </c>
      <c r="NG4">
        <v>15.974</v>
      </c>
      <c r="NH4">
        <v>0.33050000000000002</v>
      </c>
      <c r="NI4">
        <v>0.7097</v>
      </c>
      <c r="NO4" s="12">
        <f t="shared" ref="NO4:NO9" si="0">(FH4+EN4+DW4)/3</f>
        <v>2.6958319227731096</v>
      </c>
      <c r="NP4" s="12">
        <f t="shared" ref="NP4:NP9" si="1">(GS4+HJ4)/2</f>
        <v>3.8162065675683996</v>
      </c>
      <c r="NQ4" s="12">
        <f t="shared" ref="NQ4:NQ9" si="2">(G4+X4+AO4)/3</f>
        <v>4.281157993003621</v>
      </c>
      <c r="NR4" s="12">
        <f t="shared" ref="NR4:NR9" si="3">(ID4+JA4)/2</f>
        <v>3.0622749515280212</v>
      </c>
      <c r="NS4" s="12">
        <f t="shared" ref="NS4:NS9" si="4">(LQ4+KZ4)/2</f>
        <v>2.9210599205982826</v>
      </c>
    </row>
    <row r="5" spans="1:383">
      <c r="A5" t="s">
        <v>1639</v>
      </c>
      <c r="B5" s="14">
        <v>44697</v>
      </c>
      <c r="C5" s="12">
        <v>210.15</v>
      </c>
      <c r="D5">
        <v>4.4640000000000004</v>
      </c>
      <c r="E5">
        <v>13.9803</v>
      </c>
      <c r="F5">
        <v>15.543699999999999</v>
      </c>
      <c r="G5" s="12">
        <f>(E5-0.998)/3.4142</f>
        <v>3.8024427391482631</v>
      </c>
      <c r="H5">
        <v>5.6947000000000001</v>
      </c>
      <c r="I5">
        <v>4.9210000000000003</v>
      </c>
      <c r="J5">
        <v>6.5221</v>
      </c>
      <c r="K5">
        <v>23.147099999999998</v>
      </c>
      <c r="L5">
        <v>6.2640000000000002</v>
      </c>
      <c r="M5">
        <v>1.046</v>
      </c>
      <c r="N5">
        <v>4.3101000000000003</v>
      </c>
      <c r="O5">
        <v>9.8010000000000002</v>
      </c>
      <c r="P5">
        <v>8.8599999999999998E-2</v>
      </c>
      <c r="Q5">
        <v>0.30549999999999999</v>
      </c>
      <c r="R5">
        <v>16.074000000000002</v>
      </c>
      <c r="S5">
        <v>0.6028</v>
      </c>
      <c r="T5">
        <v>1.268</v>
      </c>
      <c r="U5">
        <v>4.4610000000000003</v>
      </c>
      <c r="V5">
        <v>13.359299999999999</v>
      </c>
      <c r="W5">
        <v>13.989100000000001</v>
      </c>
      <c r="X5" s="12">
        <f t="shared" ref="X5:X6" si="5">(V5-0.998)/3.4142</f>
        <v>3.6205553277488138</v>
      </c>
      <c r="Y5">
        <v>5.4614000000000003</v>
      </c>
      <c r="Z5">
        <v>4.9210000000000003</v>
      </c>
      <c r="AA5">
        <v>6.2916999999999996</v>
      </c>
      <c r="AB5">
        <v>23.9207</v>
      </c>
      <c r="AC5" t="s">
        <v>1640</v>
      </c>
      <c r="AD5" t="s">
        <v>1641</v>
      </c>
      <c r="AE5" t="s">
        <v>1642</v>
      </c>
      <c r="AF5">
        <v>9.8040000000000003</v>
      </c>
      <c r="AG5">
        <v>0.25819999999999999</v>
      </c>
      <c r="AH5">
        <v>0.89159999999999995</v>
      </c>
      <c r="AI5">
        <v>16.077999999999999</v>
      </c>
      <c r="AJ5">
        <v>0.54179999999999995</v>
      </c>
      <c r="AK5">
        <v>1.1377999999999999</v>
      </c>
      <c r="AL5">
        <v>4.4580000000000002</v>
      </c>
      <c r="AM5">
        <v>14.8102</v>
      </c>
      <c r="AN5">
        <v>15.7957</v>
      </c>
      <c r="AO5" s="12">
        <f t="shared" ref="AO5:AO6" si="6">(AM5-0.998)/3.4142</f>
        <v>4.0455157870072052</v>
      </c>
      <c r="AP5">
        <v>6.0067000000000004</v>
      </c>
      <c r="AQ5">
        <v>4.8979999999999997</v>
      </c>
      <c r="AR5">
        <v>2.2471999999999999</v>
      </c>
      <c r="AS5">
        <v>9.4649000000000001</v>
      </c>
      <c r="AT5">
        <v>6.2649999999999997</v>
      </c>
      <c r="AU5">
        <v>1.1558999999999999</v>
      </c>
      <c r="AV5">
        <v>4.6055999999999999</v>
      </c>
      <c r="AW5">
        <v>9.8010000000000002</v>
      </c>
      <c r="AX5">
        <v>0.11459999999999999</v>
      </c>
      <c r="AY5">
        <v>0.39400000000000002</v>
      </c>
      <c r="AZ5">
        <v>16.077999999999999</v>
      </c>
      <c r="BA5">
        <v>0.59950000000000003</v>
      </c>
      <c r="BB5">
        <v>1.2527999999999999</v>
      </c>
      <c r="BF5" s="12">
        <f t="shared" ref="BF5:BF6" si="7">(BD5-0.998)/3.4142</f>
        <v>-0.29230859352117627</v>
      </c>
      <c r="BG5" t="s">
        <v>182</v>
      </c>
      <c r="BH5">
        <v>4.891</v>
      </c>
      <c r="BI5">
        <v>4.3601999999999999</v>
      </c>
      <c r="BJ5">
        <v>14.574199999999999</v>
      </c>
      <c r="BK5">
        <v>6.2679999999999998</v>
      </c>
      <c r="BL5">
        <v>0.94240000000000002</v>
      </c>
      <c r="BM5">
        <v>4.9546000000000001</v>
      </c>
      <c r="BN5">
        <v>7.2649999999999997</v>
      </c>
      <c r="BO5">
        <v>6.3100000000000003E-2</v>
      </c>
      <c r="BP5">
        <v>0.28789999999999999</v>
      </c>
      <c r="BT5">
        <v>16.081</v>
      </c>
      <c r="BU5">
        <v>0.1925</v>
      </c>
      <c r="BV5">
        <v>0.4042</v>
      </c>
      <c r="CC5" s="12" t="s">
        <v>320</v>
      </c>
      <c r="CD5" t="s">
        <v>182</v>
      </c>
      <c r="CE5">
        <v>4.8949999999999996</v>
      </c>
      <c r="CF5">
        <v>5.1216999999999997</v>
      </c>
      <c r="CG5">
        <v>18.090900000000001</v>
      </c>
      <c r="CH5">
        <v>6.2649999999999997</v>
      </c>
      <c r="CI5">
        <v>1.3766</v>
      </c>
      <c r="CJ5">
        <v>4.6646999999999998</v>
      </c>
      <c r="CK5">
        <v>7.258</v>
      </c>
      <c r="CL5">
        <v>4.2700000000000002E-2</v>
      </c>
      <c r="CM5">
        <v>0.19309999999999999</v>
      </c>
      <c r="CN5">
        <v>9.8010000000000002</v>
      </c>
      <c r="CO5">
        <v>4.2500000000000003E-2</v>
      </c>
      <c r="CP5">
        <v>0.14499999999999999</v>
      </c>
      <c r="CQ5">
        <v>16.074999999999999</v>
      </c>
      <c r="CR5">
        <v>0.14910000000000001</v>
      </c>
      <c r="CS5">
        <v>0.312</v>
      </c>
      <c r="CW5">
        <v>4.4379999999999997</v>
      </c>
      <c r="CX5">
        <v>2.9542999999999999</v>
      </c>
      <c r="CY5">
        <v>2.2612999999999999</v>
      </c>
      <c r="CZ5" s="12">
        <f t="shared" ref="CZ5:CZ6" si="8">(CX5-0.998)/3.4142</f>
        <v>0.57298928006560834</v>
      </c>
      <c r="DA5">
        <v>1.5508999999999999</v>
      </c>
      <c r="DB5">
        <v>4.9039999999999999</v>
      </c>
      <c r="DC5">
        <v>1.4753000000000001</v>
      </c>
      <c r="DD5">
        <v>7.9367000000000001</v>
      </c>
      <c r="DE5">
        <v>6.1539999999999999</v>
      </c>
      <c r="DF5">
        <v>0.5171</v>
      </c>
      <c r="DG5">
        <v>1.8150999999999999</v>
      </c>
      <c r="DH5">
        <v>9.7880000000000003</v>
      </c>
      <c r="DI5">
        <v>3.4799999999999998E-2</v>
      </c>
      <c r="DJ5">
        <v>0.12659999999999999</v>
      </c>
      <c r="DN5">
        <v>16.074000000000002</v>
      </c>
      <c r="DO5">
        <v>0.19700000000000001</v>
      </c>
      <c r="DP5">
        <v>0.4128</v>
      </c>
      <c r="DT5" s="256">
        <v>4.5609999999999999</v>
      </c>
      <c r="DU5" s="256">
        <v>9.4842999999999993</v>
      </c>
      <c r="DV5" s="256">
        <v>9.6773000000000007</v>
      </c>
      <c r="DW5" s="12">
        <f t="shared" ref="DW5:DW6" si="9">(DU5-0.998)/3.4142</f>
        <v>2.4855895963915411</v>
      </c>
      <c r="DX5">
        <v>4.0049999999999999</v>
      </c>
      <c r="DY5">
        <v>4.9509999999999996</v>
      </c>
      <c r="DZ5">
        <v>6.3864000000000001</v>
      </c>
      <c r="EA5">
        <v>31.7958</v>
      </c>
      <c r="EB5">
        <v>6.1740000000000004</v>
      </c>
      <c r="EC5">
        <v>0.68559999999999999</v>
      </c>
      <c r="ED5">
        <v>1.7428999999999999</v>
      </c>
      <c r="EE5">
        <v>9.7910000000000004</v>
      </c>
      <c r="EF5">
        <v>9.8799999999999999E-2</v>
      </c>
      <c r="EG5">
        <v>0.35310000000000002</v>
      </c>
      <c r="EH5">
        <v>16.071000000000002</v>
      </c>
      <c r="EI5">
        <v>0.60750000000000004</v>
      </c>
      <c r="EJ5">
        <v>1.2729999999999999</v>
      </c>
      <c r="EK5">
        <v>4.5739999999999998</v>
      </c>
      <c r="EL5">
        <v>8.1342999999999996</v>
      </c>
      <c r="EM5">
        <v>9.0900999999999996</v>
      </c>
      <c r="EN5" s="12">
        <f t="shared" ref="EN5:EN6" si="10">(EL5-0.998)/3.4142</f>
        <v>2.0901821803057814</v>
      </c>
      <c r="EO5">
        <v>3.4977</v>
      </c>
      <c r="EP5">
        <v>4.9580000000000002</v>
      </c>
      <c r="EQ5">
        <v>7.2938000000000001</v>
      </c>
      <c r="ER5">
        <v>36.423900000000003</v>
      </c>
      <c r="ES5">
        <v>6.1680000000000001</v>
      </c>
      <c r="ET5">
        <v>0.44519999999999998</v>
      </c>
      <c r="EU5">
        <v>1.8408</v>
      </c>
      <c r="EV5">
        <v>9.7880000000000003</v>
      </c>
      <c r="EW5">
        <v>0.2001</v>
      </c>
      <c r="EX5">
        <v>0.72189999999999999</v>
      </c>
      <c r="EY5">
        <v>16.068000000000001</v>
      </c>
      <c r="EZ5">
        <v>0.57569999999999999</v>
      </c>
      <c r="FA5">
        <v>1.222</v>
      </c>
      <c r="FE5" s="9">
        <v>4.5540000000000003</v>
      </c>
      <c r="FF5" s="9">
        <v>11.8049</v>
      </c>
      <c r="FG5" s="9">
        <v>11.2296</v>
      </c>
      <c r="FH5" s="12">
        <f t="shared" ref="FH5:FH6" si="11">(FF5-0.998)/3.4142</f>
        <v>3.1652802999238476</v>
      </c>
      <c r="FI5">
        <v>4.8772000000000002</v>
      </c>
      <c r="FJ5">
        <v>4.931</v>
      </c>
      <c r="FK5">
        <v>3.9581</v>
      </c>
      <c r="FL5">
        <v>21.023800000000001</v>
      </c>
      <c r="FM5">
        <v>6.1779999999999999</v>
      </c>
      <c r="FN5">
        <v>0.45519999999999999</v>
      </c>
      <c r="FO5">
        <v>1.8325</v>
      </c>
      <c r="FP5">
        <v>9.7910000000000004</v>
      </c>
      <c r="FQ5">
        <v>3.4799999999999998E-2</v>
      </c>
      <c r="FR5">
        <v>0.12720000000000001</v>
      </c>
      <c r="FV5" s="9">
        <v>4.5609999999999999</v>
      </c>
      <c r="FW5" s="9">
        <v>1.1778999999999999</v>
      </c>
      <c r="FX5" s="9">
        <v>1.1066</v>
      </c>
      <c r="FY5" s="12">
        <f t="shared" ref="FY5" si="12">(FW5-0.998)/3.4142</f>
        <v>5.2691699373206002E-2</v>
      </c>
      <c r="FZ5" s="9">
        <v>0.88329999999999997</v>
      </c>
      <c r="GA5">
        <v>4.8940000000000001</v>
      </c>
      <c r="GB5">
        <v>1.6835</v>
      </c>
      <c r="GC5">
        <v>6.1784999999999997</v>
      </c>
      <c r="GD5">
        <v>6.1740000000000004</v>
      </c>
      <c r="GE5">
        <v>0.48180000000000001</v>
      </c>
      <c r="GF5">
        <v>1.6079000000000001</v>
      </c>
      <c r="GG5">
        <v>9.7840000000000007</v>
      </c>
      <c r="GH5">
        <v>4.2099999999999999E-2</v>
      </c>
      <c r="GI5">
        <v>0.15010000000000001</v>
      </c>
      <c r="GM5">
        <v>16.071000000000002</v>
      </c>
      <c r="GN5">
        <v>0.10539999999999999</v>
      </c>
      <c r="GO5">
        <v>0.2273</v>
      </c>
      <c r="GP5" s="9">
        <v>4.4480000000000004</v>
      </c>
      <c r="GQ5" s="9">
        <v>12.1022</v>
      </c>
      <c r="GR5" s="9">
        <v>13.6691</v>
      </c>
      <c r="GS5" s="12">
        <f t="shared" ref="GS5:GS6" si="13">(GQ5-0.998)/3.4142</f>
        <v>3.2523577997774002</v>
      </c>
      <c r="GT5" s="9">
        <v>4.9889000000000001</v>
      </c>
      <c r="GU5" s="9">
        <v>4.9180000000000001</v>
      </c>
      <c r="GV5" s="9">
        <v>2.2818000000000001</v>
      </c>
      <c r="GW5" s="9">
        <v>11.7811</v>
      </c>
      <c r="GX5" s="9">
        <v>6.1749999999999998</v>
      </c>
      <c r="GY5" s="9">
        <v>0.46410000000000001</v>
      </c>
      <c r="GZ5" s="9">
        <v>1.8504</v>
      </c>
      <c r="HA5" s="9"/>
      <c r="HB5" s="9"/>
      <c r="HC5" s="9"/>
      <c r="HD5" s="9">
        <v>16.071000000000002</v>
      </c>
      <c r="HE5" s="9">
        <v>0.49780000000000002</v>
      </c>
      <c r="HF5" s="9">
        <v>1.0599000000000001</v>
      </c>
      <c r="HG5" s="9">
        <v>4.4509999999999996</v>
      </c>
      <c r="HH5" s="9">
        <v>10.009399999999999</v>
      </c>
      <c r="HI5" s="9">
        <v>13.8531</v>
      </c>
      <c r="HJ5" s="12">
        <f t="shared" ref="HJ5:HJ6" si="14">(HH5-0.998)/3.4142</f>
        <v>2.6393884365297873</v>
      </c>
      <c r="HK5" s="9">
        <v>4.2023999999999999</v>
      </c>
      <c r="HL5" s="9">
        <v>4.9109999999999996</v>
      </c>
      <c r="HM5" s="9">
        <v>1.996</v>
      </c>
      <c r="HN5" s="9">
        <v>9.3993000000000002</v>
      </c>
      <c r="HO5" s="9">
        <v>6.1740000000000004</v>
      </c>
      <c r="HP5" s="9">
        <v>0.84199999999999997</v>
      </c>
      <c r="HQ5" s="9">
        <v>2.2336999999999998</v>
      </c>
      <c r="HR5" s="9">
        <v>9.7910000000000004</v>
      </c>
      <c r="HS5" s="9">
        <v>4.1399999999999999E-2</v>
      </c>
      <c r="HT5" s="9">
        <v>0.151</v>
      </c>
      <c r="HU5" s="9">
        <v>16.077999999999999</v>
      </c>
      <c r="HV5" s="9">
        <v>0.54049999999999998</v>
      </c>
      <c r="HW5" s="9">
        <v>1.1456999999999999</v>
      </c>
      <c r="IA5">
        <v>4.4480000000000004</v>
      </c>
      <c r="IB5">
        <v>11.1915</v>
      </c>
      <c r="IC5">
        <v>13.9962</v>
      </c>
      <c r="ID5" s="12">
        <f t="shared" ref="ID5:ID6" si="15">(IB5-0.998)/3.4142</f>
        <v>2.9856188858297696</v>
      </c>
      <c r="IE5">
        <v>4.6466000000000003</v>
      </c>
      <c r="IF5" t="s">
        <v>1643</v>
      </c>
      <c r="II5">
        <v>6.1779999999999999</v>
      </c>
      <c r="IJ5">
        <v>0.41039999999999999</v>
      </c>
      <c r="IK5">
        <v>1.5273000000000001</v>
      </c>
      <c r="IL5">
        <v>7.2409999999999997</v>
      </c>
      <c r="IM5">
        <v>0.57979999999999998</v>
      </c>
      <c r="IN5">
        <v>0.89290000000000003</v>
      </c>
      <c r="IR5">
        <v>16.074999999999999</v>
      </c>
      <c r="IS5">
        <v>0.62180000000000002</v>
      </c>
      <c r="IT5">
        <v>1.3111999999999999</v>
      </c>
      <c r="IX5">
        <v>4.444</v>
      </c>
      <c r="IY5">
        <v>10.882099999999999</v>
      </c>
      <c r="IZ5">
        <v>13.6669</v>
      </c>
      <c r="JA5" s="12">
        <f t="shared" ref="JA5:JA6" si="16">(IY5-0.998)/3.4142</f>
        <v>2.8949973639505595</v>
      </c>
      <c r="JB5">
        <v>4.5304000000000002</v>
      </c>
      <c r="JC5">
        <v>6.1639999999999997</v>
      </c>
      <c r="JD5">
        <v>0.3569</v>
      </c>
      <c r="JE5">
        <v>1.3106</v>
      </c>
      <c r="JF5">
        <v>7.234</v>
      </c>
      <c r="JG5">
        <v>0.49959999999999999</v>
      </c>
      <c r="JH5">
        <v>0.69779999999999998</v>
      </c>
      <c r="JI5">
        <v>9.7840000000000007</v>
      </c>
      <c r="JJ5">
        <v>0.13220000000000001</v>
      </c>
      <c r="JK5">
        <v>0.47489999999999999</v>
      </c>
      <c r="JL5">
        <v>16.071000000000002</v>
      </c>
      <c r="JM5">
        <v>0.56930000000000003</v>
      </c>
      <c r="JN5">
        <v>1.2065999999999999</v>
      </c>
      <c r="JR5">
        <v>4.444</v>
      </c>
      <c r="JS5">
        <v>11.814399999999999</v>
      </c>
      <c r="JT5">
        <v>15.137</v>
      </c>
      <c r="JU5" s="12">
        <f t="shared" ref="JU5:JU6" si="17">(JS5-0.998)/3.4142</f>
        <v>3.1680627965555619</v>
      </c>
      <c r="JV5">
        <v>4.8807</v>
      </c>
      <c r="JW5">
        <v>6.141</v>
      </c>
      <c r="JX5">
        <v>0.45140000000000002</v>
      </c>
      <c r="JY5">
        <v>2.4066999999999998</v>
      </c>
      <c r="JZ5">
        <v>9.7910000000000004</v>
      </c>
      <c r="KA5">
        <v>1.6561999999999999</v>
      </c>
      <c r="KB5">
        <v>4.0826000000000002</v>
      </c>
      <c r="KC5">
        <v>16.068000000000001</v>
      </c>
      <c r="KD5">
        <v>1.4184000000000001</v>
      </c>
      <c r="KE5">
        <v>3.0299</v>
      </c>
      <c r="KI5">
        <v>4.4480000000000004</v>
      </c>
      <c r="KJ5">
        <v>12.5296</v>
      </c>
      <c r="KK5">
        <v>16.559899999999999</v>
      </c>
      <c r="KL5" s="12">
        <f t="shared" ref="KL5:KL6" si="18">(KJ5-0.998)/3.4142</f>
        <v>3.3775408587663289</v>
      </c>
      <c r="KM5">
        <v>5.2362000000000002</v>
      </c>
      <c r="KN5">
        <v>6.1479999999999997</v>
      </c>
      <c r="KO5">
        <v>0.66979999999999995</v>
      </c>
      <c r="KP5">
        <v>3.6600999999999999</v>
      </c>
      <c r="KQ5">
        <v>9.7910000000000004</v>
      </c>
      <c r="KR5">
        <v>1.5510999999999999</v>
      </c>
      <c r="KS5">
        <v>5.8667999999999996</v>
      </c>
      <c r="KT5">
        <v>16.071000000000002</v>
      </c>
      <c r="KU5">
        <v>1.3171999999999999</v>
      </c>
      <c r="KV5">
        <v>2.8048000000000002</v>
      </c>
      <c r="KW5">
        <v>4.4450000000000003</v>
      </c>
      <c r="KX5">
        <v>11.341699999999999</v>
      </c>
      <c r="KY5">
        <v>14.9968</v>
      </c>
      <c r="KZ5" s="12">
        <f t="shared" ref="KZ5:KZ6" si="19">(KX5-0.998)/3.4142</f>
        <v>3.0296116220490892</v>
      </c>
      <c r="LA5">
        <v>4.7031000000000001</v>
      </c>
      <c r="LB5">
        <v>6.1449999999999996</v>
      </c>
      <c r="LC5">
        <v>0.45540000000000003</v>
      </c>
      <c r="LD5">
        <v>2.4443000000000001</v>
      </c>
      <c r="LE5">
        <v>9.7910000000000004</v>
      </c>
      <c r="LF5">
        <v>1.1711</v>
      </c>
      <c r="LG5">
        <v>4.4225000000000003</v>
      </c>
      <c r="LH5">
        <v>16.068000000000001</v>
      </c>
      <c r="LI5">
        <v>1.4273</v>
      </c>
      <c r="LJ5">
        <v>3.0512999999999999</v>
      </c>
      <c r="LN5">
        <v>4.444</v>
      </c>
      <c r="LO5">
        <v>11.7799</v>
      </c>
      <c r="LP5">
        <v>15.729699999999999</v>
      </c>
      <c r="LQ5" s="12">
        <f t="shared" ref="LQ5:LQ6" si="20">(LO5-0.998)/3.4142</f>
        <v>3.1579579403667037</v>
      </c>
      <c r="LR5">
        <v>4.8677999999999999</v>
      </c>
      <c r="LS5">
        <v>6.141</v>
      </c>
      <c r="LT5">
        <v>0.45929999999999999</v>
      </c>
      <c r="LU5">
        <v>2.4548999999999999</v>
      </c>
      <c r="LV5">
        <v>9.7880000000000003</v>
      </c>
      <c r="LW5">
        <v>0.99980000000000002</v>
      </c>
      <c r="LX5">
        <v>3.6936</v>
      </c>
      <c r="LY5">
        <v>16.064</v>
      </c>
      <c r="LZ5">
        <v>1.5991</v>
      </c>
      <c r="MA5">
        <v>3.4306000000000001</v>
      </c>
      <c r="ME5">
        <v>4.9809999999999999</v>
      </c>
      <c r="MF5">
        <v>0.1086</v>
      </c>
      <c r="MG5">
        <v>0.12429999999999999</v>
      </c>
      <c r="MH5" s="12">
        <f t="shared" ref="MH5:MH6" si="21">(MF5-0.998)/3.4142</f>
        <v>-0.26050026360494405</v>
      </c>
      <c r="MI5" t="s">
        <v>211</v>
      </c>
      <c r="MJ5">
        <v>0.14799999999999999</v>
      </c>
      <c r="MK5">
        <v>0.47739999999999999</v>
      </c>
      <c r="ML5">
        <v>2.6009000000000002</v>
      </c>
      <c r="MM5">
        <v>9.7880000000000003</v>
      </c>
      <c r="MN5">
        <v>1.0777000000000001</v>
      </c>
      <c r="MO5">
        <v>3.9813999999999998</v>
      </c>
      <c r="MP5">
        <v>16.071000000000002</v>
      </c>
      <c r="MQ5">
        <v>0.22559999999999999</v>
      </c>
      <c r="MR5">
        <v>0.4723</v>
      </c>
      <c r="MV5">
        <v>4.9850000000000003</v>
      </c>
      <c r="MW5">
        <v>0.1714</v>
      </c>
      <c r="MX5">
        <v>0.21709999999999999</v>
      </c>
      <c r="MY5" s="12">
        <f t="shared" ref="MY5:MY6" si="22">(MW5-0.998)/3.4142</f>
        <v>-0.24210649639739909</v>
      </c>
      <c r="MZ5" t="s">
        <v>211</v>
      </c>
      <c r="NA5">
        <v>6.1449999999999996</v>
      </c>
      <c r="NB5">
        <v>0.89670000000000005</v>
      </c>
      <c r="NC5">
        <v>3.4554999999999998</v>
      </c>
      <c r="ND5">
        <v>9.7850000000000001</v>
      </c>
      <c r="NE5">
        <v>0.55759999999999998</v>
      </c>
      <c r="NF5">
        <v>2.0337000000000001</v>
      </c>
      <c r="NG5">
        <v>16.071000000000002</v>
      </c>
      <c r="NH5">
        <v>0.23980000000000001</v>
      </c>
      <c r="NI5">
        <v>0.50509999999999999</v>
      </c>
      <c r="NO5" s="12">
        <f t="shared" si="0"/>
        <v>2.5803506922070567</v>
      </c>
      <c r="NP5" s="12">
        <f t="shared" si="1"/>
        <v>2.9458731181535938</v>
      </c>
      <c r="NQ5" s="12">
        <f t="shared" si="2"/>
        <v>3.8228379513014272</v>
      </c>
      <c r="NR5" s="12">
        <f t="shared" si="3"/>
        <v>2.9403081248901648</v>
      </c>
      <c r="NS5" s="12">
        <f t="shared" si="4"/>
        <v>3.0937847812078965</v>
      </c>
    </row>
    <row r="6" spans="1:383">
      <c r="A6" t="s">
        <v>1639</v>
      </c>
      <c r="B6" s="14">
        <v>44700</v>
      </c>
      <c r="C6" s="12">
        <v>276.48333333333335</v>
      </c>
      <c r="D6">
        <v>4.4240000000000004</v>
      </c>
      <c r="E6">
        <v>14.396000000000001</v>
      </c>
      <c r="F6">
        <v>18.400300000000001</v>
      </c>
      <c r="G6" s="12">
        <f>(E6-0.998)/3.4142</f>
        <v>3.924198933864449</v>
      </c>
      <c r="H6">
        <v>5.851</v>
      </c>
      <c r="I6">
        <v>4.9009999999999998</v>
      </c>
      <c r="J6">
        <v>3.4169999999999998</v>
      </c>
      <c r="K6">
        <v>12.8429</v>
      </c>
      <c r="L6">
        <v>6.2610000000000001</v>
      </c>
      <c r="M6">
        <v>1.1452</v>
      </c>
      <c r="N6">
        <v>4.3296000000000001</v>
      </c>
      <c r="R6">
        <v>16.068000000000001</v>
      </c>
      <c r="S6">
        <v>0.54479999999999995</v>
      </c>
      <c r="T6">
        <v>1.1460999999999999</v>
      </c>
      <c r="U6">
        <v>4.4249999999999998</v>
      </c>
      <c r="V6">
        <v>13.074</v>
      </c>
      <c r="W6">
        <v>17.207100000000001</v>
      </c>
      <c r="X6" s="12">
        <f t="shared" si="5"/>
        <v>3.5369925604826902</v>
      </c>
      <c r="Y6">
        <v>5.3540999999999999</v>
      </c>
      <c r="Z6">
        <v>4.9009999999999998</v>
      </c>
      <c r="AA6">
        <v>3.5621999999999998</v>
      </c>
      <c r="AB6">
        <v>14.1884</v>
      </c>
      <c r="AC6">
        <v>6.2610000000000001</v>
      </c>
      <c r="AD6">
        <v>0.87780000000000002</v>
      </c>
      <c r="AE6">
        <v>3.4937999999999998</v>
      </c>
      <c r="AF6">
        <v>9.7949999999999999</v>
      </c>
      <c r="AG6">
        <v>0.49940000000000001</v>
      </c>
      <c r="AH6">
        <v>1.0170999999999999</v>
      </c>
      <c r="AI6">
        <v>16.071000000000002</v>
      </c>
      <c r="AJ6">
        <v>0.49509999999999998</v>
      </c>
      <c r="AK6">
        <v>1.0408999999999999</v>
      </c>
      <c r="AL6">
        <v>4.4210000000000003</v>
      </c>
      <c r="AM6">
        <v>13.381</v>
      </c>
      <c r="AN6">
        <v>18.0335</v>
      </c>
      <c r="AO6" s="12">
        <f t="shared" si="6"/>
        <v>3.6269111358444146</v>
      </c>
      <c r="AP6">
        <v>5.4695</v>
      </c>
      <c r="AT6">
        <v>6.2610000000000001</v>
      </c>
      <c r="AU6">
        <v>1.0021</v>
      </c>
      <c r="AV6">
        <v>3.8258000000000001</v>
      </c>
      <c r="AW6">
        <v>9.7910000000000004</v>
      </c>
      <c r="AX6">
        <v>0.33879999999999999</v>
      </c>
      <c r="AY6">
        <v>0.41099999999999998</v>
      </c>
      <c r="AZ6">
        <v>16.064</v>
      </c>
      <c r="BA6">
        <v>0.50590000000000002</v>
      </c>
      <c r="BB6">
        <v>1.0624</v>
      </c>
      <c r="BC6">
        <v>4.4210000000000003</v>
      </c>
      <c r="BD6">
        <v>0.14050000000000001</v>
      </c>
      <c r="BE6">
        <v>0.38650000000000001</v>
      </c>
      <c r="BF6" s="12">
        <f t="shared" si="7"/>
        <v>-0.25115693281002865</v>
      </c>
      <c r="BG6" t="s">
        <v>182</v>
      </c>
      <c r="BH6">
        <v>4.8680000000000003</v>
      </c>
      <c r="BI6">
        <v>1.8743000000000001</v>
      </c>
      <c r="BJ6">
        <v>6.2789999999999999</v>
      </c>
      <c r="BK6">
        <v>6.258</v>
      </c>
      <c r="BL6">
        <v>1.8529</v>
      </c>
      <c r="BM6">
        <v>4.6947999999999999</v>
      </c>
      <c r="BN6">
        <v>7.258</v>
      </c>
      <c r="BO6">
        <v>0.16839999999999999</v>
      </c>
      <c r="BP6">
        <v>0.73470000000000002</v>
      </c>
      <c r="BQ6">
        <v>9.7910000000000004</v>
      </c>
      <c r="BR6">
        <v>4.3499999999999997E-2</v>
      </c>
      <c r="BS6">
        <v>0.1507</v>
      </c>
      <c r="BT6">
        <v>16.064</v>
      </c>
      <c r="BU6">
        <v>0.1898</v>
      </c>
      <c r="BV6">
        <v>0.39610000000000001</v>
      </c>
      <c r="BZ6" t="s">
        <v>320</v>
      </c>
      <c r="CC6" s="12">
        <f>(CA6-0.998)/3.4142</f>
        <v>-0.29230859352117627</v>
      </c>
      <c r="CE6">
        <v>4.8780000000000001</v>
      </c>
      <c r="CF6">
        <v>3.1379000000000001</v>
      </c>
      <c r="CG6">
        <v>10.861599999999999</v>
      </c>
      <c r="CH6">
        <v>6.2610000000000001</v>
      </c>
      <c r="CI6">
        <v>1.4996</v>
      </c>
      <c r="CJ6">
        <v>4.3289999999999997</v>
      </c>
      <c r="CK6">
        <v>7.258</v>
      </c>
      <c r="CL6">
        <v>0.54249999999999998</v>
      </c>
      <c r="CM6">
        <v>1.3307</v>
      </c>
      <c r="CQ6">
        <v>16.068000000000001</v>
      </c>
      <c r="CR6">
        <v>0.14030000000000001</v>
      </c>
      <c r="CS6">
        <v>0.2868</v>
      </c>
      <c r="CW6" s="9">
        <v>4.3979999999999997</v>
      </c>
      <c r="CX6" s="9">
        <v>3.8509000000000002</v>
      </c>
      <c r="CY6" s="9">
        <v>2.2477999999999998</v>
      </c>
      <c r="CZ6" s="12">
        <f t="shared" si="8"/>
        <v>0.83559838322300972</v>
      </c>
      <c r="DA6" s="9">
        <v>1.8878999999999999</v>
      </c>
      <c r="DB6" s="9">
        <v>4.9109999999999996</v>
      </c>
      <c r="DC6" s="9">
        <v>2.3845999999999998</v>
      </c>
      <c r="DD6" s="9">
        <v>13.6479</v>
      </c>
      <c r="DE6" s="9">
        <v>6.1379999999999999</v>
      </c>
      <c r="DF6" s="9">
        <v>0.4244</v>
      </c>
      <c r="DG6" s="9">
        <v>1.5498000000000001</v>
      </c>
      <c r="DH6" s="9"/>
      <c r="DI6" s="9"/>
      <c r="DJ6" s="9"/>
      <c r="DK6" s="9"/>
      <c r="DL6" s="9"/>
      <c r="DM6" s="9"/>
      <c r="DN6" s="9">
        <v>16.064</v>
      </c>
      <c r="DO6" s="9">
        <v>0.12330000000000001</v>
      </c>
      <c r="DP6" s="9">
        <v>0.2616</v>
      </c>
      <c r="DT6" s="9">
        <v>4.4249999999999998</v>
      </c>
      <c r="DU6" s="9">
        <v>10.002800000000001</v>
      </c>
      <c r="DV6" s="9">
        <v>11.701599999999999</v>
      </c>
      <c r="DW6" s="12">
        <f t="shared" si="9"/>
        <v>2.6374553336067015</v>
      </c>
      <c r="DX6" s="9">
        <v>4.1999000000000004</v>
      </c>
      <c r="DY6" s="9">
        <v>4.9409999999999998</v>
      </c>
      <c r="DZ6" s="9">
        <v>4.8733000000000004</v>
      </c>
      <c r="EA6" s="9">
        <v>25.623899999999999</v>
      </c>
      <c r="EB6" s="9">
        <v>6.1379999999999999</v>
      </c>
      <c r="EC6" s="9">
        <v>0.32419999999999999</v>
      </c>
      <c r="ED6" s="9">
        <v>1.333</v>
      </c>
      <c r="EE6" s="9">
        <v>9.7810000000000006</v>
      </c>
      <c r="EF6" s="9">
        <v>0.24590000000000001</v>
      </c>
      <c r="EG6" s="9">
        <v>0.89429999999999998</v>
      </c>
      <c r="EH6" s="9">
        <v>16.065000000000001</v>
      </c>
      <c r="EI6" s="9">
        <v>0.4803</v>
      </c>
      <c r="EJ6" s="9">
        <v>1.0172000000000001</v>
      </c>
      <c r="EK6" s="9">
        <v>4.4210000000000003</v>
      </c>
      <c r="EL6" s="9">
        <v>9.1432000000000002</v>
      </c>
      <c r="EM6" s="9">
        <v>7.0068000000000001</v>
      </c>
      <c r="EN6" s="12">
        <f t="shared" si="10"/>
        <v>2.3856833225938727</v>
      </c>
      <c r="EO6" s="9"/>
      <c r="EP6" s="9">
        <v>4.9450000000000003</v>
      </c>
      <c r="EQ6" s="9">
        <v>5.9162999999999997</v>
      </c>
      <c r="ER6" s="9">
        <v>36.681100000000001</v>
      </c>
      <c r="ES6" s="9">
        <v>6.1550000000000002</v>
      </c>
      <c r="ET6" s="9">
        <v>0.41549999999999998</v>
      </c>
      <c r="EU6" s="9">
        <v>1.6476999999999999</v>
      </c>
      <c r="EV6" s="9">
        <v>9.7810000000000006</v>
      </c>
      <c r="EW6" s="9">
        <v>0.23519999999999999</v>
      </c>
      <c r="EX6" s="9">
        <v>0.85089999999999999</v>
      </c>
      <c r="EY6" s="9">
        <v>16.061</v>
      </c>
      <c r="EZ6" s="9">
        <v>0.51639999999999997</v>
      </c>
      <c r="FA6" s="9">
        <v>1.0893999999999999</v>
      </c>
      <c r="FB6" s="9"/>
      <c r="FC6" s="9"/>
      <c r="FD6" s="9"/>
      <c r="FE6" s="9">
        <v>4.4240000000000004</v>
      </c>
      <c r="FF6" s="9">
        <f>4.1847+5.2719</f>
        <v>9.4565999999999999</v>
      </c>
      <c r="FG6" s="9">
        <v>10.213699999999999</v>
      </c>
      <c r="FH6" s="12">
        <f t="shared" si="11"/>
        <v>2.4774764220022263</v>
      </c>
      <c r="FI6" s="9" t="s">
        <v>1662</v>
      </c>
      <c r="FJ6" s="9">
        <v>4.9480000000000004</v>
      </c>
      <c r="FK6" s="9">
        <v>10.8576</v>
      </c>
      <c r="FL6" s="9">
        <v>37.0199</v>
      </c>
      <c r="FM6" s="9">
        <v>6.1340000000000003</v>
      </c>
      <c r="FN6" s="9">
        <v>0.2878</v>
      </c>
      <c r="FO6" s="9">
        <v>1.4934000000000001</v>
      </c>
      <c r="FP6" s="9">
        <v>9.7810000000000006</v>
      </c>
      <c r="FQ6" s="9">
        <v>0.4168</v>
      </c>
      <c r="FR6" s="9">
        <v>1.5159</v>
      </c>
      <c r="FS6" s="9">
        <v>16.064</v>
      </c>
      <c r="FT6" s="9">
        <v>0.43190000000000001</v>
      </c>
      <c r="FU6" s="9">
        <v>0.90890000000000004</v>
      </c>
      <c r="FV6">
        <v>4.5839999999999996</v>
      </c>
      <c r="FW6">
        <v>0.35580000000000001</v>
      </c>
      <c r="FX6">
        <v>1.1203000000000001</v>
      </c>
      <c r="FY6" s="12">
        <v>0</v>
      </c>
      <c r="FZ6">
        <v>0.57430000000000003</v>
      </c>
      <c r="GA6">
        <v>4.9039999999999999</v>
      </c>
      <c r="GB6">
        <v>3.1587999999999998</v>
      </c>
      <c r="GC6">
        <v>12.291399999999999</v>
      </c>
      <c r="GD6" t="s">
        <v>1645</v>
      </c>
      <c r="GE6" t="s">
        <v>1646</v>
      </c>
      <c r="GF6" t="s">
        <v>1647</v>
      </c>
      <c r="GG6">
        <v>9.7780000000000005</v>
      </c>
      <c r="GH6">
        <v>4.4600000000000001E-2</v>
      </c>
      <c r="GI6">
        <v>0.16239999999999999</v>
      </c>
      <c r="GJ6">
        <v>16.058</v>
      </c>
      <c r="GK6">
        <v>0.14399999999999999</v>
      </c>
      <c r="GL6">
        <v>0.2964</v>
      </c>
      <c r="GP6">
        <v>4.4210000000000003</v>
      </c>
      <c r="GQ6">
        <v>10.839399999999999</v>
      </c>
      <c r="GR6">
        <v>16.613499999999998</v>
      </c>
      <c r="GS6" s="12">
        <f t="shared" si="13"/>
        <v>2.8824907738269578</v>
      </c>
      <c r="GT6">
        <v>4.5143000000000004</v>
      </c>
      <c r="GU6">
        <v>4.9109999999999996</v>
      </c>
      <c r="GV6">
        <v>3.5243000000000002</v>
      </c>
      <c r="GW6">
        <v>10.2301</v>
      </c>
      <c r="GX6" t="s">
        <v>1648</v>
      </c>
      <c r="HA6">
        <v>9.7769999999999992</v>
      </c>
      <c r="HB6">
        <v>0.19919999999999999</v>
      </c>
      <c r="HC6">
        <v>0.71599999999999997</v>
      </c>
      <c r="HD6">
        <v>16.061</v>
      </c>
      <c r="HE6">
        <v>0.56230000000000002</v>
      </c>
      <c r="HF6">
        <v>1.1840999999999999</v>
      </c>
      <c r="HG6">
        <v>4.4210000000000003</v>
      </c>
      <c r="HH6">
        <v>11.5341</v>
      </c>
      <c r="HI6">
        <v>15.8811</v>
      </c>
      <c r="HJ6" s="12">
        <f t="shared" si="14"/>
        <v>3.0859645012008672</v>
      </c>
      <c r="HK6">
        <v>4.7754000000000003</v>
      </c>
      <c r="HL6">
        <v>4.9279999999999999</v>
      </c>
      <c r="HM6">
        <v>5.5055399999999999</v>
      </c>
      <c r="HN6">
        <v>19.627300000000002</v>
      </c>
      <c r="HO6">
        <v>6.1680000000000001</v>
      </c>
      <c r="HP6">
        <v>2.2947000000000002</v>
      </c>
      <c r="HQ6">
        <v>3.9878999999999998</v>
      </c>
      <c r="HR6">
        <v>9.7780000000000005</v>
      </c>
      <c r="HS6">
        <v>8.9200000000000002E-2</v>
      </c>
      <c r="HT6">
        <v>0.32450000000000001</v>
      </c>
      <c r="HU6">
        <v>16.061</v>
      </c>
      <c r="HV6">
        <v>0.62409999999999999</v>
      </c>
      <c r="HW6">
        <v>1.3166</v>
      </c>
      <c r="IA6">
        <v>4.4180000000000001</v>
      </c>
      <c r="IB6">
        <v>10.293699999999999</v>
      </c>
      <c r="IC6">
        <v>14.4297</v>
      </c>
      <c r="ID6" s="12">
        <f t="shared" si="15"/>
        <v>2.7226583094136254</v>
      </c>
      <c r="IE6">
        <v>4.3091999999999997</v>
      </c>
      <c r="IF6">
        <v>4.8440000000000003</v>
      </c>
      <c r="IG6">
        <v>9.9099999999999994E-2</v>
      </c>
      <c r="IH6">
        <v>0.48699999999999999</v>
      </c>
      <c r="II6">
        <v>6.1680000000000001</v>
      </c>
      <c r="IJ6">
        <v>0.49890000000000001</v>
      </c>
      <c r="IK6">
        <v>1.8468</v>
      </c>
      <c r="IL6">
        <v>7.2279999999999998</v>
      </c>
      <c r="IM6">
        <v>0.43959999999999999</v>
      </c>
      <c r="IN6">
        <v>0.58889999999999998</v>
      </c>
      <c r="IO6">
        <v>9.7739999999999991</v>
      </c>
      <c r="IP6">
        <v>9.2899999999999996E-2</v>
      </c>
      <c r="IQ6">
        <v>0.33339999999999997</v>
      </c>
      <c r="IR6">
        <v>16.053999999999998</v>
      </c>
      <c r="IS6">
        <v>0.64949999999999997</v>
      </c>
      <c r="IT6">
        <v>1.3722000000000001</v>
      </c>
      <c r="IX6">
        <v>4.4180000000000001</v>
      </c>
      <c r="IY6">
        <v>10.7652</v>
      </c>
      <c r="IZ6">
        <v>15.523</v>
      </c>
      <c r="JA6" s="12">
        <f t="shared" si="16"/>
        <v>2.8607580106613555</v>
      </c>
      <c r="JB6">
        <v>4.4863999999999997</v>
      </c>
      <c r="JC6">
        <v>6.1609999999999996</v>
      </c>
      <c r="JD6">
        <v>0.49320000000000003</v>
      </c>
      <c r="JE6">
        <v>1.847</v>
      </c>
      <c r="JF6">
        <v>7.2309999999999999</v>
      </c>
      <c r="JG6">
        <v>0.64539999999999997</v>
      </c>
      <c r="JH6">
        <v>1.3764000000000001</v>
      </c>
      <c r="JI6">
        <v>9.7710000000000008</v>
      </c>
      <c r="JJ6">
        <v>0.41880000000000001</v>
      </c>
      <c r="JK6">
        <v>1.5049999999999999</v>
      </c>
      <c r="JL6">
        <v>16.050999999999998</v>
      </c>
      <c r="JM6">
        <v>0.53349999999999997</v>
      </c>
      <c r="JN6">
        <v>1.1325000000000001</v>
      </c>
      <c r="JR6">
        <v>4.4240000000000004</v>
      </c>
      <c r="JS6">
        <v>12.276199999999999</v>
      </c>
      <c r="JT6">
        <v>18.070699999999999</v>
      </c>
      <c r="JU6" s="12">
        <f t="shared" si="17"/>
        <v>3.3033214222951202</v>
      </c>
      <c r="JV6">
        <v>5.0542999999999996</v>
      </c>
      <c r="JW6">
        <v>6.141</v>
      </c>
      <c r="JX6">
        <v>0.55659999999999998</v>
      </c>
      <c r="JY6">
        <v>2.9765999999999999</v>
      </c>
      <c r="JZ6">
        <v>9.7780000000000005</v>
      </c>
      <c r="KA6">
        <v>2.0638999999999998</v>
      </c>
      <c r="KB6">
        <v>5.1585000000000001</v>
      </c>
      <c r="KC6">
        <v>16.050999999999998</v>
      </c>
      <c r="KD6">
        <v>1.3977999999999999</v>
      </c>
      <c r="KE6">
        <v>2.9922</v>
      </c>
      <c r="KI6">
        <v>4.4249999999999998</v>
      </c>
      <c r="KJ6">
        <v>12.7165</v>
      </c>
      <c r="KK6">
        <v>18.605499999999999</v>
      </c>
      <c r="KL6" s="12">
        <f t="shared" si="18"/>
        <v>3.4322828188155352</v>
      </c>
      <c r="KM6">
        <v>5.2198000000000002</v>
      </c>
      <c r="KN6">
        <v>6.141</v>
      </c>
      <c r="KO6">
        <v>0.42580000000000001</v>
      </c>
      <c r="KP6">
        <v>2.2955000000000001</v>
      </c>
      <c r="KQ6">
        <v>9.7780000000000005</v>
      </c>
      <c r="KR6">
        <v>1.4294</v>
      </c>
      <c r="KS6">
        <v>5.2975000000000003</v>
      </c>
      <c r="KT6">
        <v>16.050999999999998</v>
      </c>
      <c r="KU6">
        <v>1.2766999999999999</v>
      </c>
      <c r="KV6">
        <v>2.7254</v>
      </c>
      <c r="KW6">
        <v>4.4210000000000003</v>
      </c>
      <c r="KX6">
        <v>11.873900000000001</v>
      </c>
      <c r="KY6">
        <v>17.315999999999999</v>
      </c>
      <c r="KZ6" s="12">
        <f t="shared" si="19"/>
        <v>3.1854900123015644</v>
      </c>
      <c r="LA6">
        <v>4.9031000000000002</v>
      </c>
      <c r="LB6">
        <v>6.1379999999999999</v>
      </c>
      <c r="LC6">
        <v>426</v>
      </c>
      <c r="LD6">
        <v>2.2774000000000001</v>
      </c>
      <c r="LE6">
        <v>9.7780000000000005</v>
      </c>
      <c r="LF6">
        <v>1.4201999999999999</v>
      </c>
      <c r="LG6">
        <v>5.2617000000000003</v>
      </c>
      <c r="LH6">
        <v>16.047999999999998</v>
      </c>
      <c r="LI6">
        <v>1.4169</v>
      </c>
      <c r="LJ6">
        <v>3.0285000000000002</v>
      </c>
      <c r="LN6">
        <v>4.4210000000000003</v>
      </c>
      <c r="LO6">
        <v>10.9397</v>
      </c>
      <c r="LP6">
        <v>17.4072</v>
      </c>
      <c r="LQ6" s="12">
        <f t="shared" si="20"/>
        <v>2.9118680803702186</v>
      </c>
      <c r="LR6">
        <v>4.5519999999999996</v>
      </c>
      <c r="LS6">
        <v>6.1379999999999999</v>
      </c>
      <c r="LT6">
        <v>0.45900000000000002</v>
      </c>
      <c r="LU6">
        <v>2.4514999999999998</v>
      </c>
      <c r="LV6">
        <v>9.7750000000000004</v>
      </c>
      <c r="LW6">
        <v>1.3411999999999999</v>
      </c>
      <c r="LX6">
        <v>4.9622999999999999</v>
      </c>
      <c r="LY6">
        <v>16.045000000000002</v>
      </c>
      <c r="LZ6">
        <v>1.5644</v>
      </c>
      <c r="MA6">
        <v>3.3500999999999999</v>
      </c>
      <c r="ME6" t="s">
        <v>1638</v>
      </c>
      <c r="MH6" s="12">
        <f t="shared" si="21"/>
        <v>-0.29230859352117627</v>
      </c>
      <c r="MJ6">
        <v>6.1379999999999999</v>
      </c>
      <c r="MK6">
        <v>0.55910000000000004</v>
      </c>
      <c r="ML6">
        <v>2.4455</v>
      </c>
      <c r="MM6">
        <v>9.7710000000000008</v>
      </c>
      <c r="MN6">
        <v>1.1920999999999999</v>
      </c>
      <c r="MO6">
        <v>4.4015000000000004</v>
      </c>
      <c r="MP6">
        <v>16.050999999999998</v>
      </c>
      <c r="MQ6">
        <v>0.1741</v>
      </c>
      <c r="MR6">
        <v>0.36759999999999998</v>
      </c>
      <c r="MV6" t="s">
        <v>1649</v>
      </c>
      <c r="MY6" s="12">
        <f t="shared" si="22"/>
        <v>-0.29230859352117627</v>
      </c>
      <c r="NA6">
        <v>6.1379999999999999</v>
      </c>
      <c r="NB6">
        <v>0.49809999999999999</v>
      </c>
      <c r="NC6">
        <v>2.0975000000000001</v>
      </c>
      <c r="ND6">
        <v>9.7780000000000005</v>
      </c>
      <c r="NE6">
        <v>0.67230000000000001</v>
      </c>
      <c r="NF6">
        <v>2.4571999999999998</v>
      </c>
      <c r="NG6">
        <v>16.053999999999998</v>
      </c>
      <c r="NH6">
        <v>0.2301</v>
      </c>
      <c r="NI6">
        <v>0.4879</v>
      </c>
      <c r="NO6" s="12">
        <f t="shared" si="0"/>
        <v>2.5002050260676003</v>
      </c>
      <c r="NP6" s="12">
        <f t="shared" si="1"/>
        <v>2.9842276375139125</v>
      </c>
      <c r="NQ6" s="12">
        <f t="shared" si="2"/>
        <v>3.6960342100638512</v>
      </c>
      <c r="NR6" s="12">
        <f t="shared" si="3"/>
        <v>2.7917081600374907</v>
      </c>
      <c r="NS6" s="12">
        <f t="shared" si="4"/>
        <v>3.0486790463358915</v>
      </c>
    </row>
    <row r="7" spans="1:383">
      <c r="A7" t="s">
        <v>1656</v>
      </c>
      <c r="B7" s="14">
        <v>44704</v>
      </c>
      <c r="C7" s="12">
        <v>375.95</v>
      </c>
      <c r="D7" s="9">
        <v>4.3949999999999996</v>
      </c>
      <c r="E7" s="9">
        <v>13.343</v>
      </c>
      <c r="F7" s="9">
        <v>18.688700000000001</v>
      </c>
      <c r="G7" s="351">
        <f>(E7-0.8355)/3.069</f>
        <v>4.0754317367220594</v>
      </c>
      <c r="H7" s="9">
        <v>4.7035999999999998</v>
      </c>
      <c r="I7" s="9">
        <v>4.8780000000000001</v>
      </c>
      <c r="J7" s="9">
        <v>3.9144999999999999</v>
      </c>
      <c r="K7" s="9">
        <v>16.087599999999998</v>
      </c>
      <c r="O7">
        <v>9.6850000000000005</v>
      </c>
      <c r="P7">
        <v>0.14879999999999999</v>
      </c>
      <c r="Q7">
        <v>0.49890000000000001</v>
      </c>
      <c r="R7">
        <v>15.771000000000001</v>
      </c>
      <c r="S7">
        <v>0.52869999999999995</v>
      </c>
      <c r="T7">
        <v>1.0943000000000001</v>
      </c>
      <c r="U7" s="266">
        <v>4.391</v>
      </c>
      <c r="V7" s="266">
        <v>3.9786999999999999</v>
      </c>
      <c r="W7" s="266">
        <v>17.1389</v>
      </c>
      <c r="X7" s="500">
        <f>(V7-0.8355)/3.069</f>
        <v>1.0241772564353209</v>
      </c>
      <c r="Y7">
        <v>1.9359</v>
      </c>
      <c r="Z7">
        <v>4.8879999999999999</v>
      </c>
      <c r="AA7">
        <v>6.9592000000000001</v>
      </c>
      <c r="AB7">
        <v>20.479099999999999</v>
      </c>
      <c r="AF7">
        <v>9.6809999999999992</v>
      </c>
      <c r="AG7">
        <v>0.4753</v>
      </c>
      <c r="AH7">
        <v>1.6042000000000001</v>
      </c>
      <c r="AI7">
        <v>15.765000000000001</v>
      </c>
      <c r="AJ7">
        <v>0.45490000000000003</v>
      </c>
      <c r="AK7">
        <v>0.94799999999999995</v>
      </c>
      <c r="AL7">
        <v>4.391</v>
      </c>
      <c r="AM7">
        <v>13.7019</v>
      </c>
      <c r="AN7">
        <v>19.180399999999999</v>
      </c>
      <c r="AO7" s="351">
        <f>(AM7-0.8355)/3.069</f>
        <v>4.192375366568915</v>
      </c>
      <c r="AP7">
        <v>5.5900999999999996</v>
      </c>
      <c r="AQ7">
        <v>4.8739999999999997</v>
      </c>
      <c r="AR7">
        <v>3.6278000000000001</v>
      </c>
      <c r="AS7">
        <v>10.872299999999999</v>
      </c>
      <c r="AT7">
        <v>6.218</v>
      </c>
      <c r="AU7">
        <v>2.2204000000000002</v>
      </c>
      <c r="AV7">
        <v>4.9089999999999998</v>
      </c>
      <c r="AW7">
        <v>9.6809999999999992</v>
      </c>
      <c r="AX7">
        <v>0.1153</v>
      </c>
      <c r="AY7">
        <v>0.39419999999999999</v>
      </c>
      <c r="AZ7">
        <v>15.768000000000001</v>
      </c>
      <c r="BA7">
        <v>0.5393</v>
      </c>
      <c r="BB7">
        <v>1.1194</v>
      </c>
      <c r="BC7">
        <v>4.3810000000000002</v>
      </c>
      <c r="BD7">
        <v>0.13100000000000001</v>
      </c>
      <c r="BE7">
        <v>0.37840000000000001</v>
      </c>
      <c r="BF7" s="351">
        <f>(BD7-0.8355)/3.069</f>
        <v>-0.22955360052134247</v>
      </c>
      <c r="BG7">
        <v>0.48980000000000001</v>
      </c>
      <c r="BH7">
        <v>4.8680000000000003</v>
      </c>
      <c r="BI7">
        <v>4.7160000000000002</v>
      </c>
      <c r="BJ7">
        <v>16.3355</v>
      </c>
      <c r="BK7">
        <v>6.218</v>
      </c>
      <c r="BL7">
        <v>1.4354</v>
      </c>
      <c r="BM7">
        <v>3.7564000000000002</v>
      </c>
      <c r="BN7">
        <v>7.1909999999999998</v>
      </c>
      <c r="BO7">
        <v>0.2681</v>
      </c>
      <c r="BP7">
        <v>0.36919999999999997</v>
      </c>
      <c r="BT7">
        <v>15.760999999999999</v>
      </c>
      <c r="BU7">
        <v>0.17599999999999999</v>
      </c>
      <c r="BV7">
        <v>0.36349999999999999</v>
      </c>
      <c r="BZ7" t="s">
        <v>320</v>
      </c>
      <c r="CC7" s="351">
        <f>(CA7-0.8355)/3.069</f>
        <v>-0.27223851417399808</v>
      </c>
      <c r="CE7">
        <v>4.8739999999999997</v>
      </c>
      <c r="CF7">
        <v>6.2077999999999998</v>
      </c>
      <c r="CG7">
        <v>21.392800000000001</v>
      </c>
      <c r="CH7">
        <v>6.218</v>
      </c>
      <c r="CI7">
        <v>1.6955</v>
      </c>
      <c r="CJ7">
        <v>3.8536000000000001</v>
      </c>
      <c r="CK7">
        <v>7.1909999999999998</v>
      </c>
      <c r="CL7">
        <v>3.78E-2</v>
      </c>
      <c r="CM7">
        <v>0.17199999999999999</v>
      </c>
      <c r="CN7">
        <v>9.6839999999999993</v>
      </c>
      <c r="CO7">
        <v>3.3300000000000003E-2</v>
      </c>
      <c r="CP7">
        <v>0.1118</v>
      </c>
      <c r="CQ7">
        <v>15.768000000000001</v>
      </c>
      <c r="CR7">
        <v>0.13689999999999999</v>
      </c>
      <c r="CS7">
        <v>0.28560000000000002</v>
      </c>
      <c r="CW7" s="9">
        <v>4.3710000000000004</v>
      </c>
      <c r="CX7" s="9">
        <v>2.1879</v>
      </c>
      <c r="CY7" s="9">
        <v>1.7253000000000001</v>
      </c>
      <c r="CZ7" s="351">
        <f>(CX7-0.8355)/3.069</f>
        <v>0.44066471163245352</v>
      </c>
      <c r="DA7" s="9">
        <v>1.2628999999999999</v>
      </c>
      <c r="DB7">
        <v>4.8840000000000003</v>
      </c>
      <c r="DC7">
        <v>1.9008</v>
      </c>
      <c r="DD7">
        <v>10.376099999999999</v>
      </c>
      <c r="DE7">
        <v>6.101</v>
      </c>
      <c r="DF7">
        <v>0.56640000000000001</v>
      </c>
      <c r="DG7">
        <v>2.0627</v>
      </c>
      <c r="DH7">
        <v>9.6709999999999994</v>
      </c>
      <c r="DI7">
        <v>3.7400000000000003E-2</v>
      </c>
      <c r="DJ7">
        <v>0.1341</v>
      </c>
      <c r="DN7">
        <v>15.760999999999999</v>
      </c>
      <c r="DO7">
        <v>0.1404</v>
      </c>
      <c r="DP7">
        <v>0.2893</v>
      </c>
      <c r="DT7" s="9">
        <v>4.3879999999999999</v>
      </c>
      <c r="DU7" s="9">
        <v>9.4217999999999993</v>
      </c>
      <c r="DV7" s="9">
        <v>9.2924000000000007</v>
      </c>
      <c r="DW7" s="351">
        <f>(DU7-0.8355)/3.069</f>
        <v>2.7977517106549366</v>
      </c>
      <c r="DY7" s="9">
        <v>4.9240000000000004</v>
      </c>
      <c r="DZ7" s="9">
        <v>6.5256999999999996</v>
      </c>
      <c r="EA7" s="9">
        <v>37.357999999999997</v>
      </c>
      <c r="EB7" s="9">
        <v>6.1139999999999999</v>
      </c>
      <c r="EC7" s="9">
        <v>0.76870000000000005</v>
      </c>
      <c r="ED7" s="9">
        <v>3.1726000000000001</v>
      </c>
      <c r="EE7" s="9">
        <v>9.6679999999999993</v>
      </c>
      <c r="EF7" s="9">
        <v>0.82989999999999997</v>
      </c>
      <c r="EG7" s="9">
        <v>2.9496000000000002</v>
      </c>
      <c r="EH7" s="9">
        <v>15.760999999999999</v>
      </c>
      <c r="EI7" s="9">
        <v>0.40260000000000001</v>
      </c>
      <c r="EJ7" s="9">
        <v>0.84009999999999996</v>
      </c>
      <c r="EK7" s="9">
        <v>4.3849999999999998</v>
      </c>
      <c r="EL7" s="9">
        <v>9.1659000000000006</v>
      </c>
      <c r="EM7" s="9">
        <v>6.2797999999999998</v>
      </c>
      <c r="EN7" s="351">
        <f>(EL7-0.8355)/3.069</f>
        <v>2.7143695014662761</v>
      </c>
      <c r="EO7" s="9" t="s">
        <v>182</v>
      </c>
      <c r="EP7">
        <v>4.931</v>
      </c>
      <c r="EQ7">
        <v>7.6176000000000004</v>
      </c>
      <c r="ER7">
        <v>42.529200000000003</v>
      </c>
      <c r="ES7">
        <v>6.0949999999999998</v>
      </c>
      <c r="ET7">
        <v>0.4516</v>
      </c>
      <c r="EU7">
        <v>1.9607000000000001</v>
      </c>
      <c r="EV7">
        <v>9.6649999999999991</v>
      </c>
      <c r="EW7">
        <v>0.43690000000000001</v>
      </c>
      <c r="EX7">
        <v>1.5494000000000001</v>
      </c>
      <c r="EY7">
        <v>15.750999999999999</v>
      </c>
      <c r="EZ7">
        <v>0.36180000000000001</v>
      </c>
      <c r="FA7">
        <v>0.74509999999999998</v>
      </c>
      <c r="FB7">
        <v>20.471</v>
      </c>
      <c r="FC7">
        <v>4.53E-2</v>
      </c>
      <c r="FD7">
        <v>7.2700000000000001E-2</v>
      </c>
      <c r="FE7" s="9">
        <v>4.3849999999999998</v>
      </c>
      <c r="FF7" s="9">
        <v>9.4838000000000005</v>
      </c>
      <c r="FG7" s="9">
        <v>11.894299999999999</v>
      </c>
      <c r="FH7" s="351">
        <f>(FF7-0.8355)/3.069</f>
        <v>2.8179537308569569</v>
      </c>
      <c r="FI7" s="9">
        <v>4.0049000000000001</v>
      </c>
      <c r="FJ7" s="9">
        <v>4.915</v>
      </c>
      <c r="FK7" s="9">
        <v>5.0151000000000003</v>
      </c>
      <c r="FL7" s="9">
        <v>25.181999999999999</v>
      </c>
      <c r="FM7">
        <v>6.1180000000000003</v>
      </c>
      <c r="FN7">
        <v>0.50149999999999995</v>
      </c>
      <c r="FO7">
        <v>1.9286000000000001</v>
      </c>
      <c r="FP7">
        <v>9.6649999999999991</v>
      </c>
      <c r="FQ7">
        <v>0.59850000000000003</v>
      </c>
      <c r="FR7">
        <v>2.1223000000000001</v>
      </c>
      <c r="FS7">
        <v>15.755000000000001</v>
      </c>
      <c r="FT7">
        <v>0.4612</v>
      </c>
      <c r="FU7">
        <v>0.94850000000000001</v>
      </c>
      <c r="FV7">
        <v>4.5739999999999998</v>
      </c>
      <c r="FW7">
        <v>0.36159999999999998</v>
      </c>
      <c r="FX7">
        <v>1.2735000000000001</v>
      </c>
      <c r="FY7" s="351">
        <v>0</v>
      </c>
      <c r="FZ7">
        <v>0.57650000000000001</v>
      </c>
      <c r="GA7">
        <v>4.8940000000000001</v>
      </c>
      <c r="GB7">
        <v>4.3082000000000003</v>
      </c>
      <c r="GC7">
        <v>17.511299999999999</v>
      </c>
      <c r="GD7">
        <v>6.1280000000000001</v>
      </c>
      <c r="GE7">
        <v>0.52329999999999999</v>
      </c>
      <c r="GF7">
        <v>1.7319</v>
      </c>
      <c r="GG7">
        <v>9.6639999999999997</v>
      </c>
      <c r="GH7">
        <v>0.21329999999999999</v>
      </c>
      <c r="GI7">
        <v>0.74850000000000005</v>
      </c>
      <c r="GJ7">
        <v>15.757999999999999</v>
      </c>
      <c r="GK7">
        <v>0.1198</v>
      </c>
      <c r="GL7">
        <v>0.25030000000000002</v>
      </c>
      <c r="GP7" s="9">
        <v>4.3869999999999996</v>
      </c>
      <c r="GQ7" s="9">
        <f>5.651+5.1659</f>
        <v>10.8169</v>
      </c>
      <c r="GR7" s="9">
        <v>15.9725</v>
      </c>
      <c r="GS7" s="351">
        <f>(GQ7-0.8355)/3.069</f>
        <v>3.2523297491039429</v>
      </c>
      <c r="GT7" s="9" t="s">
        <v>1657</v>
      </c>
      <c r="GU7" s="9">
        <v>4.8970000000000002</v>
      </c>
      <c r="GV7" s="9">
        <v>3.6139999999999999</v>
      </c>
      <c r="GW7" s="9">
        <v>21.865500000000001</v>
      </c>
      <c r="GX7">
        <v>6.1340000000000003</v>
      </c>
      <c r="GY7">
        <v>1.6623000000000001</v>
      </c>
      <c r="GZ7">
        <v>5.2415000000000003</v>
      </c>
      <c r="HA7">
        <v>9.6669999999999998</v>
      </c>
      <c r="HB7">
        <v>7.7799999999999994E-2</v>
      </c>
      <c r="HC7">
        <v>0.28039999999999998</v>
      </c>
      <c r="HD7">
        <v>15.760999999999999</v>
      </c>
      <c r="HE7">
        <v>0.52049999999999996</v>
      </c>
      <c r="HF7">
        <v>1.0736000000000001</v>
      </c>
      <c r="HG7" s="9">
        <v>4.391</v>
      </c>
      <c r="HH7" s="9">
        <f>6.1859+4.2582</f>
        <v>10.444100000000001</v>
      </c>
      <c r="HI7" s="9">
        <v>17.801600000000001</v>
      </c>
      <c r="HJ7" s="351">
        <f>(HH7-0.8355)/3.069</f>
        <v>3.1308569566634086</v>
      </c>
      <c r="HK7" s="9" t="s">
        <v>1657</v>
      </c>
      <c r="HL7" s="9">
        <v>4.915</v>
      </c>
      <c r="HM7" s="9">
        <v>6.3483999999999998</v>
      </c>
      <c r="HN7" s="9">
        <v>33.981400000000001</v>
      </c>
      <c r="HO7">
        <v>6.1310000000000002</v>
      </c>
      <c r="HP7">
        <v>1.4080999999999999</v>
      </c>
      <c r="HQ7">
        <v>4.1650999999999998</v>
      </c>
      <c r="HR7">
        <v>9.6679999999999993</v>
      </c>
      <c r="HS7">
        <v>0.79969999999999997</v>
      </c>
      <c r="HT7">
        <v>2.8273999999999999</v>
      </c>
      <c r="HU7">
        <v>15.757999999999999</v>
      </c>
      <c r="HV7">
        <v>0.60129999999999995</v>
      </c>
      <c r="HW7">
        <v>1.2463</v>
      </c>
      <c r="IA7" s="9">
        <v>4.3780000000000001</v>
      </c>
      <c r="IB7" s="9">
        <v>7.8376999999999999</v>
      </c>
      <c r="IC7" s="9">
        <v>13.513400000000001</v>
      </c>
      <c r="ID7" s="351">
        <f>(IB7-0.8355)/3.069</f>
        <v>2.2815900944933203</v>
      </c>
      <c r="IE7" s="9" t="s">
        <v>1658</v>
      </c>
      <c r="IF7" s="9">
        <v>4.8739999999999997</v>
      </c>
      <c r="IG7" s="9">
        <v>1.6738999999999999</v>
      </c>
      <c r="IH7" s="9">
        <v>7.6896000000000004</v>
      </c>
      <c r="II7">
        <v>6.1280000000000001</v>
      </c>
      <c r="IJ7">
        <v>1.1805000000000001</v>
      </c>
      <c r="IK7">
        <v>3.2863000000000002</v>
      </c>
      <c r="IL7">
        <v>7.1710000000000003</v>
      </c>
      <c r="IM7">
        <v>0.19350000000000001</v>
      </c>
      <c r="IN7">
        <v>0.87670000000000003</v>
      </c>
      <c r="IO7">
        <v>9.6639999999999997</v>
      </c>
      <c r="IP7">
        <v>0.16420000000000001</v>
      </c>
      <c r="IQ7">
        <v>0.57620000000000005</v>
      </c>
      <c r="IR7">
        <v>15.754</v>
      </c>
      <c r="IS7">
        <v>0.51880000000000004</v>
      </c>
      <c r="IT7">
        <v>1.0787</v>
      </c>
      <c r="IX7">
        <v>4.3810000000000002</v>
      </c>
      <c r="IY7">
        <v>10.065899999999999</v>
      </c>
      <c r="IZ7">
        <v>5.6083999999999996</v>
      </c>
      <c r="JA7" s="351">
        <f>(IY7-0.8355)/3.069</f>
        <v>3.0076246334310848</v>
      </c>
      <c r="JB7">
        <v>4.2236000000000002</v>
      </c>
      <c r="JC7">
        <v>6.1280000000000001</v>
      </c>
      <c r="JD7">
        <v>0.7167</v>
      </c>
      <c r="JE7">
        <v>2.7334999999999998</v>
      </c>
      <c r="JI7">
        <v>9.6649999999999991</v>
      </c>
      <c r="JJ7">
        <v>6.2899999999999998E-2</v>
      </c>
      <c r="JK7">
        <v>0.21729999999999999</v>
      </c>
      <c r="JL7">
        <v>15.750999999999999</v>
      </c>
      <c r="JM7">
        <v>0.52339999999999998</v>
      </c>
      <c r="JN7">
        <v>1.0731999999999999</v>
      </c>
      <c r="JR7">
        <v>4.3849999999999998</v>
      </c>
      <c r="JS7">
        <v>11.8042</v>
      </c>
      <c r="JT7">
        <v>20.284600000000001</v>
      </c>
      <c r="JU7" s="351">
        <f>(JS7-0.8355)/3.069</f>
        <v>3.5740306288693384</v>
      </c>
      <c r="JV7">
        <v>4.8769</v>
      </c>
      <c r="JW7">
        <v>6.0949999999999998</v>
      </c>
      <c r="JX7">
        <v>0.56889999999999996</v>
      </c>
      <c r="JY7">
        <v>2.7911999999999999</v>
      </c>
      <c r="JZ7">
        <v>9.6679999999999993</v>
      </c>
      <c r="KA7">
        <v>1.9930000000000001</v>
      </c>
      <c r="KB7">
        <v>5.1379999999999999</v>
      </c>
      <c r="KC7">
        <v>15.747999999999999</v>
      </c>
      <c r="KD7">
        <v>1.2705</v>
      </c>
      <c r="KE7">
        <v>2.6596000000000002</v>
      </c>
      <c r="KI7">
        <v>4.3840000000000003</v>
      </c>
      <c r="KJ7">
        <v>11.9152</v>
      </c>
      <c r="KK7">
        <v>20.4087</v>
      </c>
      <c r="KL7" s="351">
        <f>(KJ7-0.8355)/3.069</f>
        <v>3.6101987618116653</v>
      </c>
      <c r="KM7">
        <v>4.9185999999999996</v>
      </c>
      <c r="KN7">
        <v>6.0979999999999999</v>
      </c>
      <c r="KO7">
        <v>0.49009999999999998</v>
      </c>
      <c r="KP7">
        <v>2.4255</v>
      </c>
      <c r="KQ7">
        <v>9.6679999999999993</v>
      </c>
      <c r="KR7">
        <v>1.4858</v>
      </c>
      <c r="KS7">
        <v>5.3697999999999997</v>
      </c>
      <c r="KT7">
        <v>15.747999999999999</v>
      </c>
      <c r="KU7">
        <v>1.1714</v>
      </c>
      <c r="KV7">
        <v>2.4525999999999999</v>
      </c>
      <c r="KW7">
        <v>4.3840000000000003</v>
      </c>
      <c r="KX7">
        <v>11.0908</v>
      </c>
      <c r="KY7">
        <v>18.949200000000001</v>
      </c>
      <c r="KZ7" s="351">
        <f>(KX7-0.8355)/3.069</f>
        <v>3.3415770609318995</v>
      </c>
      <c r="LA7">
        <v>4.6087999999999996</v>
      </c>
      <c r="LB7">
        <v>6.0979999999999999</v>
      </c>
      <c r="LC7">
        <v>0.54879999999999995</v>
      </c>
      <c r="LD7">
        <v>2.6638000000000002</v>
      </c>
      <c r="LE7">
        <v>9.6679999999999993</v>
      </c>
      <c r="LF7">
        <v>1.4458</v>
      </c>
      <c r="LG7">
        <v>5.2046000000000001</v>
      </c>
      <c r="LH7">
        <v>15.750999999999999</v>
      </c>
      <c r="LI7">
        <v>1.3335999999999999</v>
      </c>
      <c r="LJ7">
        <v>2.7997999999999998</v>
      </c>
      <c r="LN7">
        <v>4.3810000000000002</v>
      </c>
      <c r="LO7">
        <v>11.222300000000001</v>
      </c>
      <c r="LP7">
        <v>19.417899999999999</v>
      </c>
      <c r="LQ7" s="351">
        <f>(LO7-0.8355)/3.069</f>
        <v>3.3844248941023136</v>
      </c>
      <c r="LR7">
        <v>4.6581999999999999</v>
      </c>
      <c r="LS7">
        <v>6.0949999999999998</v>
      </c>
      <c r="LT7">
        <v>0.5534</v>
      </c>
      <c r="LU7">
        <v>2.6848999999999998</v>
      </c>
      <c r="LV7">
        <v>9.6649999999999991</v>
      </c>
      <c r="LW7">
        <v>1.3150999999999999</v>
      </c>
      <c r="LX7">
        <v>4.7267000000000001</v>
      </c>
      <c r="LY7">
        <v>15.744999999999999</v>
      </c>
      <c r="LZ7">
        <v>1.4293</v>
      </c>
      <c r="MA7">
        <v>3.0059999999999998</v>
      </c>
      <c r="ME7" t="s">
        <v>1638</v>
      </c>
      <c r="MH7" s="351">
        <f>(MF7-0.8355)/3.069</f>
        <v>-0.27223851417399808</v>
      </c>
      <c r="MJ7">
        <v>6.0940000000000003</v>
      </c>
      <c r="MK7">
        <v>0.93089999999999995</v>
      </c>
      <c r="ML7">
        <v>2.7782</v>
      </c>
      <c r="MM7">
        <v>9.6609999999999996</v>
      </c>
      <c r="MN7">
        <v>1.0765</v>
      </c>
      <c r="MO7">
        <v>3.8492000000000002</v>
      </c>
      <c r="MP7">
        <v>15.744</v>
      </c>
      <c r="MQ7">
        <v>0.17019999999999999</v>
      </c>
      <c r="MR7">
        <v>0.35870000000000002</v>
      </c>
      <c r="MV7" t="s">
        <v>1638</v>
      </c>
      <c r="MY7" s="351">
        <f>(MW7-0.8355)/3.069</f>
        <v>-0.27223851417399808</v>
      </c>
      <c r="NA7">
        <v>6.0910000000000002</v>
      </c>
      <c r="NB7">
        <v>0.81440000000000001</v>
      </c>
      <c r="NC7">
        <v>2.2069999999999999</v>
      </c>
      <c r="ND7">
        <v>9.6609999999999996</v>
      </c>
      <c r="NE7">
        <v>0.72440000000000004</v>
      </c>
      <c r="NF7">
        <v>2.5771999999999999</v>
      </c>
      <c r="NG7">
        <v>15.747999999999999</v>
      </c>
      <c r="NH7">
        <v>0.1983</v>
      </c>
      <c r="NI7">
        <v>0.4047</v>
      </c>
      <c r="NO7" s="12">
        <f t="shared" si="0"/>
        <v>2.7766916476593893</v>
      </c>
      <c r="NP7" s="12">
        <f t="shared" si="1"/>
        <v>3.1915933528836757</v>
      </c>
      <c r="NQ7" s="12">
        <f t="shared" si="2"/>
        <v>3.0973281199087652</v>
      </c>
      <c r="NR7" s="12">
        <f t="shared" si="3"/>
        <v>2.6446073639622023</v>
      </c>
      <c r="NS7" s="12">
        <f t="shared" si="4"/>
        <v>3.3630009775171068</v>
      </c>
    </row>
    <row r="8" spans="1:383">
      <c r="A8" t="s">
        <v>1656</v>
      </c>
      <c r="B8" s="14">
        <v>44706</v>
      </c>
      <c r="C8" s="12">
        <v>420.95</v>
      </c>
      <c r="D8" s="9">
        <v>4.3609999999999998</v>
      </c>
      <c r="E8" s="9">
        <v>14.0296</v>
      </c>
      <c r="F8" s="9">
        <v>21.465499999999999</v>
      </c>
      <c r="G8" s="351">
        <f>(E8-0.8355)/3.069</f>
        <v>4.2991528185076575</v>
      </c>
      <c r="H8" s="9">
        <v>5.7133000000000003</v>
      </c>
      <c r="I8" s="9">
        <v>4.8609999999999998</v>
      </c>
      <c r="J8" s="9">
        <v>2.5670000000000002</v>
      </c>
      <c r="K8" s="9">
        <v>9.0827000000000009</v>
      </c>
      <c r="L8" s="9">
        <v>6.2110000000000003</v>
      </c>
      <c r="M8">
        <v>1.8748</v>
      </c>
      <c r="N8">
        <v>5.0686</v>
      </c>
      <c r="O8">
        <v>9.6709999999999994</v>
      </c>
      <c r="P8">
        <v>0.47399999999999998</v>
      </c>
      <c r="Q8">
        <v>1.5861000000000001</v>
      </c>
      <c r="R8">
        <v>15.741</v>
      </c>
      <c r="S8">
        <v>0.46060000000000001</v>
      </c>
      <c r="T8">
        <v>0.9415</v>
      </c>
      <c r="U8">
        <v>4.3579999999999997</v>
      </c>
      <c r="V8">
        <v>11.9933</v>
      </c>
      <c r="W8">
        <v>20.072199999999999</v>
      </c>
      <c r="X8" s="351">
        <f>(V8-0.8355)/3.069</f>
        <v>3.6356467904855001</v>
      </c>
      <c r="Y8">
        <v>4.9480000000000004</v>
      </c>
      <c r="Z8">
        <v>4.8739999999999997</v>
      </c>
      <c r="AA8">
        <v>4.7666000000000004</v>
      </c>
      <c r="AB8">
        <v>17.668700000000001</v>
      </c>
      <c r="AC8">
        <v>6.2080000000000002</v>
      </c>
      <c r="AD8">
        <v>0.94220000000000004</v>
      </c>
      <c r="AE8">
        <v>3.629</v>
      </c>
      <c r="AF8">
        <v>9.6679999999999993</v>
      </c>
      <c r="AG8">
        <v>0.13750000000000001</v>
      </c>
      <c r="AH8">
        <v>0.4556</v>
      </c>
      <c r="AI8">
        <v>15.738</v>
      </c>
      <c r="AJ8">
        <v>0.4607</v>
      </c>
      <c r="AK8">
        <v>0.94840000000000002</v>
      </c>
      <c r="AL8">
        <v>4.3609999999999998</v>
      </c>
      <c r="AM8">
        <v>13.7424</v>
      </c>
      <c r="AN8">
        <v>22.584800000000001</v>
      </c>
      <c r="AO8" s="351">
        <f>(AM8-0.8355)/3.069</f>
        <v>4.2055718475073318</v>
      </c>
      <c r="AP8">
        <v>5.6052999999999997</v>
      </c>
      <c r="AQ8">
        <v>4.8280000000000003</v>
      </c>
      <c r="AR8">
        <v>0.87170000000000003</v>
      </c>
      <c r="AS8">
        <v>4.0387000000000004</v>
      </c>
      <c r="AT8">
        <v>6.2110000000000003</v>
      </c>
      <c r="AU8">
        <v>1.0445</v>
      </c>
      <c r="AV8">
        <v>3.2966000000000002</v>
      </c>
      <c r="AW8">
        <v>9.6679999999999993</v>
      </c>
      <c r="AX8">
        <v>0.35909999999999997</v>
      </c>
      <c r="AY8">
        <v>0.4662</v>
      </c>
      <c r="AZ8">
        <v>15.741</v>
      </c>
      <c r="BA8">
        <v>0.44390000000000002</v>
      </c>
      <c r="BB8">
        <v>0.91859999999999997</v>
      </c>
      <c r="BC8">
        <v>4.3470000000000004</v>
      </c>
      <c r="BD8">
        <v>0.12640000000000001</v>
      </c>
      <c r="BE8">
        <v>0.35580000000000001</v>
      </c>
      <c r="BF8" s="351">
        <f>(BD8-0.8355)/3.069</f>
        <v>-0.23105246008471816</v>
      </c>
      <c r="BG8">
        <v>0.48809999999999998</v>
      </c>
      <c r="BH8">
        <v>4.8540000000000001</v>
      </c>
      <c r="BI8">
        <v>3.6259000000000001</v>
      </c>
      <c r="BJ8">
        <v>12.776999999999999</v>
      </c>
      <c r="BK8">
        <v>6.2110000000000003</v>
      </c>
      <c r="BL8">
        <v>1.7477</v>
      </c>
      <c r="BM8">
        <v>4.1635999999999997</v>
      </c>
      <c r="BN8">
        <v>7.1870000000000003</v>
      </c>
      <c r="BO8">
        <v>8.0500000000000002E-2</v>
      </c>
      <c r="BP8">
        <v>0.35499999999999998</v>
      </c>
      <c r="BT8">
        <v>15.744</v>
      </c>
      <c r="BU8">
        <v>0.1578</v>
      </c>
      <c r="BV8">
        <v>0.32740000000000002</v>
      </c>
      <c r="BZ8" t="s">
        <v>1659</v>
      </c>
      <c r="CC8" s="351">
        <f>(CA8-0.8355)/3.069</f>
        <v>-0.27223851417399808</v>
      </c>
      <c r="CE8">
        <v>4.8609999999999998</v>
      </c>
      <c r="CF8">
        <v>5.0305999999999997</v>
      </c>
      <c r="CG8">
        <v>17.585100000000001</v>
      </c>
      <c r="CH8">
        <v>6.2110000000000003</v>
      </c>
      <c r="CI8">
        <v>1.6756</v>
      </c>
      <c r="CJ8">
        <v>3.7722000000000002</v>
      </c>
      <c r="CK8">
        <v>7.1879999999999997</v>
      </c>
      <c r="CL8">
        <v>0.10299999999999999</v>
      </c>
      <c r="CM8">
        <v>0.45040000000000002</v>
      </c>
      <c r="CN8">
        <v>9.6649999999999991</v>
      </c>
      <c r="CO8">
        <v>4.5199999999999997E-2</v>
      </c>
      <c r="CP8">
        <v>0.15190000000000001</v>
      </c>
      <c r="CQ8">
        <v>15.741</v>
      </c>
      <c r="CR8">
        <v>0.126</v>
      </c>
      <c r="CS8">
        <v>0.26090000000000002</v>
      </c>
      <c r="CW8" s="9">
        <v>4.3440000000000003</v>
      </c>
      <c r="CX8" s="9">
        <v>1.9408000000000001</v>
      </c>
      <c r="CY8" s="9">
        <v>2.2631999999999999</v>
      </c>
      <c r="CZ8" s="351">
        <f>(CX8-0.8355)/3.069</f>
        <v>0.36014988595633762</v>
      </c>
      <c r="DA8" s="9">
        <v>1.17</v>
      </c>
      <c r="DB8" s="9">
        <v>4.8680000000000003</v>
      </c>
      <c r="DC8" s="9">
        <v>0.86609999999999998</v>
      </c>
      <c r="DD8" s="9">
        <v>4.4824000000000002</v>
      </c>
      <c r="DE8">
        <v>6.0910000000000002</v>
      </c>
      <c r="DF8">
        <v>0.90890000000000004</v>
      </c>
      <c r="DG8">
        <v>1.5490999999999999</v>
      </c>
      <c r="DH8">
        <v>9.6609999999999996</v>
      </c>
      <c r="DI8">
        <v>0.12809999999999999</v>
      </c>
      <c r="DJ8">
        <v>0.4521</v>
      </c>
      <c r="DN8">
        <v>15.747999999999999</v>
      </c>
      <c r="DO8">
        <v>0.108</v>
      </c>
      <c r="DP8">
        <v>0.2306</v>
      </c>
      <c r="DT8" s="9">
        <v>4.3639999999999999</v>
      </c>
      <c r="DU8" s="9">
        <f>7.079+0.6784</f>
        <v>7.7573999999999996</v>
      </c>
      <c r="DV8" s="9">
        <v>12.2864</v>
      </c>
      <c r="DW8" s="351">
        <f>(DU8-0.8355)/3.069</f>
        <v>2.2554252199413489</v>
      </c>
      <c r="DX8" s="9">
        <v>3.1011000000000002</v>
      </c>
      <c r="DY8" s="9">
        <v>4.9139999999999997</v>
      </c>
      <c r="DZ8" s="9">
        <v>6.6883999999999997</v>
      </c>
      <c r="EA8" s="9">
        <v>30.1738</v>
      </c>
      <c r="EB8" s="9">
        <v>6.1040000000000001</v>
      </c>
      <c r="EC8" s="9">
        <v>0.43830000000000002</v>
      </c>
      <c r="ED8" s="9">
        <v>1.6742999999999999</v>
      </c>
      <c r="EE8" s="9">
        <v>9.6579999999999995</v>
      </c>
      <c r="EF8" s="9">
        <v>0.24909999999999999</v>
      </c>
      <c r="EG8" s="9">
        <v>0.878</v>
      </c>
      <c r="EH8" s="9">
        <v>15.754</v>
      </c>
      <c r="EI8" s="9">
        <v>0.40229999999999999</v>
      </c>
      <c r="EJ8" s="9">
        <v>0.83879999999999999</v>
      </c>
      <c r="EK8" s="9">
        <v>4.3609999999999998</v>
      </c>
      <c r="EL8" s="9">
        <v>6.7676999999999996</v>
      </c>
      <c r="EM8" s="9">
        <v>10.9619</v>
      </c>
      <c r="EN8" s="351">
        <f>(EL8-0.8355)/3.069</f>
        <v>1.9329423264907135</v>
      </c>
      <c r="EO8" s="9">
        <v>2.984</v>
      </c>
      <c r="EP8" s="9">
        <v>4.9249999999999998</v>
      </c>
      <c r="EQ8" s="9">
        <v>8.1844999999999999</v>
      </c>
      <c r="ER8" s="9">
        <v>38.161099999999998</v>
      </c>
      <c r="ES8">
        <v>6.0910000000000002</v>
      </c>
      <c r="ET8">
        <v>0.42309999999999998</v>
      </c>
      <c r="EU8">
        <v>1.8789</v>
      </c>
      <c r="EV8">
        <v>9.6579999999999995</v>
      </c>
      <c r="EW8">
        <v>0.95289999999999997</v>
      </c>
      <c r="EX8">
        <v>3.4407000000000001</v>
      </c>
      <c r="EY8">
        <v>15.755000000000001</v>
      </c>
      <c r="EZ8">
        <v>3527</v>
      </c>
      <c r="FA8">
        <v>0.73299999999999998</v>
      </c>
      <c r="FE8" s="9">
        <v>4.3639999999999999</v>
      </c>
      <c r="FF8" s="9">
        <v>9.2073999999999998</v>
      </c>
      <c r="FG8" s="9">
        <v>12.055400000000001</v>
      </c>
      <c r="FH8" s="351">
        <f>(FF8-0.8355)/3.069</f>
        <v>2.7278918214402088</v>
      </c>
      <c r="FI8" s="9">
        <v>3.9009999999999998</v>
      </c>
      <c r="FJ8" s="9">
        <v>4.9180000000000001</v>
      </c>
      <c r="FK8" s="9">
        <v>5.3872999999999998</v>
      </c>
      <c r="FL8" s="9">
        <v>27.922499999999999</v>
      </c>
      <c r="FM8">
        <v>6.0979999999999999</v>
      </c>
      <c r="FN8">
        <v>0.85429999999999995</v>
      </c>
      <c r="FO8">
        <v>2.3197000000000001</v>
      </c>
      <c r="FP8">
        <v>9.6639999999999997</v>
      </c>
      <c r="FQ8">
        <v>0.31850000000000001</v>
      </c>
      <c r="FR8">
        <v>1.1314</v>
      </c>
      <c r="FS8">
        <v>15.757999999999999</v>
      </c>
      <c r="FT8">
        <v>0.51590000000000003</v>
      </c>
      <c r="FU8">
        <v>1.0846</v>
      </c>
      <c r="FV8">
        <v>4.5679999999999996</v>
      </c>
      <c r="FW8">
        <v>0.30270000000000002</v>
      </c>
      <c r="FX8">
        <v>1.0392999999999999</v>
      </c>
      <c r="FY8" s="351">
        <v>0</v>
      </c>
      <c r="FZ8">
        <v>0.5544</v>
      </c>
      <c r="GA8">
        <v>4.8979999999999997</v>
      </c>
      <c r="GB8">
        <v>4.9413</v>
      </c>
      <c r="GC8">
        <v>21.899899999999999</v>
      </c>
      <c r="GD8">
        <v>6.1109999999999998</v>
      </c>
      <c r="GE8">
        <v>0.86260000000000003</v>
      </c>
      <c r="GF8">
        <v>1.9041999999999999</v>
      </c>
      <c r="GG8">
        <v>9.6609999999999996</v>
      </c>
      <c r="GH8">
        <v>0.53239999999999998</v>
      </c>
      <c r="GI8">
        <v>1.8992</v>
      </c>
      <c r="GJ8">
        <v>15.760999999999999</v>
      </c>
      <c r="GK8">
        <v>0.1414</v>
      </c>
      <c r="GL8">
        <v>0.29530000000000001</v>
      </c>
      <c r="GP8" s="9">
        <v>4.3680000000000003</v>
      </c>
      <c r="GQ8" s="9">
        <v>10.3338</v>
      </c>
      <c r="GR8" s="9">
        <v>18.9313</v>
      </c>
      <c r="GS8" s="351">
        <f>(GQ8-0.8355)/3.069</f>
        <v>3.0949169110459436</v>
      </c>
      <c r="GT8" s="9">
        <v>4.3243</v>
      </c>
      <c r="GU8" s="9">
        <v>4.8810000000000002</v>
      </c>
      <c r="GV8" s="9">
        <v>2.9247999999999998</v>
      </c>
      <c r="GW8" s="9">
        <v>8.6067</v>
      </c>
      <c r="GX8">
        <v>6.1310000000000002</v>
      </c>
      <c r="GY8">
        <v>1.9395</v>
      </c>
      <c r="GZ8">
        <v>3.851</v>
      </c>
      <c r="HA8">
        <v>9.6609999999999996</v>
      </c>
      <c r="HB8">
        <v>0.63859999999999995</v>
      </c>
      <c r="HC8">
        <v>2.2709999999999999</v>
      </c>
      <c r="HD8">
        <v>15.760999999999999</v>
      </c>
      <c r="HE8">
        <v>0.51229999999999998</v>
      </c>
      <c r="HF8">
        <v>1.0660000000000001</v>
      </c>
      <c r="HG8" s="9">
        <v>4.3810000000000002</v>
      </c>
      <c r="HH8" s="9">
        <v>22.195599999999999</v>
      </c>
      <c r="HI8" s="9">
        <v>26.541</v>
      </c>
      <c r="HJ8" s="351">
        <f>(HH8-0.8355)/3.069</f>
        <v>6.9599543825350274</v>
      </c>
      <c r="HK8" s="9">
        <v>8.7822999999999993</v>
      </c>
      <c r="HL8" s="9">
        <v>4.915</v>
      </c>
      <c r="HM8" s="9">
        <v>9.0302000000000007</v>
      </c>
      <c r="HN8" s="9">
        <v>28.242799999999999</v>
      </c>
      <c r="HO8">
        <v>6.1310000000000002</v>
      </c>
      <c r="HP8">
        <v>2.6356000000000002</v>
      </c>
      <c r="HQ8">
        <v>5.8887999999999998</v>
      </c>
      <c r="HR8">
        <v>9.6609999999999996</v>
      </c>
      <c r="HS8">
        <v>0.65659999999999996</v>
      </c>
      <c r="HT8">
        <v>2.3361999999999998</v>
      </c>
      <c r="HU8">
        <v>15.755000000000001</v>
      </c>
      <c r="HV8">
        <v>1.5051000000000001</v>
      </c>
      <c r="HW8">
        <v>3.1760000000000002</v>
      </c>
      <c r="IA8" s="9">
        <v>4.3650000000000002</v>
      </c>
      <c r="IB8" s="9">
        <v>8.9111999999999991</v>
      </c>
      <c r="IC8" s="9">
        <v>15.950900000000001</v>
      </c>
      <c r="ID8" s="351">
        <f>(IB8-0.8355)/3.069</f>
        <v>2.6313782991202346</v>
      </c>
      <c r="IE8">
        <v>3.7896000000000001</v>
      </c>
      <c r="IF8" s="9">
        <v>4.8810000000000002</v>
      </c>
      <c r="IG8" s="9">
        <v>1.7194</v>
      </c>
      <c r="IH8" s="9">
        <v>8.7311999999999994</v>
      </c>
      <c r="II8">
        <v>6.125</v>
      </c>
      <c r="IJ8">
        <v>1.6711</v>
      </c>
      <c r="IK8">
        <v>3.0015000000000001</v>
      </c>
      <c r="IL8">
        <v>7.1710000000000003</v>
      </c>
      <c r="IM8">
        <v>0.13550000000000001</v>
      </c>
      <c r="IN8">
        <v>0.6179</v>
      </c>
      <c r="IO8">
        <v>9.6609999999999996</v>
      </c>
      <c r="IP8">
        <v>0.2331</v>
      </c>
      <c r="IQ8">
        <v>0.81589999999999996</v>
      </c>
      <c r="IR8">
        <v>15.760999999999999</v>
      </c>
      <c r="IS8">
        <v>0.437</v>
      </c>
      <c r="IT8">
        <v>0.91090000000000004</v>
      </c>
      <c r="IX8">
        <v>4.3630000000000004</v>
      </c>
      <c r="IY8">
        <v>10.3256</v>
      </c>
      <c r="IZ8">
        <v>19.604099999999999</v>
      </c>
      <c r="JA8" s="351">
        <f>(IY8-0.8355)/3.069</f>
        <v>3.0922450309547083</v>
      </c>
      <c r="JB8">
        <v>4.3212000000000002</v>
      </c>
      <c r="JC8">
        <v>6.1230000000000002</v>
      </c>
      <c r="JD8">
        <v>0.67390000000000005</v>
      </c>
      <c r="JE8">
        <v>2.5156000000000001</v>
      </c>
      <c r="JI8">
        <v>9.657</v>
      </c>
      <c r="JJ8">
        <v>4.1599999999999998E-2</v>
      </c>
      <c r="JK8">
        <v>0.14660000000000001</v>
      </c>
      <c r="JL8">
        <v>15.757</v>
      </c>
      <c r="JM8">
        <v>0.49370000000000003</v>
      </c>
      <c r="JN8">
        <v>1.0299</v>
      </c>
      <c r="JR8">
        <v>4.3710000000000004</v>
      </c>
      <c r="JS8">
        <v>11.403600000000001</v>
      </c>
      <c r="JT8">
        <v>23.53</v>
      </c>
      <c r="JU8" s="351">
        <f>(JS8-0.8355)/3.069</f>
        <v>3.443499511241447</v>
      </c>
      <c r="JV8">
        <v>4.7263999999999999</v>
      </c>
      <c r="JW8">
        <v>6.0979999999999999</v>
      </c>
      <c r="JX8">
        <v>0.52790000000000004</v>
      </c>
      <c r="JY8">
        <v>2.5363000000000002</v>
      </c>
      <c r="JZ8">
        <v>9.6639999999999997</v>
      </c>
      <c r="KA8">
        <v>1.3527</v>
      </c>
      <c r="KB8">
        <v>4.9242999999999997</v>
      </c>
      <c r="KC8">
        <v>15.757999999999999</v>
      </c>
      <c r="KD8">
        <v>1.4891000000000001</v>
      </c>
      <c r="KE8">
        <v>3.1472000000000002</v>
      </c>
      <c r="KI8">
        <v>4.3710000000000004</v>
      </c>
      <c r="KJ8">
        <v>11.8515</v>
      </c>
      <c r="KK8">
        <v>24.098600000000001</v>
      </c>
      <c r="KL8" s="351">
        <f>(KJ8-0.8355)/3.069</f>
        <v>3.5894428152492668</v>
      </c>
      <c r="KM8">
        <v>4.8947000000000003</v>
      </c>
      <c r="KN8">
        <v>6.0979999999999999</v>
      </c>
      <c r="KO8">
        <v>0.51060000000000005</v>
      </c>
      <c r="KP8">
        <v>2.5057</v>
      </c>
      <c r="KQ8">
        <v>9.6649999999999991</v>
      </c>
      <c r="KR8">
        <v>1.403</v>
      </c>
      <c r="KS8">
        <v>5.1197999999999997</v>
      </c>
      <c r="KT8">
        <v>15.755000000000001</v>
      </c>
      <c r="KU8">
        <v>1.1606000000000001</v>
      </c>
      <c r="KV8">
        <v>2.4434</v>
      </c>
      <c r="KW8">
        <v>4.3680000000000003</v>
      </c>
      <c r="KX8">
        <v>10.958500000000001</v>
      </c>
      <c r="KY8">
        <v>22.233699999999999</v>
      </c>
      <c r="KZ8" s="351">
        <f>(KX8-0.8355)/3.069</f>
        <v>3.2984685565330731</v>
      </c>
      <c r="LA8">
        <v>4.5590999999999999</v>
      </c>
      <c r="LB8">
        <v>6.0979999999999999</v>
      </c>
      <c r="LC8">
        <v>0.53080000000000005</v>
      </c>
      <c r="LD8">
        <v>2.5632999999999999</v>
      </c>
      <c r="LE8">
        <v>9.6609999999999996</v>
      </c>
      <c r="LF8">
        <v>1.3685</v>
      </c>
      <c r="LG8">
        <v>0.99760000000000004</v>
      </c>
      <c r="LH8">
        <v>15.754</v>
      </c>
      <c r="LI8">
        <v>1.4453</v>
      </c>
      <c r="LJ8">
        <v>3.0533999999999999</v>
      </c>
      <c r="LN8">
        <v>4.3680000000000003</v>
      </c>
      <c r="LO8">
        <v>11.041499999999999</v>
      </c>
      <c r="LP8">
        <v>22.544799999999999</v>
      </c>
      <c r="LQ8" s="351">
        <f>(LO8-0.8355)/3.069</f>
        <v>3.3255131964809381</v>
      </c>
      <c r="LR8">
        <v>4.5903</v>
      </c>
      <c r="LS8">
        <v>6.0979999999999999</v>
      </c>
      <c r="LT8">
        <v>0.54020000000000001</v>
      </c>
      <c r="LU8">
        <v>2.6061999999999999</v>
      </c>
      <c r="LV8">
        <v>9.6639999999999997</v>
      </c>
      <c r="LW8">
        <v>1.3002</v>
      </c>
      <c r="LX8">
        <v>4.7694000000000001</v>
      </c>
      <c r="LY8">
        <v>15.757999999999999</v>
      </c>
      <c r="LZ8">
        <v>1.3762000000000001</v>
      </c>
      <c r="MA8">
        <v>2.9144000000000001</v>
      </c>
      <c r="ME8" t="s">
        <v>1638</v>
      </c>
      <c r="MH8" s="351">
        <f>(MF8-0.8355)/3.069</f>
        <v>-0.27223851417399808</v>
      </c>
      <c r="MJ8">
        <v>6.0940000000000003</v>
      </c>
      <c r="MK8">
        <v>0.55279999999999996</v>
      </c>
      <c r="ML8">
        <v>2.3714</v>
      </c>
      <c r="MM8">
        <v>9.6579999999999995</v>
      </c>
      <c r="MN8">
        <v>1.2269000000000001</v>
      </c>
      <c r="MO8">
        <v>4.4455</v>
      </c>
      <c r="MP8">
        <v>15.754</v>
      </c>
      <c r="MQ8">
        <v>0.1893</v>
      </c>
      <c r="MR8">
        <v>0.40089999999999998</v>
      </c>
      <c r="MV8" t="s">
        <v>1660</v>
      </c>
      <c r="MY8" s="351">
        <f>(MW8-0.8355)/3.069</f>
        <v>-0.27223851417399808</v>
      </c>
      <c r="NA8">
        <v>6.101</v>
      </c>
      <c r="NB8">
        <v>0.40620000000000001</v>
      </c>
      <c r="NC8">
        <v>1.7676000000000001</v>
      </c>
      <c r="ND8">
        <v>9.6639999999999997</v>
      </c>
      <c r="NE8">
        <v>0.61960000000000004</v>
      </c>
      <c r="NF8">
        <v>2.2481</v>
      </c>
      <c r="NG8">
        <v>15.760999999999999</v>
      </c>
      <c r="NH8">
        <v>0.18290000000000001</v>
      </c>
      <c r="NI8">
        <v>0.38200000000000001</v>
      </c>
      <c r="NO8" s="12">
        <f t="shared" si="0"/>
        <v>2.3054197892907573</v>
      </c>
      <c r="NP8" s="12">
        <f t="shared" si="1"/>
        <v>5.0274356467904857</v>
      </c>
      <c r="NQ8" s="12">
        <f t="shared" si="2"/>
        <v>4.0467904855001633</v>
      </c>
      <c r="NR8" s="12">
        <f t="shared" si="3"/>
        <v>2.8618116650374716</v>
      </c>
      <c r="NS8" s="12">
        <f t="shared" si="4"/>
        <v>3.3119908765070054</v>
      </c>
    </row>
    <row r="9" spans="1:383">
      <c r="A9" t="s">
        <v>1663</v>
      </c>
      <c r="B9" s="14">
        <v>44712</v>
      </c>
      <c r="C9" s="12">
        <v>570.43333333333328</v>
      </c>
      <c r="D9" s="9">
        <v>4.3739999999999997</v>
      </c>
      <c r="E9" s="9">
        <v>13.324</v>
      </c>
      <c r="F9" s="9">
        <v>21.058700000000002</v>
      </c>
      <c r="G9" s="12">
        <f>(E9-0.8724)/3.4493</f>
        <v>3.6098918621169509</v>
      </c>
      <c r="H9" s="9">
        <v>5.4481000000000002</v>
      </c>
      <c r="I9" s="9">
        <v>4.8609999999999998</v>
      </c>
      <c r="J9" s="9">
        <v>2.3719999999999999</v>
      </c>
      <c r="K9" s="9">
        <v>6.6638999999999999</v>
      </c>
      <c r="O9">
        <v>9.6679999999999993</v>
      </c>
      <c r="P9">
        <v>8.8400000000000006E-2</v>
      </c>
      <c r="Q9">
        <v>0.29859999999999998</v>
      </c>
      <c r="U9" s="9">
        <v>4.375</v>
      </c>
      <c r="V9" s="9">
        <v>11.0716</v>
      </c>
      <c r="W9" s="9">
        <v>20.487100000000002</v>
      </c>
      <c r="X9" s="12">
        <f>(V9-0.8724)/3.4493</f>
        <v>2.9568898037282927</v>
      </c>
      <c r="Y9" s="9">
        <v>4.6016000000000004</v>
      </c>
      <c r="Z9" s="9">
        <v>4.8710000000000004</v>
      </c>
      <c r="AA9" s="9">
        <v>4.4351000000000003</v>
      </c>
      <c r="AB9" s="9">
        <v>16.6812</v>
      </c>
      <c r="AC9">
        <v>6.218</v>
      </c>
      <c r="AD9">
        <v>2.5387</v>
      </c>
      <c r="AE9">
        <v>4.8102999999999998</v>
      </c>
      <c r="AF9">
        <v>9.6709999999999994</v>
      </c>
      <c r="AG9">
        <v>4.7199999999999999E-2</v>
      </c>
      <c r="AH9">
        <v>0.15870000000000001</v>
      </c>
      <c r="AI9">
        <v>15.801</v>
      </c>
      <c r="AJ9">
        <v>0.44700000000000001</v>
      </c>
      <c r="AK9">
        <v>0.92369999999999997</v>
      </c>
      <c r="AL9" s="9">
        <v>4.3710000000000004</v>
      </c>
      <c r="AM9" s="9">
        <v>12.6934</v>
      </c>
      <c r="AN9" s="9">
        <v>21.8156</v>
      </c>
      <c r="AO9" s="12">
        <f>(AM9-0.8724)/3.4493</f>
        <v>3.427072159568608</v>
      </c>
      <c r="AP9" s="9">
        <v>5.2111000000000001</v>
      </c>
      <c r="AQ9" s="9">
        <v>4.8650000000000002</v>
      </c>
      <c r="AR9" s="9">
        <v>2.6335000000000002</v>
      </c>
      <c r="AS9" s="9">
        <v>9.6540999999999997</v>
      </c>
      <c r="AT9" s="9">
        <v>6.218</v>
      </c>
      <c r="AU9" s="9">
        <v>1.7785</v>
      </c>
      <c r="AV9" s="9">
        <v>4.6570999999999998</v>
      </c>
      <c r="AW9">
        <v>9.6709999999999994</v>
      </c>
      <c r="AX9">
        <v>0.4073</v>
      </c>
      <c r="AY9">
        <v>1.3683000000000001</v>
      </c>
      <c r="AZ9">
        <v>15.798</v>
      </c>
      <c r="BA9">
        <v>0.48880000000000001</v>
      </c>
      <c r="BB9">
        <v>1.0111000000000001</v>
      </c>
      <c r="BC9" s="9">
        <v>4.351</v>
      </c>
      <c r="BD9" s="9">
        <v>0.16</v>
      </c>
      <c r="BE9" s="9">
        <v>0.4506</v>
      </c>
      <c r="BF9" s="12">
        <f>(BD9-0.8724)/3.4493</f>
        <v>-0.20653465920621572</v>
      </c>
      <c r="BG9" s="9">
        <v>0.50070000000000003</v>
      </c>
      <c r="BH9" s="9">
        <v>4.8609999999999998</v>
      </c>
      <c r="BI9" s="9">
        <v>4.1045999999999996</v>
      </c>
      <c r="BJ9" s="9">
        <v>14.2941</v>
      </c>
      <c r="BK9" s="9">
        <v>6.2140000000000004</v>
      </c>
      <c r="BL9" s="9">
        <v>1.6445000000000001</v>
      </c>
      <c r="BM9" s="9">
        <v>3.9769999999999999</v>
      </c>
      <c r="BQ9">
        <v>9.6639999999999997</v>
      </c>
      <c r="BR9">
        <v>3.4000000000000002E-2</v>
      </c>
      <c r="BS9">
        <v>0.11899999999999999</v>
      </c>
      <c r="BT9">
        <v>15.794</v>
      </c>
      <c r="BU9">
        <v>0.36940000000000001</v>
      </c>
      <c r="BV9">
        <v>0.76019999999999999</v>
      </c>
      <c r="BZ9" s="9">
        <v>4.3579999999999997</v>
      </c>
      <c r="CA9" s="9">
        <v>0.1077</v>
      </c>
      <c r="CB9" s="9">
        <v>0.30299999999999999</v>
      </c>
      <c r="CC9" s="12">
        <f>(CA9-0.8724)/3.4493</f>
        <v>-0.22169715594468442</v>
      </c>
      <c r="CD9" s="9">
        <v>0.48110000000000003</v>
      </c>
      <c r="CE9" s="9">
        <v>4.8680000000000003</v>
      </c>
      <c r="CF9" s="9">
        <v>4.9946999999999999</v>
      </c>
      <c r="CG9" s="9">
        <v>17.6006</v>
      </c>
      <c r="CH9">
        <v>6.2149999999999999</v>
      </c>
      <c r="CI9">
        <v>1.9056</v>
      </c>
      <c r="CJ9">
        <v>4.9878</v>
      </c>
      <c r="CN9">
        <v>9.6649999999999991</v>
      </c>
      <c r="CO9">
        <v>3.3000000000000002E-2</v>
      </c>
      <c r="CP9">
        <v>0.11219999999999999</v>
      </c>
      <c r="CQ9">
        <v>15.791</v>
      </c>
      <c r="CR9">
        <v>0.1956</v>
      </c>
      <c r="CS9">
        <v>0.40620000000000001</v>
      </c>
      <c r="CW9" s="9">
        <v>4.3440000000000003</v>
      </c>
      <c r="CX9" s="9">
        <f>1.5578+0.1987+0.4432</f>
        <v>2.1997</v>
      </c>
      <c r="CY9" s="9">
        <v>2.4340999999999999</v>
      </c>
      <c r="CZ9" s="12">
        <f>(CX9-0.8724)/3.4493</f>
        <v>0.3848027135940626</v>
      </c>
      <c r="DA9" s="9">
        <v>1.026</v>
      </c>
      <c r="DB9" s="9">
        <v>4.8579999999999997</v>
      </c>
      <c r="DC9" s="9">
        <v>0.2155</v>
      </c>
      <c r="DD9" s="9">
        <v>1.0148999999999999</v>
      </c>
      <c r="DE9">
        <v>6.0910000000000002</v>
      </c>
      <c r="DF9">
        <v>0.46739999999999998</v>
      </c>
      <c r="DG9">
        <v>2.105</v>
      </c>
      <c r="DH9">
        <v>9.6579999999999995</v>
      </c>
      <c r="DI9">
        <v>0.4027</v>
      </c>
      <c r="DJ9">
        <v>1.4376</v>
      </c>
      <c r="DN9">
        <v>15.791</v>
      </c>
      <c r="DO9">
        <v>0.1179</v>
      </c>
      <c r="DP9">
        <v>0.2402</v>
      </c>
      <c r="DT9" s="9">
        <v>4.3680000000000003</v>
      </c>
      <c r="DU9" s="9">
        <v>7.6074000000000002</v>
      </c>
      <c r="DV9" s="9">
        <v>15.0284</v>
      </c>
      <c r="DW9" s="12">
        <f>(DU9-0.8724)/3.4493</f>
        <v>1.9525700866842548</v>
      </c>
      <c r="DX9" s="9">
        <v>3.2995999999999999</v>
      </c>
      <c r="DY9" s="9">
        <v>4.9039999999999999</v>
      </c>
      <c r="DZ9" s="9">
        <v>5.9688999999999997</v>
      </c>
      <c r="EA9" s="9">
        <v>23.0259</v>
      </c>
      <c r="EB9" s="9">
        <v>6.1139999999999999</v>
      </c>
      <c r="EC9" s="9">
        <v>1.1694</v>
      </c>
      <c r="ED9" s="9">
        <v>2.8347000000000002</v>
      </c>
      <c r="EE9" s="9">
        <v>9.6579999999999995</v>
      </c>
      <c r="EF9" s="9">
        <v>8.5300000000000001E-2</v>
      </c>
      <c r="EG9" s="9">
        <v>0.30259999999999998</v>
      </c>
      <c r="EH9" s="9">
        <v>15.788</v>
      </c>
      <c r="EI9" s="9">
        <v>0.54100000000000004</v>
      </c>
      <c r="EJ9" s="9">
        <v>1.1351</v>
      </c>
      <c r="EK9" s="9">
        <v>4.3609999999999998</v>
      </c>
      <c r="EL9" s="9">
        <v>6.9661</v>
      </c>
      <c r="EM9" s="9">
        <v>11.586600000000001</v>
      </c>
      <c r="EN9" s="12">
        <f>(EL9-0.8724)/3.4493</f>
        <v>1.7666483054532804</v>
      </c>
      <c r="EO9">
        <v>3.0586000000000002</v>
      </c>
      <c r="EP9" s="9">
        <v>4.9210000000000003</v>
      </c>
      <c r="EQ9" s="9">
        <v>6.9797000000000002</v>
      </c>
      <c r="ER9" s="9">
        <v>32.952199999999998</v>
      </c>
      <c r="ES9">
        <v>6.0910000000000002</v>
      </c>
      <c r="ET9">
        <v>1.7216</v>
      </c>
      <c r="EU9">
        <v>3.4011999999999998</v>
      </c>
      <c r="EV9">
        <v>9.6579999999999995</v>
      </c>
      <c r="EW9">
        <v>0.2281</v>
      </c>
      <c r="EX9">
        <v>0.81530000000000002</v>
      </c>
      <c r="EY9">
        <v>15.784000000000001</v>
      </c>
      <c r="EZ9">
        <v>0.44550000000000001</v>
      </c>
      <c r="FA9">
        <v>0.92810000000000004</v>
      </c>
      <c r="FE9" s="9">
        <v>4.3639999999999999</v>
      </c>
      <c r="FF9" s="9">
        <v>8.3492999999999995</v>
      </c>
      <c r="FG9" s="9">
        <v>14.176399999999999</v>
      </c>
      <c r="FH9" s="12">
        <f>(FF9-0.8724)/3.4493</f>
        <v>2.1676572058098742</v>
      </c>
      <c r="FI9" s="9">
        <v>3.0545</v>
      </c>
      <c r="FJ9" s="9">
        <v>4.9080000000000004</v>
      </c>
      <c r="FK9" s="9">
        <v>6.3272000000000004</v>
      </c>
      <c r="FL9" s="9">
        <v>27.259</v>
      </c>
      <c r="FM9">
        <v>6.1139999999999999</v>
      </c>
      <c r="FN9">
        <v>1.3059000000000001</v>
      </c>
      <c r="FO9">
        <v>2.8965000000000001</v>
      </c>
      <c r="FP9">
        <v>9.6579999999999995</v>
      </c>
      <c r="FQ9">
        <v>9.3200000000000005E-2</v>
      </c>
      <c r="FR9">
        <v>0.33090000000000003</v>
      </c>
      <c r="FS9">
        <v>15.791</v>
      </c>
      <c r="FT9">
        <v>0.64439999999999997</v>
      </c>
      <c r="FU9">
        <v>1.3480000000000001</v>
      </c>
      <c r="FV9">
        <v>4.5579999999999998</v>
      </c>
      <c r="FW9">
        <v>0.28539999999999999</v>
      </c>
      <c r="FX9">
        <v>0.77569999999999995</v>
      </c>
      <c r="FY9" s="12">
        <v>0</v>
      </c>
      <c r="FZ9">
        <v>0.54790000000000005</v>
      </c>
      <c r="GA9">
        <v>4.8949999999999996</v>
      </c>
      <c r="GB9">
        <v>4.6748000000000003</v>
      </c>
      <c r="GC9">
        <v>20.0989</v>
      </c>
      <c r="GD9">
        <v>6.101</v>
      </c>
      <c r="GE9">
        <v>1.0085999999999999</v>
      </c>
      <c r="GF9">
        <v>2.5474999999999999</v>
      </c>
      <c r="GG9">
        <v>9.6549999999999994</v>
      </c>
      <c r="GH9">
        <v>4.3799999999999999E-2</v>
      </c>
      <c r="GI9">
        <v>0.15679999999999999</v>
      </c>
      <c r="GJ9">
        <v>15.785</v>
      </c>
      <c r="GK9">
        <v>0.19450000000000001</v>
      </c>
      <c r="GL9">
        <v>0.4052</v>
      </c>
      <c r="GP9" s="9">
        <v>4.3650000000000002</v>
      </c>
      <c r="GQ9" s="9">
        <v>11.263299999999999</v>
      </c>
      <c r="GR9" s="9">
        <v>18.158899999999999</v>
      </c>
      <c r="GS9" s="12">
        <f>(GQ9-0.8724)/3.4493</f>
        <v>3.012466297509639</v>
      </c>
      <c r="GT9" s="9">
        <v>4.6736000000000004</v>
      </c>
      <c r="GU9" s="9">
        <v>4.8879999999999999</v>
      </c>
      <c r="GV9" s="9">
        <v>3.2848000000000002</v>
      </c>
      <c r="GW9" s="9">
        <v>12.765700000000001</v>
      </c>
      <c r="GX9">
        <v>6.125</v>
      </c>
      <c r="GY9">
        <v>1.5704</v>
      </c>
      <c r="GZ9">
        <v>3.6326999999999998</v>
      </c>
      <c r="HA9">
        <v>9.6549999999999994</v>
      </c>
      <c r="HB9">
        <v>0.58499999999999996</v>
      </c>
      <c r="HC9">
        <v>2.0733999999999999</v>
      </c>
      <c r="HD9">
        <v>15.788</v>
      </c>
      <c r="HE9">
        <v>0.4733</v>
      </c>
      <c r="HF9">
        <v>0.98060000000000003</v>
      </c>
      <c r="HG9" s="9">
        <v>4.3710000000000004</v>
      </c>
      <c r="HH9" s="9">
        <v>17.503299999999999</v>
      </c>
      <c r="HI9" s="9">
        <v>22.776599999999998</v>
      </c>
      <c r="HJ9" s="12">
        <f>(HH9-0.8724)/3.4493</f>
        <v>4.8215290058852522</v>
      </c>
      <c r="HK9" s="9">
        <v>7.0187999999999997</v>
      </c>
      <c r="HL9" s="9">
        <v>4.915</v>
      </c>
      <c r="HM9" s="9">
        <v>7.0781000000000001</v>
      </c>
      <c r="HN9" s="9">
        <v>29.1189</v>
      </c>
      <c r="HO9">
        <v>6.1310000000000002</v>
      </c>
      <c r="HP9">
        <v>2.6743000000000001</v>
      </c>
      <c r="HQ9">
        <v>6.4492000000000003</v>
      </c>
      <c r="HR9">
        <v>9.6549999999999994</v>
      </c>
      <c r="HS9">
        <v>0.55469999999999997</v>
      </c>
      <c r="HT9">
        <v>1.9655</v>
      </c>
      <c r="HU9">
        <v>15.781000000000001</v>
      </c>
      <c r="HV9">
        <v>1.262</v>
      </c>
      <c r="HW9">
        <v>2.6417000000000002</v>
      </c>
      <c r="IA9" s="9">
        <v>4.3579999999999997</v>
      </c>
      <c r="IB9" s="9">
        <v>8.2026000000000003</v>
      </c>
      <c r="IC9" s="9">
        <v>16.154800000000002</v>
      </c>
      <c r="ID9" s="12">
        <f>(IB9-0.8724)/3.4493</f>
        <v>2.1251268373293133</v>
      </c>
      <c r="IE9">
        <v>3.5232999999999999</v>
      </c>
      <c r="IF9" s="9">
        <v>6.1210000000000004</v>
      </c>
      <c r="IG9" s="9">
        <v>0.78690000000000004</v>
      </c>
      <c r="IH9" s="9">
        <v>2.8893</v>
      </c>
      <c r="IO9">
        <v>9.6539999999999999</v>
      </c>
      <c r="IP9">
        <v>0.38540000000000002</v>
      </c>
      <c r="IQ9">
        <v>1.3507</v>
      </c>
      <c r="IR9">
        <v>15.784000000000001</v>
      </c>
      <c r="IS9">
        <v>0.44319999999999998</v>
      </c>
      <c r="IT9">
        <v>0.91479999999999995</v>
      </c>
      <c r="IX9">
        <v>4.3609999999999998</v>
      </c>
      <c r="IY9">
        <v>9.6563999999999997</v>
      </c>
      <c r="IZ9">
        <v>18.801600000000001</v>
      </c>
      <c r="JA9" s="12">
        <f>(IY9-0.8724)/3.4493</f>
        <v>2.5466036587133618</v>
      </c>
      <c r="JB9">
        <v>4.0697000000000001</v>
      </c>
      <c r="JC9">
        <v>6.117</v>
      </c>
      <c r="JD9">
        <v>0.82150000000000001</v>
      </c>
      <c r="JE9">
        <v>3.0602999999999998</v>
      </c>
      <c r="JF9">
        <v>7.1639999999999997</v>
      </c>
      <c r="JG9">
        <v>0.64759999999999995</v>
      </c>
      <c r="JH9">
        <v>0.73629999999999995</v>
      </c>
      <c r="JI9">
        <v>9.6539999999999999</v>
      </c>
      <c r="JJ9">
        <v>9.9500000000000005E-2</v>
      </c>
      <c r="JK9">
        <v>0.34799999999999998</v>
      </c>
      <c r="JL9">
        <v>15.784000000000001</v>
      </c>
      <c r="JM9">
        <v>0.49459999999999998</v>
      </c>
      <c r="JN9">
        <v>1.0307999999999999</v>
      </c>
      <c r="JR9">
        <v>4.3710000000000004</v>
      </c>
      <c r="JS9">
        <v>11.0985</v>
      </c>
      <c r="JT9">
        <v>23.254999999999999</v>
      </c>
      <c r="JU9" s="12">
        <f>(JS9-0.8724)/3.4493</f>
        <v>2.9646884875192066</v>
      </c>
      <c r="JV9">
        <v>4.6116999999999999</v>
      </c>
      <c r="JW9">
        <v>6.0940000000000003</v>
      </c>
      <c r="JX9">
        <v>0.3952</v>
      </c>
      <c r="JY9">
        <v>1.873</v>
      </c>
      <c r="JZ9">
        <v>9.6609999999999996</v>
      </c>
      <c r="KA9">
        <v>1.147</v>
      </c>
      <c r="KB9">
        <v>4.1393000000000004</v>
      </c>
      <c r="KC9">
        <v>15.784000000000001</v>
      </c>
      <c r="KD9">
        <v>1.3024</v>
      </c>
      <c r="KE9">
        <v>2.7307000000000001</v>
      </c>
      <c r="KI9">
        <v>4.3680000000000003</v>
      </c>
      <c r="KJ9">
        <v>11.639200000000001</v>
      </c>
      <c r="KK9">
        <v>23.884799999999998</v>
      </c>
      <c r="KL9" s="12">
        <f>(KJ9-0.8724)/3.4493</f>
        <v>3.1214449308555356</v>
      </c>
      <c r="KM9">
        <v>4.8148999999999997</v>
      </c>
      <c r="KN9">
        <v>6.0949999999999998</v>
      </c>
      <c r="KO9">
        <v>0.34589999999999999</v>
      </c>
      <c r="KP9">
        <v>1.8573</v>
      </c>
      <c r="KQ9">
        <v>9.6579999999999995</v>
      </c>
      <c r="KR9">
        <v>1.1053999999999999</v>
      </c>
      <c r="KS9">
        <v>3.9889000000000001</v>
      </c>
      <c r="KT9">
        <v>15.781000000000001</v>
      </c>
      <c r="KU9">
        <v>1.1425000000000001</v>
      </c>
      <c r="KV9">
        <v>2.3919000000000001</v>
      </c>
      <c r="KW9">
        <v>4.3650000000000002</v>
      </c>
      <c r="KX9">
        <v>10.529199999999999</v>
      </c>
      <c r="KY9">
        <v>21.914400000000001</v>
      </c>
      <c r="KZ9" s="12">
        <f>(KX9-0.8724)/3.4493</f>
        <v>2.7996405067694892</v>
      </c>
      <c r="LA9">
        <v>4.3977000000000004</v>
      </c>
      <c r="LB9">
        <v>6.0979999999999999</v>
      </c>
      <c r="LC9">
        <v>0.37190000000000001</v>
      </c>
      <c r="LD9">
        <v>1.9887999999999999</v>
      </c>
      <c r="LE9">
        <v>9.6579999999999995</v>
      </c>
      <c r="LF9">
        <v>1.4269000000000001</v>
      </c>
      <c r="LG9">
        <v>4.0617999999999999</v>
      </c>
      <c r="LH9">
        <v>15.778</v>
      </c>
      <c r="LI9">
        <v>1.3657999999999999</v>
      </c>
      <c r="LJ9">
        <v>2.8803999999999998</v>
      </c>
      <c r="LN9">
        <v>4.3680000000000003</v>
      </c>
      <c r="LO9">
        <v>11.285500000000001</v>
      </c>
      <c r="LP9">
        <v>22.638300000000001</v>
      </c>
      <c r="LQ9" s="12">
        <f>(LO9-0.8724)/3.4493</f>
        <v>3.0189023859913604</v>
      </c>
      <c r="LR9">
        <v>4.6820000000000004</v>
      </c>
      <c r="LS9">
        <v>6.0979999999999999</v>
      </c>
      <c r="LT9">
        <v>7.6E-3</v>
      </c>
      <c r="LU9">
        <v>1.7696000000000001</v>
      </c>
      <c r="LV9">
        <v>9.6609999999999996</v>
      </c>
      <c r="LW9">
        <v>0.91180000000000005</v>
      </c>
      <c r="LX9">
        <v>3.2755999999999998</v>
      </c>
      <c r="LY9">
        <v>15.778</v>
      </c>
      <c r="LZ9">
        <v>1.5921000000000001</v>
      </c>
      <c r="MA9">
        <v>3.3571</v>
      </c>
      <c r="ME9" t="s">
        <v>1638</v>
      </c>
      <c r="MH9" s="12">
        <f>(MF9-0.8724)/3.4493</f>
        <v>-0.25292088249789813</v>
      </c>
      <c r="MJ9">
        <v>6.0940000000000003</v>
      </c>
      <c r="MK9">
        <v>0.3861</v>
      </c>
      <c r="ML9">
        <v>1.9895</v>
      </c>
      <c r="MM9">
        <v>9.6509999999999998</v>
      </c>
      <c r="MN9">
        <v>1.1044</v>
      </c>
      <c r="MO9">
        <v>3.9805999999999999</v>
      </c>
      <c r="MP9">
        <v>15.773999999999999</v>
      </c>
      <c r="MQ9">
        <v>0.14219999999999999</v>
      </c>
      <c r="MR9">
        <v>0.29339999999999999</v>
      </c>
      <c r="MV9" t="s">
        <v>1638</v>
      </c>
      <c r="MY9" s="12">
        <f>(MW9-0.8724)/3.4493</f>
        <v>-0.25292088249789813</v>
      </c>
      <c r="NA9">
        <v>6.0910000000000002</v>
      </c>
      <c r="NB9">
        <v>0.3957</v>
      </c>
      <c r="NC9">
        <v>1.6224000000000001</v>
      </c>
      <c r="ND9">
        <v>9.6539999999999999</v>
      </c>
      <c r="NE9">
        <v>0.48039999999999999</v>
      </c>
      <c r="NF9">
        <v>1.7111000000000001</v>
      </c>
      <c r="NG9">
        <v>15.718</v>
      </c>
      <c r="NH9">
        <v>13.6531</v>
      </c>
      <c r="NI9">
        <v>30.760999999999999</v>
      </c>
      <c r="NO9" s="12">
        <f t="shared" si="0"/>
        <v>1.96229186598247</v>
      </c>
      <c r="NP9" s="12">
        <f t="shared" si="1"/>
        <v>3.9169976516974456</v>
      </c>
      <c r="NQ9" s="12">
        <f t="shared" si="2"/>
        <v>3.3312846084712837</v>
      </c>
      <c r="NR9" s="12">
        <f t="shared" si="3"/>
        <v>2.3358652480213378</v>
      </c>
      <c r="NS9" s="12">
        <f t="shared" si="4"/>
        <v>2.9092714463804246</v>
      </c>
    </row>
    <row r="10" spans="1:383">
      <c r="FH10" s="14"/>
    </row>
    <row r="15" spans="1:383">
      <c r="G15" t="s">
        <v>1014</v>
      </c>
      <c r="H15" s="499" t="s">
        <v>1664</v>
      </c>
      <c r="I15" s="260">
        <v>0.875</v>
      </c>
    </row>
    <row r="16" spans="1:383">
      <c r="F16" t="s">
        <v>160</v>
      </c>
      <c r="G16" t="s">
        <v>1</v>
      </c>
      <c r="H16" t="s">
        <v>140</v>
      </c>
      <c r="I16" t="s">
        <v>191</v>
      </c>
      <c r="J16" t="s">
        <v>192</v>
      </c>
      <c r="K16" t="s">
        <v>194</v>
      </c>
      <c r="L16" t="s">
        <v>196</v>
      </c>
      <c r="M16" t="s">
        <v>197</v>
      </c>
    </row>
    <row r="17" spans="5:13">
      <c r="E17" t="s">
        <v>1665</v>
      </c>
      <c r="F17" s="14">
        <v>44690</v>
      </c>
      <c r="G17" s="32">
        <v>0.12916666666666668</v>
      </c>
      <c r="H17">
        <f>(24*2)-6</f>
        <v>42</v>
      </c>
      <c r="I17">
        <v>6</v>
      </c>
      <c r="J17">
        <f t="shared" ref="J17" si="23">(H17*60)+I17</f>
        <v>2526</v>
      </c>
      <c r="K17">
        <f t="shared" ref="K17" si="24">J17/60</f>
        <v>42.1</v>
      </c>
      <c r="L17">
        <f t="shared" ref="L17" si="25">(K17-M17)*60</f>
        <v>6.0000000000000853</v>
      </c>
      <c r="M17">
        <v>42</v>
      </c>
    </row>
    <row r="18" spans="5:13">
      <c r="E18" t="s">
        <v>1666</v>
      </c>
      <c r="F18" s="14">
        <v>44694</v>
      </c>
      <c r="G18" s="32">
        <v>0.45833333333333331</v>
      </c>
      <c r="H18">
        <f>K17+(24*4)-4</f>
        <v>134.1</v>
      </c>
      <c r="I18">
        <v>-6</v>
      </c>
      <c r="J18">
        <f t="shared" ref="J18:J23" si="26">(H18*60)+I18</f>
        <v>8040</v>
      </c>
      <c r="K18">
        <f t="shared" ref="K18:K23" si="27">J18/60</f>
        <v>134</v>
      </c>
      <c r="L18">
        <f t="shared" ref="L18:L23" si="28">(K18-M18)*60</f>
        <v>0</v>
      </c>
      <c r="M18">
        <v>134</v>
      </c>
    </row>
    <row r="19" spans="5:13">
      <c r="E19" t="s">
        <v>1667</v>
      </c>
      <c r="F19" s="14">
        <v>44697</v>
      </c>
      <c r="G19" s="32">
        <v>0.13125000000000001</v>
      </c>
      <c r="H19">
        <f>K18+(24*3)+4</f>
        <v>210</v>
      </c>
      <c r="I19">
        <v>9</v>
      </c>
      <c r="J19">
        <f t="shared" si="26"/>
        <v>12609</v>
      </c>
      <c r="K19">
        <f t="shared" si="27"/>
        <v>210.15</v>
      </c>
      <c r="L19">
        <f t="shared" si="28"/>
        <v>9.0000000000003411</v>
      </c>
      <c r="M19">
        <v>210</v>
      </c>
    </row>
    <row r="20" spans="5:13">
      <c r="E20" t="s">
        <v>1668</v>
      </c>
      <c r="F20" s="14">
        <v>44700</v>
      </c>
      <c r="G20" s="32">
        <v>0.3888888888888889</v>
      </c>
      <c r="H20">
        <f>K19+(24*3)-5</f>
        <v>277.14999999999998</v>
      </c>
      <c r="I20">
        <v>-40</v>
      </c>
      <c r="J20">
        <f t="shared" si="26"/>
        <v>16589</v>
      </c>
      <c r="K20">
        <f t="shared" si="27"/>
        <v>276.48333333333335</v>
      </c>
      <c r="L20">
        <f t="shared" si="28"/>
        <v>29.000000000000909</v>
      </c>
      <c r="M20">
        <v>276</v>
      </c>
    </row>
    <row r="21" spans="5:13">
      <c r="E21" t="s">
        <v>1669</v>
      </c>
      <c r="F21" s="14">
        <v>44704</v>
      </c>
      <c r="G21" s="32">
        <v>0.53333333333333333</v>
      </c>
      <c r="H21">
        <f>K20+(24*4)+3</f>
        <v>375.48333333333335</v>
      </c>
      <c r="I21">
        <v>28</v>
      </c>
      <c r="J21">
        <f t="shared" si="26"/>
        <v>22557</v>
      </c>
      <c r="K21">
        <f t="shared" si="27"/>
        <v>375.95</v>
      </c>
      <c r="L21">
        <f t="shared" si="28"/>
        <v>56.999999999999318</v>
      </c>
      <c r="M21">
        <v>375</v>
      </c>
    </row>
    <row r="22" spans="5:13">
      <c r="E22" t="s">
        <v>1670</v>
      </c>
      <c r="F22" s="14">
        <v>44706</v>
      </c>
      <c r="G22" s="32">
        <v>0.40833333333333338</v>
      </c>
      <c r="H22">
        <f>K21+(24*2)-3</f>
        <v>420.95</v>
      </c>
      <c r="I22">
        <v>0</v>
      </c>
      <c r="J22">
        <f t="shared" si="26"/>
        <v>25257</v>
      </c>
      <c r="K22">
        <f t="shared" si="27"/>
        <v>420.95</v>
      </c>
      <c r="L22">
        <f t="shared" si="28"/>
        <v>56.999999999999318</v>
      </c>
      <c r="M22">
        <v>420</v>
      </c>
    </row>
    <row r="23" spans="5:13">
      <c r="E23" t="s">
        <v>1671</v>
      </c>
      <c r="F23" s="14">
        <v>44712</v>
      </c>
      <c r="G23" s="32">
        <v>0.13680555555555554</v>
      </c>
      <c r="H23">
        <f>K22+(24*6)+5</f>
        <v>569.95000000000005</v>
      </c>
      <c r="I23">
        <v>29</v>
      </c>
      <c r="J23">
        <f t="shared" si="26"/>
        <v>34226</v>
      </c>
      <c r="K23">
        <f t="shared" si="27"/>
        <v>570.43333333333328</v>
      </c>
      <c r="L23">
        <f t="shared" si="28"/>
        <v>25.999999999996817</v>
      </c>
      <c r="M23">
        <v>570</v>
      </c>
    </row>
  </sheetData>
  <mergeCells count="20">
    <mergeCell ref="KI1:KV1"/>
    <mergeCell ref="KW1:LM1"/>
    <mergeCell ref="LN1:MD1"/>
    <mergeCell ref="ME1:MU1"/>
    <mergeCell ref="MV1:NL1"/>
    <mergeCell ref="GP1:HF1"/>
    <mergeCell ref="HG1:HZ1"/>
    <mergeCell ref="IA1:IW1"/>
    <mergeCell ref="IX1:JQ1"/>
    <mergeCell ref="JR1:KH1"/>
    <mergeCell ref="D1:T1"/>
    <mergeCell ref="U1:AK1"/>
    <mergeCell ref="AL1:BB1"/>
    <mergeCell ref="BC1:BY1"/>
    <mergeCell ref="BZ1:CV1"/>
    <mergeCell ref="CW1:DS1"/>
    <mergeCell ref="DT1:EJ1"/>
    <mergeCell ref="EK1:FD1"/>
    <mergeCell ref="FE1:FU1"/>
    <mergeCell ref="FV1:GO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2587-5F9E-194A-B77D-C9DA25ACFB16}">
  <dimension ref="A1:EB191"/>
  <sheetViews>
    <sheetView zoomScale="95" zoomScaleNormal="95" workbookViewId="0">
      <pane xSplit="1" topLeftCell="B1" activePane="topRight" state="frozen"/>
      <selection pane="topRight" activeCell="CL83" sqref="CL83"/>
    </sheetView>
  </sheetViews>
  <sheetFormatPr defaultColWidth="10.6640625" defaultRowHeight="15.5"/>
  <cols>
    <col min="4" max="4" width="10.83203125" style="66"/>
    <col min="5" max="6" width="10.83203125" style="4"/>
    <col min="7" max="7" width="10.83203125" style="133"/>
    <col min="8" max="9" width="10.83203125" style="1"/>
    <col min="10" max="10" width="10.83203125" style="134"/>
    <col min="11" max="12" width="10.83203125" style="2"/>
    <col min="13" max="13" width="10.83203125" style="135"/>
    <col min="14" max="15" width="10.83203125" style="3"/>
    <col min="16" max="16" width="10.83203125" style="136"/>
    <col min="17" max="18" width="10.83203125" style="72"/>
    <col min="19" max="19" width="10.83203125" style="137"/>
    <col min="20" max="23" width="10.83203125" style="34"/>
    <col min="25" max="26" width="10.83203125" customWidth="1"/>
    <col min="27" max="28" width="10.83203125" style="4" customWidth="1"/>
    <col min="29" max="30" width="10.83203125" style="1" customWidth="1"/>
    <col min="31" max="32" width="10.83203125" style="2" customWidth="1"/>
    <col min="33" max="34" width="10.83203125" style="3" customWidth="1"/>
    <col min="35" max="36" width="10.83203125" style="72" customWidth="1"/>
    <col min="37" max="52" width="10.83203125" customWidth="1"/>
    <col min="53" max="53" width="12.83203125" customWidth="1"/>
    <col min="54" max="74" width="10.83203125" customWidth="1"/>
    <col min="75" max="75" width="14.33203125" customWidth="1"/>
    <col min="76" max="76" width="17" customWidth="1"/>
    <col min="78" max="78" width="22.1640625" customWidth="1"/>
    <col min="79" max="79" width="18.33203125" customWidth="1"/>
    <col min="80" max="80" width="20.6640625" customWidth="1"/>
    <col min="81" max="81" width="17.33203125" customWidth="1"/>
    <col min="82" max="83" width="14.6640625" customWidth="1"/>
  </cols>
  <sheetData>
    <row r="1" spans="1:132">
      <c r="B1" t="s">
        <v>178</v>
      </c>
      <c r="E1" s="4" t="s">
        <v>184</v>
      </c>
      <c r="H1" s="1" t="s">
        <v>168</v>
      </c>
      <c r="K1" s="2" t="s">
        <v>169</v>
      </c>
      <c r="N1" s="3" t="s">
        <v>170</v>
      </c>
      <c r="Q1" s="72" t="s">
        <v>263</v>
      </c>
      <c r="Y1" t="s">
        <v>183</v>
      </c>
      <c r="AA1" s="4" t="s">
        <v>167</v>
      </c>
      <c r="AC1" s="1" t="s">
        <v>168</v>
      </c>
      <c r="AE1" s="2" t="s">
        <v>169</v>
      </c>
      <c r="AG1" s="3" t="s">
        <v>170</v>
      </c>
      <c r="AI1" s="72" t="s">
        <v>263</v>
      </c>
      <c r="AL1" t="s">
        <v>183</v>
      </c>
      <c r="AN1" t="s">
        <v>167</v>
      </c>
      <c r="AP1" t="s">
        <v>168</v>
      </c>
      <c r="AR1" t="s">
        <v>169</v>
      </c>
      <c r="AT1" t="s">
        <v>170</v>
      </c>
      <c r="AV1" t="s">
        <v>263</v>
      </c>
      <c r="BD1" t="s">
        <v>994</v>
      </c>
      <c r="BK1" t="s">
        <v>183</v>
      </c>
      <c r="BM1" s="4" t="s">
        <v>167</v>
      </c>
      <c r="BN1" s="4"/>
      <c r="BO1" s="1" t="s">
        <v>168</v>
      </c>
      <c r="BP1" s="1"/>
      <c r="BQ1" s="2" t="s">
        <v>169</v>
      </c>
      <c r="BR1" s="2"/>
      <c r="BS1" s="3" t="s">
        <v>170</v>
      </c>
      <c r="BT1" s="3"/>
      <c r="BU1" s="72" t="s">
        <v>263</v>
      </c>
      <c r="BV1" s="72"/>
      <c r="CD1" s="690" t="s">
        <v>183</v>
      </c>
      <c r="CE1" s="690"/>
      <c r="CF1" s="690"/>
      <c r="CG1" s="690"/>
      <c r="CH1" s="690"/>
      <c r="CI1" s="690"/>
      <c r="CJ1" s="690" t="s">
        <v>184</v>
      </c>
      <c r="CK1" s="690"/>
      <c r="CL1" s="690"/>
      <c r="CM1" s="690"/>
      <c r="CN1" s="690"/>
      <c r="CO1" s="690"/>
      <c r="CP1" s="690" t="s">
        <v>228</v>
      </c>
      <c r="CQ1" s="690"/>
      <c r="CR1" s="690"/>
      <c r="CS1" s="690"/>
      <c r="CT1" s="690"/>
      <c r="CU1" s="690"/>
      <c r="CV1" s="689" t="s">
        <v>229</v>
      </c>
      <c r="CW1" s="689"/>
      <c r="CX1" s="689"/>
      <c r="CY1" s="689"/>
      <c r="CZ1" s="689"/>
      <c r="DA1" s="689"/>
      <c r="DB1" s="690" t="s">
        <v>230</v>
      </c>
      <c r="DC1" s="690"/>
      <c r="DD1" s="690"/>
      <c r="DE1" s="690"/>
      <c r="DF1" s="690"/>
      <c r="DG1" s="690"/>
      <c r="DH1" s="689" t="s">
        <v>263</v>
      </c>
      <c r="DI1" s="689"/>
      <c r="DJ1" s="689"/>
      <c r="DK1" s="689"/>
      <c r="DL1" s="689"/>
      <c r="DM1" s="689"/>
      <c r="DN1" t="s">
        <v>343</v>
      </c>
    </row>
    <row r="2" spans="1:132" ht="46.5">
      <c r="B2" s="34" t="s">
        <v>181</v>
      </c>
      <c r="C2" s="34" t="s">
        <v>179</v>
      </c>
      <c r="D2" s="75" t="s">
        <v>180</v>
      </c>
      <c r="E2" s="103" t="s">
        <v>181</v>
      </c>
      <c r="F2" s="103" t="s">
        <v>179</v>
      </c>
      <c r="G2" s="133" t="s">
        <v>180</v>
      </c>
      <c r="H2" s="91" t="s">
        <v>181</v>
      </c>
      <c r="I2" s="91" t="s">
        <v>179</v>
      </c>
      <c r="J2" s="134" t="s">
        <v>180</v>
      </c>
      <c r="K2" s="95" t="s">
        <v>181</v>
      </c>
      <c r="L2" s="95" t="s">
        <v>179</v>
      </c>
      <c r="M2" s="135" t="s">
        <v>180</v>
      </c>
      <c r="N2" s="99" t="s">
        <v>181</v>
      </c>
      <c r="O2" s="99" t="s">
        <v>179</v>
      </c>
      <c r="P2" s="136" t="s">
        <v>180</v>
      </c>
      <c r="Q2" s="109" t="s">
        <v>181</v>
      </c>
      <c r="R2" s="109" t="s">
        <v>179</v>
      </c>
      <c r="S2" s="137" t="s">
        <v>180</v>
      </c>
      <c r="Y2" s="11" t="s">
        <v>185</v>
      </c>
      <c r="Z2" s="11" t="s">
        <v>186</v>
      </c>
      <c r="AA2" s="139" t="s">
        <v>185</v>
      </c>
      <c r="AB2" s="139" t="s">
        <v>186</v>
      </c>
      <c r="AC2" s="140" t="s">
        <v>185</v>
      </c>
      <c r="AD2" s="140" t="s">
        <v>186</v>
      </c>
      <c r="AE2" s="141" t="s">
        <v>185</v>
      </c>
      <c r="AF2" s="141" t="s">
        <v>186</v>
      </c>
      <c r="AG2" s="142" t="s">
        <v>185</v>
      </c>
      <c r="AH2" s="142" t="s">
        <v>186</v>
      </c>
      <c r="AI2" s="143" t="s">
        <v>185</v>
      </c>
      <c r="AJ2" s="143" t="s">
        <v>186</v>
      </c>
      <c r="AL2" s="11" t="s">
        <v>187</v>
      </c>
      <c r="AM2" s="11" t="s">
        <v>188</v>
      </c>
      <c r="AN2" s="11" t="s">
        <v>187</v>
      </c>
      <c r="AO2" s="11" t="s">
        <v>188</v>
      </c>
      <c r="AP2" s="11" t="s">
        <v>187</v>
      </c>
      <c r="AQ2" s="11" t="s">
        <v>188</v>
      </c>
      <c r="AR2" s="11" t="s">
        <v>187</v>
      </c>
      <c r="AS2" s="11" t="s">
        <v>188</v>
      </c>
      <c r="AT2" s="11" t="s">
        <v>187</v>
      </c>
      <c r="AU2" s="11" t="s">
        <v>188</v>
      </c>
      <c r="AV2" s="69" t="s">
        <v>187</v>
      </c>
      <c r="AW2" s="69" t="s">
        <v>188</v>
      </c>
      <c r="AY2" s="44" t="s">
        <v>184</v>
      </c>
      <c r="AZ2" s="44" t="s">
        <v>228</v>
      </c>
      <c r="BA2" s="44" t="s">
        <v>229</v>
      </c>
      <c r="BB2" s="38" t="s">
        <v>230</v>
      </c>
      <c r="BC2" s="38" t="s">
        <v>227</v>
      </c>
      <c r="BD2" s="44" t="s">
        <v>184</v>
      </c>
      <c r="BE2" s="44" t="s">
        <v>228</v>
      </c>
      <c r="BF2" s="44" t="s">
        <v>229</v>
      </c>
      <c r="BG2" s="38" t="s">
        <v>230</v>
      </c>
      <c r="BH2" s="38" t="s">
        <v>995</v>
      </c>
      <c r="BK2" s="289" t="s">
        <v>1310</v>
      </c>
      <c r="BL2" s="289" t="s">
        <v>1311</v>
      </c>
      <c r="BM2" s="139" t="s">
        <v>1310</v>
      </c>
      <c r="BN2" s="139" t="s">
        <v>1311</v>
      </c>
      <c r="BO2" s="140" t="s">
        <v>1310</v>
      </c>
      <c r="BP2" s="140" t="s">
        <v>1311</v>
      </c>
      <c r="BQ2" s="141" t="s">
        <v>1310</v>
      </c>
      <c r="BR2" s="141" t="s">
        <v>1311</v>
      </c>
      <c r="BS2" s="142" t="s">
        <v>1310</v>
      </c>
      <c r="BT2" s="142" t="s">
        <v>1311</v>
      </c>
      <c r="BU2" s="143" t="s">
        <v>1310</v>
      </c>
      <c r="BV2" s="143" t="s">
        <v>1311</v>
      </c>
      <c r="BX2" s="304" t="s">
        <v>1305</v>
      </c>
      <c r="BY2" s="304" t="s">
        <v>1312</v>
      </c>
      <c r="BZ2" s="304" t="s">
        <v>1313</v>
      </c>
      <c r="CD2" t="s">
        <v>1801</v>
      </c>
      <c r="CE2" t="s">
        <v>1802</v>
      </c>
      <c r="CF2" t="s">
        <v>1794</v>
      </c>
      <c r="CG2" t="s">
        <v>1797</v>
      </c>
      <c r="CH2" t="s">
        <v>1786</v>
      </c>
      <c r="CI2" t="s">
        <v>1785</v>
      </c>
      <c r="CJ2" t="s">
        <v>1801</v>
      </c>
      <c r="CK2" t="s">
        <v>1802</v>
      </c>
      <c r="CL2" t="s">
        <v>1794</v>
      </c>
      <c r="CM2" t="s">
        <v>1797</v>
      </c>
      <c r="CN2" t="s">
        <v>1786</v>
      </c>
      <c r="CO2" t="s">
        <v>1785</v>
      </c>
      <c r="CP2" t="s">
        <v>1801</v>
      </c>
      <c r="CQ2" t="s">
        <v>1802</v>
      </c>
      <c r="CR2" t="s">
        <v>1794</v>
      </c>
      <c r="CS2" t="s">
        <v>1797</v>
      </c>
      <c r="CT2" t="s">
        <v>1786</v>
      </c>
      <c r="CU2" t="s">
        <v>1785</v>
      </c>
      <c r="CV2" t="s">
        <v>1801</v>
      </c>
      <c r="CW2" t="s">
        <v>1802</v>
      </c>
      <c r="CX2" t="s">
        <v>1794</v>
      </c>
      <c r="CY2" t="s">
        <v>1797</v>
      </c>
      <c r="CZ2" t="s">
        <v>1786</v>
      </c>
      <c r="DA2" t="s">
        <v>1785</v>
      </c>
      <c r="DB2" t="s">
        <v>1801</v>
      </c>
      <c r="DC2" t="s">
        <v>1802</v>
      </c>
      <c r="DD2" t="s">
        <v>1794</v>
      </c>
      <c r="DE2" t="s">
        <v>1797</v>
      </c>
      <c r="DF2" t="s">
        <v>1786</v>
      </c>
      <c r="DG2" t="s">
        <v>1785</v>
      </c>
      <c r="DH2" t="s">
        <v>1801</v>
      </c>
      <c r="DI2" t="s">
        <v>1802</v>
      </c>
      <c r="DJ2" t="s">
        <v>1794</v>
      </c>
      <c r="DK2" t="s">
        <v>1797</v>
      </c>
      <c r="DL2" t="s">
        <v>1786</v>
      </c>
      <c r="DM2" t="s">
        <v>1785</v>
      </c>
      <c r="DN2" t="s">
        <v>1801</v>
      </c>
      <c r="DO2" t="s">
        <v>1802</v>
      </c>
      <c r="DP2" t="s">
        <v>1794</v>
      </c>
      <c r="DQ2" t="s">
        <v>1797</v>
      </c>
      <c r="DR2" t="s">
        <v>1786</v>
      </c>
      <c r="DS2" t="s">
        <v>1785</v>
      </c>
      <c r="DV2" t="s">
        <v>1854</v>
      </c>
      <c r="DW2" t="s">
        <v>1843</v>
      </c>
      <c r="DX2" t="s">
        <v>1844</v>
      </c>
      <c r="DY2" t="s">
        <v>1845</v>
      </c>
      <c r="DZ2" t="s">
        <v>227</v>
      </c>
    </row>
    <row r="3" spans="1:132">
      <c r="A3" s="14">
        <v>44441</v>
      </c>
      <c r="B3">
        <v>4.5</v>
      </c>
      <c r="C3">
        <v>4.8</v>
      </c>
      <c r="D3" s="66">
        <v>8.5</v>
      </c>
      <c r="E3" s="4">
        <v>8.5</v>
      </c>
      <c r="F3" s="4">
        <v>9.6999999999999993</v>
      </c>
      <c r="G3" s="133">
        <v>14</v>
      </c>
      <c r="H3" s="1">
        <v>14</v>
      </c>
      <c r="I3" s="1">
        <v>14.4</v>
      </c>
      <c r="J3" s="134">
        <v>19.600000000000001</v>
      </c>
      <c r="K3" s="2">
        <v>19.600000000000001</v>
      </c>
      <c r="L3" s="2">
        <v>19.899999999999999</v>
      </c>
      <c r="M3" s="135">
        <v>25.3</v>
      </c>
      <c r="N3" s="3">
        <v>25.3</v>
      </c>
      <c r="O3" s="3">
        <v>25.8</v>
      </c>
      <c r="P3" s="136">
        <v>30.7</v>
      </c>
      <c r="Y3">
        <f>($D3-$C3)*100</f>
        <v>370</v>
      </c>
      <c r="Z3">
        <f>($C3-$B3)*100</f>
        <v>29.999999999999982</v>
      </c>
      <c r="AA3" s="4">
        <f>($G3-$F3)*100</f>
        <v>430.00000000000006</v>
      </c>
      <c r="AB3" s="4">
        <f>($F3-$E3)*100</f>
        <v>119.99999999999993</v>
      </c>
      <c r="AC3" s="1">
        <f>($J3-$I3)*100</f>
        <v>520.00000000000011</v>
      </c>
      <c r="AD3" s="1">
        <f>($I3-$H3)*100</f>
        <v>40.000000000000036</v>
      </c>
      <c r="AE3" s="2">
        <f>($M3-$L3)*100</f>
        <v>540.00000000000023</v>
      </c>
      <c r="AF3" s="2">
        <f>($L3-$K3)*100</f>
        <v>29.999999999999716</v>
      </c>
      <c r="AG3" s="3">
        <f>($P3-$O3)*100</f>
        <v>489.99999999999989</v>
      </c>
      <c r="AH3" s="3">
        <f>($O3-$N3)*100</f>
        <v>50</v>
      </c>
      <c r="AL3">
        <f t="shared" ref="AL3:AU3" si="0">(Y3/100)*84</f>
        <v>310.8</v>
      </c>
      <c r="AM3">
        <f t="shared" si="0"/>
        <v>25.199999999999985</v>
      </c>
      <c r="AN3">
        <f t="shared" si="0"/>
        <v>361.20000000000005</v>
      </c>
      <c r="AO3">
        <f t="shared" si="0"/>
        <v>100.79999999999994</v>
      </c>
      <c r="AP3">
        <f t="shared" si="0"/>
        <v>436.80000000000007</v>
      </c>
      <c r="AQ3">
        <f t="shared" si="0"/>
        <v>33.60000000000003</v>
      </c>
      <c r="AR3">
        <f t="shared" si="0"/>
        <v>453.60000000000019</v>
      </c>
      <c r="AS3">
        <f t="shared" si="0"/>
        <v>25.199999999999761</v>
      </c>
      <c r="AT3">
        <f t="shared" si="0"/>
        <v>411.59999999999991</v>
      </c>
      <c r="AU3">
        <f t="shared" si="0"/>
        <v>42</v>
      </c>
      <c r="AY3">
        <f>AO3-AM3</f>
        <v>75.599999999999952</v>
      </c>
      <c r="AZ3">
        <f>AQ3-AM3</f>
        <v>8.4000000000000448</v>
      </c>
      <c r="BA3">
        <f>AS3-AM3</f>
        <v>-2.2382096176443156E-13</v>
      </c>
      <c r="BB3">
        <f>AU3-AM3</f>
        <v>16.800000000000015</v>
      </c>
      <c r="BC3">
        <f>AVERAGE(AZ3:BB3)</f>
        <v>8.3999999999999453</v>
      </c>
      <c r="BD3">
        <f>AN3-AL3</f>
        <v>50.400000000000034</v>
      </c>
      <c r="BE3">
        <f>AP3-AL3</f>
        <v>126.00000000000006</v>
      </c>
      <c r="BF3">
        <f>AR3-AL3</f>
        <v>142.80000000000018</v>
      </c>
      <c r="BG3">
        <f>AT3-AL3</f>
        <v>100.7999999999999</v>
      </c>
      <c r="BH3">
        <f>AVERAGE(BE3:BG3)</f>
        <v>123.20000000000005</v>
      </c>
      <c r="BK3" s="77">
        <f>($D3-$C3)*60.011</f>
        <v>222.04070000000002</v>
      </c>
      <c r="BL3" s="77">
        <f>($C3-$B3)*60.011</f>
        <v>18.003299999999989</v>
      </c>
      <c r="BM3" s="296">
        <f>($G3-$F3)*60.011</f>
        <v>258.04730000000006</v>
      </c>
      <c r="BN3" s="296">
        <f>($F3-$E3)*60.011</f>
        <v>72.013199999999955</v>
      </c>
      <c r="BO3" s="297">
        <f>($J3-$I3)*60.011</f>
        <v>312.05720000000008</v>
      </c>
      <c r="BP3" s="297">
        <f>($I3-$H3)*60.011</f>
        <v>24.004400000000022</v>
      </c>
      <c r="BQ3" s="298">
        <f>($M3-$L3)*60.011</f>
        <v>324.05940000000015</v>
      </c>
      <c r="BR3" s="298">
        <f>($L3-$K3)*60.011</f>
        <v>18.003299999999829</v>
      </c>
      <c r="BS3" s="299">
        <f>($P3-$O3)*60.011</f>
        <v>294.05389999999994</v>
      </c>
      <c r="BT3" s="299">
        <f>($O3-$N3)*60.011</f>
        <v>30.005500000000001</v>
      </c>
      <c r="BU3" s="77"/>
      <c r="BV3" s="77"/>
      <c r="BW3" s="77"/>
      <c r="BX3" s="77" t="s">
        <v>167</v>
      </c>
      <c r="BY3" s="77">
        <f>AVERAGE(BM3:BM47)</f>
        <v>272.21268720930232</v>
      </c>
      <c r="BZ3" s="77">
        <f>AVERAGE(BN3:BN47)</f>
        <v>28.47033488372092</v>
      </c>
      <c r="CA3" s="77">
        <f>BY3-$BY$8</f>
        <v>21.45243720930236</v>
      </c>
      <c r="CB3" s="77">
        <f>AVERAGE(CA3:CA6)</f>
        <v>17.300513372093064</v>
      </c>
      <c r="CD3" s="12">
        <f>((CH3-CI3)*$CC$16)/$CC$15</f>
        <v>3.4</v>
      </c>
      <c r="CE3">
        <f>(CI3*$CC$16)/$CC$15</f>
        <v>0.29999999999999982</v>
      </c>
      <c r="CF3">
        <f>CD3*$CC$18</f>
        <v>207.4</v>
      </c>
      <c r="CG3">
        <f>CE3*$CC$19</f>
        <v>17.999999999999989</v>
      </c>
      <c r="CH3">
        <f>D3-C3</f>
        <v>3.7</v>
      </c>
      <c r="CI3">
        <f>C3-B3</f>
        <v>0.29999999999999982</v>
      </c>
      <c r="CJ3" s="12">
        <f>((CN3-CO3)*$CC$16)/$CC$15</f>
        <v>3.1000000000000014</v>
      </c>
      <c r="CK3">
        <f>(CO3*$CC$16)/$CC$15</f>
        <v>1.1999999999999993</v>
      </c>
      <c r="CL3">
        <f>CJ3*$CC$18</f>
        <v>189.10000000000008</v>
      </c>
      <c r="CM3">
        <f>CK3*$CC$19</f>
        <v>71.999999999999957</v>
      </c>
      <c r="CN3">
        <f>G3-F3</f>
        <v>4.3000000000000007</v>
      </c>
      <c r="CO3">
        <f>F3-E3</f>
        <v>1.1999999999999993</v>
      </c>
      <c r="CP3" s="12">
        <f>((CT3-CU3)*$CC$16)/$CC$15</f>
        <v>4.8000000000000007</v>
      </c>
      <c r="CQ3">
        <f>(CU3*$CC$16)/$CC$15</f>
        <v>0.40000000000000036</v>
      </c>
      <c r="CR3">
        <f>CP3*$CC$18</f>
        <v>292.80000000000007</v>
      </c>
      <c r="CS3">
        <f>CQ3*$CC$19</f>
        <v>24.000000000000021</v>
      </c>
      <c r="CT3">
        <f>J3-I3</f>
        <v>5.2000000000000011</v>
      </c>
      <c r="CU3">
        <f>I3-H3</f>
        <v>0.40000000000000036</v>
      </c>
      <c r="CV3" s="12">
        <f>((CZ3-DA3)*$CC$16)/$CC$15</f>
        <v>5.100000000000005</v>
      </c>
      <c r="CW3">
        <f>(DA3*$CC$16)/$CC$15</f>
        <v>0.29999999999999716</v>
      </c>
      <c r="CX3">
        <f>CV3*$CC$18</f>
        <v>311.10000000000031</v>
      </c>
      <c r="CY3">
        <f>CW3*$CC$19</f>
        <v>17.999999999999829</v>
      </c>
      <c r="CZ3">
        <f>M3-L3</f>
        <v>5.4000000000000021</v>
      </c>
      <c r="DA3">
        <f>L3-K3</f>
        <v>0.29999999999999716</v>
      </c>
      <c r="DB3" s="12">
        <f>((DF3-DG3)*$CC$16)/$CC$15</f>
        <v>4.3999999999999986</v>
      </c>
      <c r="DC3">
        <f>(DG3*$CC$16)/$CC$15</f>
        <v>0.5</v>
      </c>
      <c r="DD3">
        <f>DB3*$CC$18</f>
        <v>268.39999999999992</v>
      </c>
      <c r="DE3">
        <f>DC3*$CC$19</f>
        <v>30</v>
      </c>
      <c r="DF3">
        <f>P3-O3</f>
        <v>4.8999999999999986</v>
      </c>
      <c r="DG3">
        <f>O3-N3</f>
        <v>0.5</v>
      </c>
      <c r="DH3" s="12">
        <f>((DL3-DM3)*$CC$16)/$CC$15</f>
        <v>3.9999999999999929</v>
      </c>
      <c r="DI3">
        <f>(DM3*$CC$16)/$CC$15</f>
        <v>0.10000000000000142</v>
      </c>
      <c r="DJ3">
        <f>DH3*$CC$18</f>
        <v>243.99999999999957</v>
      </c>
      <c r="DK3">
        <f>DI3*$CC$19</f>
        <v>6.0000000000000853</v>
      </c>
      <c r="DL3">
        <f>S34-R34</f>
        <v>4.0999999999999943</v>
      </c>
      <c r="DM3">
        <f>R34-Q34</f>
        <v>0.10000000000000142</v>
      </c>
      <c r="DW3">
        <f>CR3-CF3</f>
        <v>85.400000000000063</v>
      </c>
      <c r="DX3">
        <f>CX3-CF3</f>
        <v>103.7000000000003</v>
      </c>
      <c r="DY3">
        <f>DD3-CF3</f>
        <v>60.999999999999915</v>
      </c>
      <c r="DZ3">
        <f>AVERAGE(DW3:DY3)</f>
        <v>83.36666666666676</v>
      </c>
    </row>
    <row r="4" spans="1:132">
      <c r="A4" s="14">
        <v>44442</v>
      </c>
      <c r="E4" s="4">
        <v>30.7</v>
      </c>
      <c r="F4" s="4">
        <v>31.25</v>
      </c>
      <c r="G4" s="133">
        <v>35.4</v>
      </c>
      <c r="H4" s="1">
        <v>35.4</v>
      </c>
      <c r="I4" s="1">
        <v>35.9</v>
      </c>
      <c r="J4" s="134">
        <v>39.799999999999997</v>
      </c>
      <c r="K4" s="2">
        <v>39.799999999999997</v>
      </c>
      <c r="L4" s="2">
        <v>40.200000000000003</v>
      </c>
      <c r="M4" s="135">
        <v>44.5</v>
      </c>
      <c r="N4" s="3">
        <v>44.5</v>
      </c>
      <c r="O4" s="3">
        <v>45</v>
      </c>
      <c r="P4" s="136">
        <v>49.2</v>
      </c>
      <c r="Y4">
        <f t="shared" ref="Y4:Y32" si="1">(D4-C4)*100</f>
        <v>0</v>
      </c>
      <c r="Z4">
        <f t="shared" ref="Z4:Z32" si="2">(C4-B4)*100</f>
        <v>0</v>
      </c>
      <c r="AA4" s="4">
        <f t="shared" ref="AA4:AA32" si="3">(G4-F4)*100</f>
        <v>414.99999999999989</v>
      </c>
      <c r="AB4" s="4">
        <f t="shared" ref="AB4:AB32" si="4">(F4-E4)*100</f>
        <v>55.000000000000071</v>
      </c>
      <c r="AC4" s="1">
        <f t="shared" ref="AC4:AC32" si="5">(J4-I4)*100</f>
        <v>389.99999999999989</v>
      </c>
      <c r="AD4" s="1">
        <f t="shared" ref="AD4:AD32" si="6">(I4-H4)*100</f>
        <v>50</v>
      </c>
      <c r="AE4" s="2">
        <f t="shared" ref="AE4:AE32" si="7">(M4-L4)*100</f>
        <v>429.99999999999972</v>
      </c>
      <c r="AF4" s="2">
        <f t="shared" ref="AF4:AF32" si="8">(L4-K4)*100</f>
        <v>40.000000000000568</v>
      </c>
      <c r="AG4" s="3">
        <f t="shared" ref="AG4:AG32" si="9">(P4-O4)*100</f>
        <v>420.00000000000028</v>
      </c>
      <c r="AH4" s="3">
        <f t="shared" ref="AH4:AH32" si="10">(O4-N4)*100</f>
        <v>50</v>
      </c>
      <c r="AL4">
        <f t="shared" ref="AL4:AL32" si="11">(Y4/100)*84</f>
        <v>0</v>
      </c>
      <c r="AM4">
        <f t="shared" ref="AM4:AM32" si="12">(Z4/100)*84</f>
        <v>0</v>
      </c>
      <c r="AN4">
        <f t="shared" ref="AN4:AN32" si="13">(AA4/100)*84</f>
        <v>348.59999999999991</v>
      </c>
      <c r="AO4">
        <f t="shared" ref="AO4:AO32" si="14">(AB4/100)*84</f>
        <v>46.20000000000006</v>
      </c>
      <c r="AP4">
        <f t="shared" ref="AP4:AP32" si="15">(AC4/100)*84</f>
        <v>327.59999999999991</v>
      </c>
      <c r="AQ4">
        <f t="shared" ref="AQ4:AQ32" si="16">(AD4/100)*84</f>
        <v>42</v>
      </c>
      <c r="AR4">
        <f t="shared" ref="AR4:AR32" si="17">(AE4/100)*84</f>
        <v>361.19999999999976</v>
      </c>
      <c r="AS4">
        <f t="shared" ref="AS4:AS32" si="18">(AF4/100)*84</f>
        <v>33.600000000000477</v>
      </c>
      <c r="AT4">
        <f t="shared" ref="AT4:AT32" si="19">(AG4/100)*84</f>
        <v>352.80000000000024</v>
      </c>
      <c r="AU4">
        <f t="shared" ref="AU4:AU32" si="20">(AH4/100)*84</f>
        <v>42</v>
      </c>
      <c r="AY4">
        <f t="shared" ref="AY4:AY32" si="21">AO4-AM4</f>
        <v>46.20000000000006</v>
      </c>
      <c r="AZ4">
        <f t="shared" ref="AZ4:AZ32" si="22">AQ4-AM4</f>
        <v>42</v>
      </c>
      <c r="BA4">
        <f t="shared" ref="BA4:BA32" si="23">AS4-AM4</f>
        <v>33.600000000000477</v>
      </c>
      <c r="BB4">
        <f t="shared" ref="BB4:BB32" si="24">AU4-AM4</f>
        <v>42</v>
      </c>
      <c r="BC4">
        <f t="shared" ref="BC4:BC32" si="25">AVERAGE(AZ4:BB4)</f>
        <v>39.200000000000159</v>
      </c>
      <c r="BD4" t="s">
        <v>182</v>
      </c>
      <c r="BE4" t="s">
        <v>182</v>
      </c>
      <c r="BF4" t="s">
        <v>182</v>
      </c>
      <c r="BG4" t="s">
        <v>182</v>
      </c>
      <c r="BH4" t="s">
        <v>182</v>
      </c>
      <c r="BK4" s="77" t="s">
        <v>182</v>
      </c>
      <c r="BL4" s="77" t="s">
        <v>182</v>
      </c>
      <c r="BM4" s="296">
        <f t="shared" ref="BM4:BM48" si="26">($G4-$F4)*60.011</f>
        <v>249.04564999999994</v>
      </c>
      <c r="BN4" s="296">
        <f t="shared" ref="BN4:BN48" si="27">($F4-$E4)*60.011</f>
        <v>33.006050000000045</v>
      </c>
      <c r="BO4" s="297">
        <f t="shared" ref="BO4:BO48" si="28">($J4-$I4)*60.011</f>
        <v>234.04289999999992</v>
      </c>
      <c r="BP4" s="297">
        <f t="shared" ref="BP4:BP48" si="29">($I4-$H4)*60.011</f>
        <v>30.005500000000001</v>
      </c>
      <c r="BQ4" s="298">
        <f t="shared" ref="BQ4:BQ48" si="30">($M4-$L4)*60.011</f>
        <v>258.04729999999984</v>
      </c>
      <c r="BR4" s="298">
        <f t="shared" ref="BR4:BR48" si="31">($L4-$K4)*60.011</f>
        <v>24.004400000000341</v>
      </c>
      <c r="BS4" s="299">
        <f t="shared" ref="BS4:BS48" si="32">($P4-$O4)*60.011</f>
        <v>252.04620000000017</v>
      </c>
      <c r="BT4" s="299">
        <f t="shared" ref="BT4:BT48" si="33">($O4-$N4)*60.011</f>
        <v>30.005500000000001</v>
      </c>
      <c r="BU4" s="77"/>
      <c r="BV4" s="77"/>
      <c r="BW4" s="77"/>
      <c r="BX4" s="77" t="s">
        <v>168</v>
      </c>
      <c r="BY4" s="77">
        <f>AVERAGE(BO3:BO47)</f>
        <v>275.63191860465116</v>
      </c>
      <c r="BZ4" s="77">
        <f>AVERAGE(BP3:BP47)</f>
        <v>22.748355813953467</v>
      </c>
      <c r="CA4" s="77">
        <f t="shared" ref="CA4:CA6" si="34">BY4-$BY$8</f>
        <v>24.871668604651205</v>
      </c>
      <c r="CB4" s="77">
        <f>AVERAGE(CA3:CA7)</f>
        <v>16.665928614341112</v>
      </c>
      <c r="CD4" s="12">
        <f t="shared" ref="CD4:CD48" si="35">((CH4-CI4)*$CC$16)/$CC$15</f>
        <v>0</v>
      </c>
      <c r="CE4">
        <f t="shared" ref="CE4:CE48" si="36">(CI4*$CC$16)/$CC$15</f>
        <v>0</v>
      </c>
      <c r="CF4" t="s">
        <v>182</v>
      </c>
      <c r="CG4" t="s">
        <v>182</v>
      </c>
      <c r="CH4">
        <f t="shared" ref="CH4:CH48" si="37">D4-C4</f>
        <v>0</v>
      </c>
      <c r="CI4">
        <f t="shared" ref="CI4:CI48" si="38">C4-B4</f>
        <v>0</v>
      </c>
      <c r="CJ4" s="12">
        <f t="shared" ref="CJ4:CJ48" si="39">((CN4-CO4)*$CC$16)/$CC$15</f>
        <v>3.5999999999999979</v>
      </c>
      <c r="CK4">
        <f t="shared" ref="CK4:CK48" si="40">(CO4*$CC$16)/$CC$15</f>
        <v>0.55000000000000071</v>
      </c>
      <c r="CL4">
        <f t="shared" ref="CL4:CL48" si="41">CJ4*$CC$18</f>
        <v>219.59999999999988</v>
      </c>
      <c r="CM4">
        <f t="shared" ref="CM4:CM48" si="42">CK4*$CC$19</f>
        <v>33.000000000000043</v>
      </c>
      <c r="CN4">
        <f t="shared" ref="CN4:CN48" si="43">G4-F4</f>
        <v>4.1499999999999986</v>
      </c>
      <c r="CO4">
        <f t="shared" ref="CO4:CO48" si="44">F4-E4</f>
        <v>0.55000000000000071</v>
      </c>
      <c r="CP4" s="12">
        <f t="shared" ref="CP4:CP48" si="45">((CT4-CU4)*$CC$16)/$CC$15</f>
        <v>3.3999999999999986</v>
      </c>
      <c r="CQ4">
        <f t="shared" ref="CQ4:CQ48" si="46">(CU4*$CC$16)/$CC$15</f>
        <v>0.5</v>
      </c>
      <c r="CR4">
        <f t="shared" ref="CR4:CR48" si="47">CP4*$CC$18</f>
        <v>207.39999999999992</v>
      </c>
      <c r="CS4">
        <f t="shared" ref="CS4:CS48" si="48">CQ4*$CC$19</f>
        <v>30</v>
      </c>
      <c r="CT4">
        <f t="shared" ref="CT4:CT48" si="49">J4-I4</f>
        <v>3.8999999999999986</v>
      </c>
      <c r="CU4">
        <f t="shared" ref="CU4:CU48" si="50">I4-H4</f>
        <v>0.5</v>
      </c>
      <c r="CV4" s="12">
        <f t="shared" ref="CV4:CV48" si="51">((CZ4-DA4)*$CC$16)/$CC$15</f>
        <v>3.8999999999999915</v>
      </c>
      <c r="CW4">
        <f t="shared" ref="CW4:CW48" si="52">(DA4*$CC$16)/$CC$15</f>
        <v>0.40000000000000568</v>
      </c>
      <c r="CX4">
        <f t="shared" ref="CX4:CX48" si="53">CV4*$CC$18</f>
        <v>237.89999999999947</v>
      </c>
      <c r="CY4">
        <f t="shared" ref="CY4:CY48" si="54">CW4*$CC$19</f>
        <v>24.000000000000341</v>
      </c>
      <c r="CZ4">
        <f t="shared" ref="CZ4:CZ48" si="55">M4-L4</f>
        <v>4.2999999999999972</v>
      </c>
      <c r="DA4">
        <f t="shared" ref="DA4:DA48" si="56">L4-K4</f>
        <v>0.40000000000000568</v>
      </c>
      <c r="DB4" s="12">
        <f t="shared" ref="DB4:DB48" si="57">((DF4-DG4)*$CC$16)/$CC$15</f>
        <v>3.7000000000000028</v>
      </c>
      <c r="DC4">
        <f t="shared" ref="DC4:DC48" si="58">(DG4*$CC$16)/$CC$15</f>
        <v>0.5</v>
      </c>
      <c r="DD4">
        <f t="shared" ref="DD4:DD48" si="59">DB4*$CC$18</f>
        <v>225.70000000000016</v>
      </c>
      <c r="DE4">
        <f t="shared" ref="DE4:DE48" si="60">DC4*$CC$19</f>
        <v>30</v>
      </c>
      <c r="DF4">
        <f t="shared" ref="DF4:DF48" si="61">P4-O4</f>
        <v>4.2000000000000028</v>
      </c>
      <c r="DG4">
        <f t="shared" ref="DG4:DG48" si="62">O4-N4</f>
        <v>0.5</v>
      </c>
      <c r="DH4" s="12">
        <f t="shared" ref="DH4:DH22" si="63">((DL4-DM4)*$CC$16)/$CC$15</f>
        <v>1.5999999999999979</v>
      </c>
      <c r="DI4">
        <f t="shared" ref="DI4:DI22" si="64">(DM4*$CC$16)/$CC$15</f>
        <v>0.40000000000000213</v>
      </c>
      <c r="DJ4">
        <f t="shared" ref="DJ4:DJ32" si="65">DH4*$CC$18</f>
        <v>97.599999999999866</v>
      </c>
      <c r="DK4">
        <f t="shared" ref="DK4:DK32" si="66">DI4*$CC$19</f>
        <v>24.000000000000128</v>
      </c>
      <c r="DL4">
        <f t="shared" ref="DL4:DL32" si="67">S35-R35</f>
        <v>2</v>
      </c>
      <c r="DM4">
        <f t="shared" ref="DM4:DM32" si="68">R35-Q35</f>
        <v>0.40000000000000213</v>
      </c>
      <c r="DW4" t="s">
        <v>182</v>
      </c>
      <c r="DX4" t="s">
        <v>182</v>
      </c>
      <c r="DY4" t="s">
        <v>182</v>
      </c>
      <c r="DZ4" t="s">
        <v>182</v>
      </c>
    </row>
    <row r="5" spans="1:132">
      <c r="A5" s="14">
        <v>44446</v>
      </c>
      <c r="B5">
        <v>0</v>
      </c>
      <c r="C5">
        <v>0.9</v>
      </c>
      <c r="D5" s="66">
        <v>4.5</v>
      </c>
      <c r="E5" s="4">
        <v>16</v>
      </c>
      <c r="F5" s="4">
        <v>16.600000000000001</v>
      </c>
      <c r="G5" s="133">
        <v>20.7</v>
      </c>
      <c r="H5" s="1">
        <v>20.7</v>
      </c>
      <c r="I5" s="1">
        <v>21.2</v>
      </c>
      <c r="J5" s="134">
        <v>25.2</v>
      </c>
      <c r="K5" s="2">
        <v>25.2</v>
      </c>
      <c r="L5" s="2">
        <v>25.6</v>
      </c>
      <c r="M5" s="135">
        <v>29.7</v>
      </c>
      <c r="N5" s="3">
        <v>29.7</v>
      </c>
      <c r="O5" s="3">
        <v>30.3</v>
      </c>
      <c r="P5" s="136">
        <v>34.1</v>
      </c>
      <c r="Y5">
        <f t="shared" si="1"/>
        <v>360</v>
      </c>
      <c r="Z5">
        <f t="shared" si="2"/>
        <v>90</v>
      </c>
      <c r="AA5" s="4">
        <f t="shared" si="3"/>
        <v>409.99999999999977</v>
      </c>
      <c r="AB5" s="4">
        <f t="shared" si="4"/>
        <v>60.000000000000142</v>
      </c>
      <c r="AC5" s="1">
        <f t="shared" si="5"/>
        <v>400</v>
      </c>
      <c r="AD5" s="1">
        <f t="shared" si="6"/>
        <v>50</v>
      </c>
      <c r="AE5" s="2">
        <f t="shared" si="7"/>
        <v>409.99999999999977</v>
      </c>
      <c r="AF5" s="2">
        <f t="shared" si="8"/>
        <v>40.000000000000213</v>
      </c>
      <c r="AG5" s="3">
        <f t="shared" si="9"/>
        <v>380.00000000000006</v>
      </c>
      <c r="AH5" s="3">
        <f t="shared" si="10"/>
        <v>60.000000000000142</v>
      </c>
      <c r="AL5">
        <f t="shared" si="11"/>
        <v>302.40000000000003</v>
      </c>
      <c r="AM5">
        <f t="shared" si="12"/>
        <v>75.600000000000009</v>
      </c>
      <c r="AN5">
        <f t="shared" si="13"/>
        <v>344.39999999999981</v>
      </c>
      <c r="AO5">
        <f t="shared" si="14"/>
        <v>50.400000000000119</v>
      </c>
      <c r="AP5">
        <f t="shared" si="15"/>
        <v>336</v>
      </c>
      <c r="AQ5">
        <f t="shared" si="16"/>
        <v>42</v>
      </c>
      <c r="AR5">
        <f t="shared" si="17"/>
        <v>344.39999999999981</v>
      </c>
      <c r="AS5">
        <f t="shared" si="18"/>
        <v>33.600000000000179</v>
      </c>
      <c r="AT5">
        <f t="shared" si="19"/>
        <v>319.20000000000005</v>
      </c>
      <c r="AU5">
        <f t="shared" si="20"/>
        <v>50.400000000000119</v>
      </c>
      <c r="AY5">
        <f t="shared" si="21"/>
        <v>-25.199999999999889</v>
      </c>
      <c r="AZ5">
        <f t="shared" si="22"/>
        <v>-33.600000000000009</v>
      </c>
      <c r="BA5">
        <f t="shared" si="23"/>
        <v>-41.999999999999829</v>
      </c>
      <c r="BB5">
        <f t="shared" si="24"/>
        <v>-25.199999999999889</v>
      </c>
      <c r="BC5">
        <f t="shared" si="25"/>
        <v>-33.599999999999909</v>
      </c>
      <c r="BD5">
        <f t="shared" ref="BD5:BD42" si="69">AN5-AL5</f>
        <v>41.999999999999773</v>
      </c>
      <c r="BE5">
        <f t="shared" ref="BE5:BE42" si="70">AP5-AL5</f>
        <v>33.599999999999966</v>
      </c>
      <c r="BF5">
        <f t="shared" ref="BF5:BF42" si="71">AR5-AL5</f>
        <v>41.999999999999773</v>
      </c>
      <c r="BG5">
        <f t="shared" ref="BG5:BG42" si="72">AT5-AL5</f>
        <v>16.800000000000011</v>
      </c>
      <c r="BH5">
        <f t="shared" ref="BH5:BH42" si="73">AVERAGE(BE5:BG5)</f>
        <v>30.799999999999915</v>
      </c>
      <c r="BK5" s="77">
        <f t="shared" ref="BK5:BK48" si="74">($D5-$C5)*60.011</f>
        <v>216.03960000000001</v>
      </c>
      <c r="BL5" s="77">
        <f t="shared" ref="BL5:BL48" si="75">($C5-$B5)*60.011</f>
        <v>54.009900000000002</v>
      </c>
      <c r="BM5" s="296">
        <f t="shared" si="26"/>
        <v>246.04509999999988</v>
      </c>
      <c r="BN5" s="296">
        <f t="shared" si="27"/>
        <v>36.006600000000084</v>
      </c>
      <c r="BO5" s="297">
        <f t="shared" si="28"/>
        <v>240.04400000000001</v>
      </c>
      <c r="BP5" s="297">
        <f t="shared" si="29"/>
        <v>30.005500000000001</v>
      </c>
      <c r="BQ5" s="298">
        <f t="shared" si="30"/>
        <v>246.04509999999988</v>
      </c>
      <c r="BR5" s="298">
        <f t="shared" si="31"/>
        <v>24.004400000000128</v>
      </c>
      <c r="BS5" s="299">
        <f t="shared" si="32"/>
        <v>228.04180000000005</v>
      </c>
      <c r="BT5" s="299">
        <f t="shared" si="33"/>
        <v>36.006600000000084</v>
      </c>
      <c r="BU5" s="77"/>
      <c r="BV5" s="77"/>
      <c r="BW5" s="77"/>
      <c r="BX5" s="77" t="s">
        <v>169</v>
      </c>
      <c r="BY5" s="77">
        <f>AVERAGE(BQ3:BQ47)</f>
        <v>261.4665313953488</v>
      </c>
      <c r="BZ5" s="77">
        <f>AVERAGE(BR3:BR46)</f>
        <v>21.146733333333326</v>
      </c>
      <c r="CA5" s="77">
        <f t="shared" si="34"/>
        <v>10.706281395348839</v>
      </c>
      <c r="CD5" s="12">
        <f t="shared" si="35"/>
        <v>2.7</v>
      </c>
      <c r="CE5">
        <f t="shared" si="36"/>
        <v>0.9</v>
      </c>
      <c r="CF5">
        <f t="shared" ref="CF5:CF48" si="76">CD5*$CC$18</f>
        <v>164.70000000000002</v>
      </c>
      <c r="CG5">
        <f t="shared" ref="CG5:CG48" si="77">CE5*$CC$19</f>
        <v>54</v>
      </c>
      <c r="CH5">
        <f t="shared" si="37"/>
        <v>3.6</v>
      </c>
      <c r="CI5">
        <f t="shared" si="38"/>
        <v>0.9</v>
      </c>
      <c r="CJ5" s="12">
        <f t="shared" si="39"/>
        <v>3.4999999999999964</v>
      </c>
      <c r="CK5">
        <f t="shared" si="40"/>
        <v>0.60000000000000142</v>
      </c>
      <c r="CL5">
        <f t="shared" si="41"/>
        <v>213.49999999999977</v>
      </c>
      <c r="CM5">
        <f t="shared" si="42"/>
        <v>36.000000000000085</v>
      </c>
      <c r="CN5">
        <f t="shared" si="43"/>
        <v>4.0999999999999979</v>
      </c>
      <c r="CO5">
        <f t="shared" si="44"/>
        <v>0.60000000000000142</v>
      </c>
      <c r="CP5" s="12">
        <f t="shared" si="45"/>
        <v>3.5</v>
      </c>
      <c r="CQ5">
        <f t="shared" si="46"/>
        <v>0.5</v>
      </c>
      <c r="CR5">
        <f t="shared" si="47"/>
        <v>213.5</v>
      </c>
      <c r="CS5">
        <f t="shared" si="48"/>
        <v>30</v>
      </c>
      <c r="CT5">
        <f t="shared" si="49"/>
        <v>4</v>
      </c>
      <c r="CU5">
        <f t="shared" si="50"/>
        <v>0.5</v>
      </c>
      <c r="CV5" s="12">
        <f t="shared" si="51"/>
        <v>3.6999999999999957</v>
      </c>
      <c r="CW5">
        <f t="shared" si="52"/>
        <v>0.40000000000000213</v>
      </c>
      <c r="CX5">
        <f t="shared" si="53"/>
        <v>225.69999999999973</v>
      </c>
      <c r="CY5">
        <f t="shared" si="54"/>
        <v>24.000000000000128</v>
      </c>
      <c r="CZ5">
        <f t="shared" si="55"/>
        <v>4.0999999999999979</v>
      </c>
      <c r="DA5">
        <f t="shared" si="56"/>
        <v>0.40000000000000213</v>
      </c>
      <c r="DB5" s="12">
        <f t="shared" si="57"/>
        <v>3.1999999999999993</v>
      </c>
      <c r="DC5">
        <f t="shared" si="58"/>
        <v>0.60000000000000142</v>
      </c>
      <c r="DD5">
        <f t="shared" si="59"/>
        <v>195.19999999999996</v>
      </c>
      <c r="DE5">
        <f t="shared" si="60"/>
        <v>36.000000000000085</v>
      </c>
      <c r="DF5">
        <f t="shared" si="61"/>
        <v>3.8000000000000007</v>
      </c>
      <c r="DG5">
        <f t="shared" si="62"/>
        <v>0.60000000000000142</v>
      </c>
      <c r="DH5" s="12">
        <f t="shared" si="63"/>
        <v>4.5</v>
      </c>
      <c r="DI5">
        <f t="shared" si="64"/>
        <v>0.39999999999999858</v>
      </c>
      <c r="DJ5">
        <f t="shared" si="65"/>
        <v>274.5</v>
      </c>
      <c r="DK5">
        <f t="shared" si="66"/>
        <v>23.999999999999915</v>
      </c>
      <c r="DL5">
        <f t="shared" si="67"/>
        <v>4.8999999999999986</v>
      </c>
      <c r="DM5">
        <f t="shared" si="68"/>
        <v>0.39999999999999858</v>
      </c>
      <c r="DW5">
        <f t="shared" ref="DW5:DW48" si="78">CR5-CF5</f>
        <v>48.799999999999983</v>
      </c>
      <c r="DX5">
        <f t="shared" ref="DX5:DX48" si="79">CX5-CF5</f>
        <v>60.999999999999716</v>
      </c>
      <c r="DY5">
        <f t="shared" ref="DY5:DY48" si="80">DD5-CF5</f>
        <v>30.499999999999943</v>
      </c>
      <c r="DZ5">
        <f t="shared" ref="DZ5:DZ48" si="81">AVERAGE(DW5:DY5)</f>
        <v>46.766666666666545</v>
      </c>
    </row>
    <row r="6" spans="1:132">
      <c r="A6" s="14">
        <v>44447</v>
      </c>
      <c r="B6">
        <v>36.4</v>
      </c>
      <c r="C6">
        <v>36.9</v>
      </c>
      <c r="D6" s="66">
        <v>40.799999999999997</v>
      </c>
      <c r="E6" s="4">
        <v>34.1</v>
      </c>
      <c r="F6" s="4">
        <v>34.299999999999997</v>
      </c>
      <c r="G6" s="133">
        <v>38.799999999999997</v>
      </c>
      <c r="H6" s="1">
        <v>38.799999999999997</v>
      </c>
      <c r="I6" s="1">
        <v>39.4</v>
      </c>
      <c r="J6" s="134">
        <v>43.6</v>
      </c>
      <c r="K6" s="2">
        <v>43.6</v>
      </c>
      <c r="L6" s="2">
        <v>44</v>
      </c>
      <c r="M6" s="135">
        <v>48.3</v>
      </c>
      <c r="N6" s="3">
        <v>32.1</v>
      </c>
      <c r="O6" s="3">
        <v>32.200000000000003</v>
      </c>
      <c r="P6" s="136">
        <v>36.4</v>
      </c>
      <c r="Y6">
        <f t="shared" si="1"/>
        <v>389.99999999999989</v>
      </c>
      <c r="Z6">
        <f t="shared" si="2"/>
        <v>50</v>
      </c>
      <c r="AA6" s="4">
        <f t="shared" si="3"/>
        <v>450</v>
      </c>
      <c r="AB6" s="4">
        <f t="shared" si="4"/>
        <v>19.999999999999574</v>
      </c>
      <c r="AC6" s="1">
        <f t="shared" si="5"/>
        <v>420.00000000000028</v>
      </c>
      <c r="AD6" s="1">
        <f t="shared" si="6"/>
        <v>60.000000000000142</v>
      </c>
      <c r="AE6" s="2">
        <f t="shared" si="7"/>
        <v>429.99999999999972</v>
      </c>
      <c r="AF6" s="2">
        <f t="shared" si="8"/>
        <v>39.999999999999858</v>
      </c>
      <c r="AG6" s="3">
        <f t="shared" si="9"/>
        <v>419.99999999999955</v>
      </c>
      <c r="AH6" s="3">
        <f t="shared" si="10"/>
        <v>10.000000000000142</v>
      </c>
      <c r="AL6">
        <f t="shared" si="11"/>
        <v>327.59999999999991</v>
      </c>
      <c r="AM6">
        <f t="shared" si="12"/>
        <v>42</v>
      </c>
      <c r="AN6">
        <f t="shared" si="13"/>
        <v>378</v>
      </c>
      <c r="AO6">
        <f t="shared" si="14"/>
        <v>16.799999999999642</v>
      </c>
      <c r="AP6">
        <f t="shared" si="15"/>
        <v>352.80000000000024</v>
      </c>
      <c r="AQ6">
        <f t="shared" si="16"/>
        <v>50.400000000000119</v>
      </c>
      <c r="AR6">
        <f t="shared" si="17"/>
        <v>361.19999999999976</v>
      </c>
      <c r="AS6">
        <f t="shared" si="18"/>
        <v>33.599999999999881</v>
      </c>
      <c r="AT6">
        <f t="shared" si="19"/>
        <v>352.79999999999961</v>
      </c>
      <c r="AU6">
        <f t="shared" si="20"/>
        <v>8.4000000000001194</v>
      </c>
      <c r="AY6">
        <f t="shared" si="21"/>
        <v>-25.200000000000358</v>
      </c>
      <c r="AZ6">
        <f t="shared" si="22"/>
        <v>8.4000000000001194</v>
      </c>
      <c r="BA6">
        <f t="shared" si="23"/>
        <v>-8.4000000000001194</v>
      </c>
      <c r="BB6">
        <f t="shared" si="24"/>
        <v>-33.599999999999881</v>
      </c>
      <c r="BC6">
        <f t="shared" si="25"/>
        <v>-11.19999999999996</v>
      </c>
      <c r="BD6">
        <f t="shared" si="69"/>
        <v>50.400000000000091</v>
      </c>
      <c r="BE6">
        <f t="shared" si="70"/>
        <v>25.20000000000033</v>
      </c>
      <c r="BF6">
        <f t="shared" si="71"/>
        <v>33.599999999999852</v>
      </c>
      <c r="BG6">
        <f t="shared" si="72"/>
        <v>25.199999999999704</v>
      </c>
      <c r="BH6">
        <f t="shared" si="73"/>
        <v>27.999999999999961</v>
      </c>
      <c r="BK6" s="77">
        <f t="shared" si="74"/>
        <v>234.04289999999992</v>
      </c>
      <c r="BL6" s="77">
        <f t="shared" si="75"/>
        <v>30.005500000000001</v>
      </c>
      <c r="BM6" s="296">
        <f t="shared" si="26"/>
        <v>270.04950000000002</v>
      </c>
      <c r="BN6" s="296">
        <f t="shared" si="27"/>
        <v>12.002199999999744</v>
      </c>
      <c r="BO6" s="297">
        <f t="shared" si="28"/>
        <v>252.04620000000017</v>
      </c>
      <c r="BP6" s="297">
        <f t="shared" si="29"/>
        <v>36.006600000000084</v>
      </c>
      <c r="BQ6" s="298">
        <f t="shared" si="30"/>
        <v>258.04729999999984</v>
      </c>
      <c r="BR6" s="298">
        <f t="shared" si="31"/>
        <v>24.004399999999915</v>
      </c>
      <c r="BS6" s="299">
        <f t="shared" si="32"/>
        <v>252.04619999999974</v>
      </c>
      <c r="BT6" s="299">
        <f t="shared" si="33"/>
        <v>6.0011000000000854</v>
      </c>
      <c r="BU6" s="77"/>
      <c r="BV6" s="77"/>
      <c r="BW6" s="77"/>
      <c r="BX6" s="77" t="s">
        <v>170</v>
      </c>
      <c r="BY6" s="77">
        <f>AVERAGE(BS3:BS47)</f>
        <v>262.93191627906981</v>
      </c>
      <c r="BZ6" s="77">
        <f>AVERAGE(BT3:BT47)</f>
        <v>24.353301162790679</v>
      </c>
      <c r="CA6" s="77">
        <f t="shared" si="34"/>
        <v>12.171666279069854</v>
      </c>
      <c r="CD6" s="12">
        <f t="shared" si="35"/>
        <v>3.3999999999999986</v>
      </c>
      <c r="CE6">
        <f t="shared" si="36"/>
        <v>0.5</v>
      </c>
      <c r="CF6">
        <f t="shared" si="76"/>
        <v>207.39999999999992</v>
      </c>
      <c r="CG6">
        <f t="shared" si="77"/>
        <v>30</v>
      </c>
      <c r="CH6">
        <f t="shared" si="37"/>
        <v>3.8999999999999986</v>
      </c>
      <c r="CI6">
        <f t="shared" si="38"/>
        <v>0.5</v>
      </c>
      <c r="CJ6" s="12">
        <f t="shared" si="39"/>
        <v>4.3000000000000043</v>
      </c>
      <c r="CK6">
        <f t="shared" si="40"/>
        <v>0.19999999999999574</v>
      </c>
      <c r="CL6">
        <f t="shared" si="41"/>
        <v>262.30000000000024</v>
      </c>
      <c r="CM6">
        <f t="shared" si="42"/>
        <v>11.999999999999744</v>
      </c>
      <c r="CN6">
        <f t="shared" si="43"/>
        <v>4.5</v>
      </c>
      <c r="CO6">
        <f t="shared" si="44"/>
        <v>0.19999999999999574</v>
      </c>
      <c r="CP6" s="12">
        <f t="shared" si="45"/>
        <v>3.6000000000000014</v>
      </c>
      <c r="CQ6">
        <f t="shared" si="46"/>
        <v>0.60000000000000142</v>
      </c>
      <c r="CR6">
        <f t="shared" si="47"/>
        <v>219.60000000000008</v>
      </c>
      <c r="CS6">
        <f t="shared" si="48"/>
        <v>36.000000000000085</v>
      </c>
      <c r="CT6">
        <f t="shared" si="49"/>
        <v>4.2000000000000028</v>
      </c>
      <c r="CU6">
        <f t="shared" si="50"/>
        <v>0.60000000000000142</v>
      </c>
      <c r="CV6" s="12">
        <f t="shared" si="51"/>
        <v>3.8999999999999986</v>
      </c>
      <c r="CW6">
        <f t="shared" si="52"/>
        <v>0.39999999999999858</v>
      </c>
      <c r="CX6">
        <f t="shared" si="53"/>
        <v>237.89999999999992</v>
      </c>
      <c r="CY6">
        <f t="shared" si="54"/>
        <v>23.999999999999915</v>
      </c>
      <c r="CZ6">
        <f t="shared" si="55"/>
        <v>4.2999999999999972</v>
      </c>
      <c r="DA6">
        <f t="shared" si="56"/>
        <v>0.39999999999999858</v>
      </c>
      <c r="DB6" s="12">
        <f t="shared" si="57"/>
        <v>4.0999999999999943</v>
      </c>
      <c r="DC6">
        <f t="shared" si="58"/>
        <v>0.10000000000000142</v>
      </c>
      <c r="DD6">
        <f t="shared" si="59"/>
        <v>250.09999999999965</v>
      </c>
      <c r="DE6">
        <f t="shared" si="60"/>
        <v>6.0000000000000853</v>
      </c>
      <c r="DF6">
        <f t="shared" si="61"/>
        <v>4.1999999999999957</v>
      </c>
      <c r="DG6">
        <f t="shared" si="62"/>
        <v>0.10000000000000142</v>
      </c>
      <c r="DH6" s="12">
        <f t="shared" si="63"/>
        <v>4.0999999999999943</v>
      </c>
      <c r="DI6">
        <f t="shared" si="64"/>
        <v>0.40000000000000568</v>
      </c>
      <c r="DJ6">
        <f t="shared" si="65"/>
        <v>250.09999999999965</v>
      </c>
      <c r="DK6">
        <f t="shared" si="66"/>
        <v>24.000000000000341</v>
      </c>
      <c r="DL6">
        <f t="shared" si="67"/>
        <v>4.5</v>
      </c>
      <c r="DM6">
        <f t="shared" si="68"/>
        <v>0.40000000000000568</v>
      </c>
      <c r="DW6">
        <f t="shared" si="78"/>
        <v>12.200000000000159</v>
      </c>
      <c r="DX6">
        <f t="shared" si="79"/>
        <v>30.5</v>
      </c>
      <c r="DY6">
        <f t="shared" si="80"/>
        <v>42.699999999999733</v>
      </c>
      <c r="DZ6">
        <f t="shared" si="81"/>
        <v>28.466666666666629</v>
      </c>
    </row>
    <row r="7" spans="1:132">
      <c r="A7" s="14">
        <v>44448</v>
      </c>
      <c r="B7">
        <v>11.4</v>
      </c>
      <c r="C7">
        <v>11.65</v>
      </c>
      <c r="D7" s="66">
        <v>15.65</v>
      </c>
      <c r="E7" s="4">
        <v>15.65</v>
      </c>
      <c r="F7" s="4">
        <v>16</v>
      </c>
      <c r="G7" s="133">
        <v>20.2</v>
      </c>
      <c r="H7" s="1">
        <v>20.2</v>
      </c>
      <c r="I7" s="1">
        <v>20.5</v>
      </c>
      <c r="J7" s="134">
        <v>24.7</v>
      </c>
      <c r="K7" s="2">
        <v>24.7</v>
      </c>
      <c r="L7" s="2">
        <v>24.9</v>
      </c>
      <c r="M7" s="135">
        <v>29.1</v>
      </c>
      <c r="N7" s="3">
        <v>29.1</v>
      </c>
      <c r="O7" s="3">
        <v>29.5</v>
      </c>
      <c r="P7" s="136">
        <v>33.700000000000003</v>
      </c>
      <c r="Y7">
        <f t="shared" si="1"/>
        <v>400</v>
      </c>
      <c r="Z7">
        <f t="shared" si="2"/>
        <v>25</v>
      </c>
      <c r="AA7" s="4">
        <f t="shared" si="3"/>
        <v>419.99999999999994</v>
      </c>
      <c r="AB7" s="4">
        <f t="shared" si="4"/>
        <v>34.999999999999964</v>
      </c>
      <c r="AC7" s="1">
        <f t="shared" si="5"/>
        <v>419.99999999999994</v>
      </c>
      <c r="AD7" s="1">
        <f t="shared" si="6"/>
        <v>30.000000000000071</v>
      </c>
      <c r="AE7" s="2">
        <f t="shared" si="7"/>
        <v>420.00000000000028</v>
      </c>
      <c r="AF7" s="2">
        <f t="shared" si="8"/>
        <v>19.999999999999929</v>
      </c>
      <c r="AG7" s="3">
        <f t="shared" si="9"/>
        <v>420.00000000000028</v>
      </c>
      <c r="AH7" s="3">
        <f t="shared" si="10"/>
        <v>39.999999999999858</v>
      </c>
      <c r="AL7">
        <f t="shared" si="11"/>
        <v>336</v>
      </c>
      <c r="AM7">
        <f t="shared" si="12"/>
        <v>21</v>
      </c>
      <c r="AN7">
        <f t="shared" si="13"/>
        <v>352.79999999999995</v>
      </c>
      <c r="AO7">
        <f t="shared" si="14"/>
        <v>29.39999999999997</v>
      </c>
      <c r="AP7">
        <f t="shared" si="15"/>
        <v>352.79999999999995</v>
      </c>
      <c r="AQ7">
        <f t="shared" si="16"/>
        <v>25.20000000000006</v>
      </c>
      <c r="AR7">
        <f t="shared" si="17"/>
        <v>352.80000000000024</v>
      </c>
      <c r="AS7">
        <f t="shared" si="18"/>
        <v>16.79999999999994</v>
      </c>
      <c r="AT7">
        <f t="shared" si="19"/>
        <v>352.80000000000024</v>
      </c>
      <c r="AU7">
        <f t="shared" si="20"/>
        <v>33.599999999999881</v>
      </c>
      <c r="AY7">
        <f t="shared" si="21"/>
        <v>8.3999999999999702</v>
      </c>
      <c r="AZ7">
        <f t="shared" si="22"/>
        <v>4.2000000000000597</v>
      </c>
      <c r="BA7">
        <f t="shared" si="23"/>
        <v>-4.2000000000000597</v>
      </c>
      <c r="BB7">
        <f t="shared" si="24"/>
        <v>12.599999999999881</v>
      </c>
      <c r="BC7">
        <f t="shared" si="25"/>
        <v>4.1999999999999602</v>
      </c>
      <c r="BD7">
        <f t="shared" si="69"/>
        <v>16.799999999999955</v>
      </c>
      <c r="BE7">
        <f t="shared" si="70"/>
        <v>16.799999999999955</v>
      </c>
      <c r="BF7">
        <f t="shared" si="71"/>
        <v>16.800000000000239</v>
      </c>
      <c r="BG7">
        <f t="shared" si="72"/>
        <v>16.800000000000239</v>
      </c>
      <c r="BH7">
        <f t="shared" si="73"/>
        <v>16.800000000000143</v>
      </c>
      <c r="BK7" s="77">
        <f t="shared" si="74"/>
        <v>240.04400000000001</v>
      </c>
      <c r="BL7" s="77">
        <f t="shared" si="75"/>
        <v>15.002750000000001</v>
      </c>
      <c r="BM7" s="296">
        <f t="shared" si="26"/>
        <v>252.04619999999997</v>
      </c>
      <c r="BN7" s="296">
        <f t="shared" si="27"/>
        <v>21.003849999999979</v>
      </c>
      <c r="BO7" s="297">
        <f t="shared" si="28"/>
        <v>252.04619999999997</v>
      </c>
      <c r="BP7" s="297">
        <f t="shared" si="29"/>
        <v>18.003300000000042</v>
      </c>
      <c r="BQ7" s="298">
        <f t="shared" si="30"/>
        <v>252.04620000000017</v>
      </c>
      <c r="BR7" s="298">
        <f t="shared" si="31"/>
        <v>12.002199999999958</v>
      </c>
      <c r="BS7" s="299">
        <f t="shared" si="32"/>
        <v>252.04620000000017</v>
      </c>
      <c r="BT7" s="299">
        <f t="shared" si="33"/>
        <v>24.004399999999915</v>
      </c>
      <c r="BU7" s="77"/>
      <c r="BV7" s="77"/>
      <c r="BW7" s="77"/>
      <c r="BX7" s="77">
        <v>20</v>
      </c>
      <c r="BY7" s="77">
        <f>AVERAGE(BU34:BU65)</f>
        <v>235.0430833333333</v>
      </c>
      <c r="BZ7" s="77">
        <f>AVERAGE(BV34:BV65)</f>
        <v>24.404473333333325</v>
      </c>
      <c r="CA7" s="77">
        <f>BY7-BY9</f>
        <v>14.127589583333304</v>
      </c>
      <c r="CD7" s="12">
        <f t="shared" si="35"/>
        <v>3.75</v>
      </c>
      <c r="CE7">
        <f t="shared" si="36"/>
        <v>0.25</v>
      </c>
      <c r="CF7">
        <f t="shared" si="76"/>
        <v>228.75</v>
      </c>
      <c r="CG7">
        <f t="shared" si="77"/>
        <v>15</v>
      </c>
      <c r="CH7">
        <f t="shared" si="37"/>
        <v>4</v>
      </c>
      <c r="CI7">
        <f t="shared" si="38"/>
        <v>0.25</v>
      </c>
      <c r="CJ7" s="12">
        <f t="shared" si="39"/>
        <v>3.85</v>
      </c>
      <c r="CK7">
        <f t="shared" si="40"/>
        <v>0.34999999999999964</v>
      </c>
      <c r="CL7">
        <f t="shared" si="41"/>
        <v>234.85</v>
      </c>
      <c r="CM7">
        <f t="shared" si="42"/>
        <v>20.999999999999979</v>
      </c>
      <c r="CN7">
        <f t="shared" si="43"/>
        <v>4.1999999999999993</v>
      </c>
      <c r="CO7">
        <f t="shared" si="44"/>
        <v>0.34999999999999964</v>
      </c>
      <c r="CP7" s="12">
        <f t="shared" si="45"/>
        <v>3.8999999999999986</v>
      </c>
      <c r="CQ7">
        <f t="shared" si="46"/>
        <v>0.30000000000000071</v>
      </c>
      <c r="CR7">
        <f t="shared" si="47"/>
        <v>237.89999999999992</v>
      </c>
      <c r="CS7">
        <f t="shared" si="48"/>
        <v>18.000000000000043</v>
      </c>
      <c r="CT7">
        <f t="shared" si="49"/>
        <v>4.1999999999999993</v>
      </c>
      <c r="CU7">
        <f t="shared" si="50"/>
        <v>0.30000000000000071</v>
      </c>
      <c r="CV7" s="12">
        <f t="shared" si="51"/>
        <v>4.0000000000000036</v>
      </c>
      <c r="CW7">
        <f t="shared" si="52"/>
        <v>0.19999999999999929</v>
      </c>
      <c r="CX7">
        <f t="shared" si="53"/>
        <v>244.00000000000023</v>
      </c>
      <c r="CY7">
        <f t="shared" si="54"/>
        <v>11.999999999999957</v>
      </c>
      <c r="CZ7">
        <f t="shared" si="55"/>
        <v>4.2000000000000028</v>
      </c>
      <c r="DA7">
        <f t="shared" si="56"/>
        <v>0.19999999999999929</v>
      </c>
      <c r="DB7" s="12">
        <f t="shared" si="57"/>
        <v>3.8000000000000043</v>
      </c>
      <c r="DC7">
        <f t="shared" si="58"/>
        <v>0.39999999999999858</v>
      </c>
      <c r="DD7">
        <f t="shared" si="59"/>
        <v>231.80000000000027</v>
      </c>
      <c r="DE7">
        <f t="shared" si="60"/>
        <v>23.999999999999915</v>
      </c>
      <c r="DF7">
        <f t="shared" si="61"/>
        <v>4.2000000000000028</v>
      </c>
      <c r="DG7">
        <f t="shared" si="62"/>
        <v>0.39999999999999858</v>
      </c>
      <c r="DH7" s="12">
        <f t="shared" si="63"/>
        <v>3.6999999999999957</v>
      </c>
      <c r="DI7">
        <f t="shared" si="64"/>
        <v>0.5</v>
      </c>
      <c r="DJ7">
        <f t="shared" si="65"/>
        <v>225.69999999999973</v>
      </c>
      <c r="DK7">
        <f t="shared" si="66"/>
        <v>30</v>
      </c>
      <c r="DL7">
        <f t="shared" si="67"/>
        <v>4.1999999999999957</v>
      </c>
      <c r="DM7">
        <f t="shared" si="68"/>
        <v>0.5</v>
      </c>
      <c r="DW7">
        <f t="shared" si="78"/>
        <v>9.1499999999999204</v>
      </c>
      <c r="DX7">
        <f t="shared" si="79"/>
        <v>15.250000000000227</v>
      </c>
      <c r="DY7">
        <f t="shared" si="80"/>
        <v>3.0500000000002672</v>
      </c>
      <c r="DZ7">
        <f t="shared" si="81"/>
        <v>9.1500000000001389</v>
      </c>
    </row>
    <row r="8" spans="1:132">
      <c r="A8" s="14">
        <v>44449</v>
      </c>
      <c r="B8">
        <v>23</v>
      </c>
      <c r="C8">
        <v>23.4</v>
      </c>
      <c r="D8" s="66">
        <v>27.3</v>
      </c>
      <c r="E8" s="4">
        <v>27.3</v>
      </c>
      <c r="F8" s="4">
        <v>27.7</v>
      </c>
      <c r="G8" s="133">
        <v>32</v>
      </c>
      <c r="H8" s="1">
        <v>32</v>
      </c>
      <c r="I8" s="1">
        <v>32.4</v>
      </c>
      <c r="J8" s="134">
        <v>36.5</v>
      </c>
      <c r="K8" s="2">
        <v>36.5</v>
      </c>
      <c r="L8" s="2">
        <v>36.9</v>
      </c>
      <c r="M8" s="135">
        <v>41.1</v>
      </c>
      <c r="N8" s="3">
        <v>41.1</v>
      </c>
      <c r="O8" s="3">
        <v>41.5</v>
      </c>
      <c r="P8" s="136">
        <v>45.9</v>
      </c>
      <c r="Y8">
        <f t="shared" si="1"/>
        <v>390.00000000000023</v>
      </c>
      <c r="Z8">
        <f t="shared" si="2"/>
        <v>39.999999999999858</v>
      </c>
      <c r="AA8" s="4">
        <f t="shared" si="3"/>
        <v>430.00000000000006</v>
      </c>
      <c r="AB8" s="4">
        <f t="shared" si="4"/>
        <v>39.999999999999858</v>
      </c>
      <c r="AC8" s="1">
        <f t="shared" si="5"/>
        <v>410.00000000000011</v>
      </c>
      <c r="AD8" s="1">
        <f t="shared" si="6"/>
        <v>39.999999999999858</v>
      </c>
      <c r="AE8" s="2">
        <f t="shared" si="7"/>
        <v>420.00000000000028</v>
      </c>
      <c r="AF8" s="2">
        <f t="shared" si="8"/>
        <v>39.999999999999858</v>
      </c>
      <c r="AG8" s="3">
        <f t="shared" si="9"/>
        <v>439.99999999999989</v>
      </c>
      <c r="AH8" s="3">
        <f t="shared" si="10"/>
        <v>39.999999999999858</v>
      </c>
      <c r="AL8">
        <f t="shared" si="11"/>
        <v>327.60000000000019</v>
      </c>
      <c r="AM8">
        <f t="shared" si="12"/>
        <v>33.599999999999881</v>
      </c>
      <c r="AN8">
        <f t="shared" si="13"/>
        <v>361.20000000000005</v>
      </c>
      <c r="AO8">
        <f t="shared" si="14"/>
        <v>33.599999999999881</v>
      </c>
      <c r="AP8">
        <f t="shared" si="15"/>
        <v>344.40000000000009</v>
      </c>
      <c r="AQ8">
        <f t="shared" si="16"/>
        <v>33.599999999999881</v>
      </c>
      <c r="AR8">
        <f t="shared" si="17"/>
        <v>352.80000000000024</v>
      </c>
      <c r="AS8">
        <f t="shared" si="18"/>
        <v>33.599999999999881</v>
      </c>
      <c r="AT8">
        <f t="shared" si="19"/>
        <v>369.59999999999991</v>
      </c>
      <c r="AU8">
        <f t="shared" si="20"/>
        <v>33.599999999999881</v>
      </c>
      <c r="AY8">
        <f t="shared" si="21"/>
        <v>0</v>
      </c>
      <c r="AZ8">
        <f t="shared" si="22"/>
        <v>0</v>
      </c>
      <c r="BA8">
        <f t="shared" si="23"/>
        <v>0</v>
      </c>
      <c r="BB8">
        <f t="shared" si="24"/>
        <v>0</v>
      </c>
      <c r="BC8">
        <f t="shared" si="25"/>
        <v>0</v>
      </c>
      <c r="BD8">
        <f t="shared" si="69"/>
        <v>33.599999999999852</v>
      </c>
      <c r="BE8">
        <f t="shared" si="70"/>
        <v>16.799999999999898</v>
      </c>
      <c r="BF8">
        <f t="shared" si="71"/>
        <v>25.200000000000045</v>
      </c>
      <c r="BG8">
        <f t="shared" si="72"/>
        <v>41.999999999999716</v>
      </c>
      <c r="BH8">
        <f t="shared" si="73"/>
        <v>27.999999999999886</v>
      </c>
      <c r="BK8" s="77">
        <f t="shared" si="74"/>
        <v>234.04290000000015</v>
      </c>
      <c r="BL8" s="77">
        <f t="shared" si="75"/>
        <v>24.004399999999915</v>
      </c>
      <c r="BM8" s="296">
        <f t="shared" si="26"/>
        <v>258.04730000000006</v>
      </c>
      <c r="BN8" s="296">
        <f t="shared" si="27"/>
        <v>24.004399999999915</v>
      </c>
      <c r="BO8" s="297">
        <f t="shared" si="28"/>
        <v>246.0451000000001</v>
      </c>
      <c r="BP8" s="297">
        <f t="shared" si="29"/>
        <v>24.004399999999915</v>
      </c>
      <c r="BQ8" s="298">
        <f t="shared" si="30"/>
        <v>252.04620000000017</v>
      </c>
      <c r="BR8" s="298">
        <f t="shared" si="31"/>
        <v>24.004399999999915</v>
      </c>
      <c r="BS8" s="299">
        <f t="shared" si="32"/>
        <v>264.0483999999999</v>
      </c>
      <c r="BT8" s="299">
        <f t="shared" si="33"/>
        <v>24.004399999999915</v>
      </c>
      <c r="BU8" s="77"/>
      <c r="BV8" s="77"/>
      <c r="BW8" s="77"/>
      <c r="BX8" s="77" t="s">
        <v>178</v>
      </c>
      <c r="BY8" s="77">
        <f>AVERAGE(BK3:BK47)</f>
        <v>250.76024999999996</v>
      </c>
      <c r="BZ8" s="77">
        <f>AVERAGE(BL3:BL47)</f>
        <v>18.646274999999999</v>
      </c>
      <c r="CD8" s="12">
        <f t="shared" si="35"/>
        <v>3.5000000000000036</v>
      </c>
      <c r="CE8">
        <f t="shared" si="36"/>
        <v>0.39999999999999858</v>
      </c>
      <c r="CF8">
        <f t="shared" si="76"/>
        <v>213.50000000000023</v>
      </c>
      <c r="CG8">
        <f t="shared" si="77"/>
        <v>23.999999999999915</v>
      </c>
      <c r="CH8">
        <f t="shared" si="37"/>
        <v>3.9000000000000021</v>
      </c>
      <c r="CI8">
        <f t="shared" si="38"/>
        <v>0.39999999999999858</v>
      </c>
      <c r="CJ8" s="12">
        <f t="shared" si="39"/>
        <v>3.9000000000000021</v>
      </c>
      <c r="CK8">
        <f t="shared" si="40"/>
        <v>0.39999999999999858</v>
      </c>
      <c r="CL8">
        <f t="shared" si="41"/>
        <v>237.90000000000012</v>
      </c>
      <c r="CM8">
        <f t="shared" si="42"/>
        <v>23.999999999999915</v>
      </c>
      <c r="CN8">
        <f t="shared" si="43"/>
        <v>4.3000000000000007</v>
      </c>
      <c r="CO8">
        <f t="shared" si="44"/>
        <v>0.39999999999999858</v>
      </c>
      <c r="CP8" s="12">
        <f t="shared" si="45"/>
        <v>3.7000000000000028</v>
      </c>
      <c r="CQ8">
        <f t="shared" si="46"/>
        <v>0.39999999999999858</v>
      </c>
      <c r="CR8">
        <f t="shared" si="47"/>
        <v>225.70000000000016</v>
      </c>
      <c r="CS8">
        <f t="shared" si="48"/>
        <v>23.999999999999915</v>
      </c>
      <c r="CT8">
        <f t="shared" si="49"/>
        <v>4.1000000000000014</v>
      </c>
      <c r="CU8">
        <f t="shared" si="50"/>
        <v>0.39999999999999858</v>
      </c>
      <c r="CV8" s="12">
        <f t="shared" si="51"/>
        <v>3.8000000000000043</v>
      </c>
      <c r="CW8">
        <f t="shared" si="52"/>
        <v>0.39999999999999858</v>
      </c>
      <c r="CX8">
        <f t="shared" si="53"/>
        <v>231.80000000000027</v>
      </c>
      <c r="CY8">
        <f t="shared" si="54"/>
        <v>23.999999999999915</v>
      </c>
      <c r="CZ8">
        <f t="shared" si="55"/>
        <v>4.2000000000000028</v>
      </c>
      <c r="DA8">
        <f t="shared" si="56"/>
        <v>0.39999999999999858</v>
      </c>
      <c r="DB8" s="12">
        <f t="shared" si="57"/>
        <v>4</v>
      </c>
      <c r="DC8">
        <f t="shared" si="58"/>
        <v>0.39999999999999858</v>
      </c>
      <c r="DD8">
        <f t="shared" si="59"/>
        <v>244</v>
      </c>
      <c r="DE8">
        <f t="shared" si="60"/>
        <v>23.999999999999915</v>
      </c>
      <c r="DF8">
        <f t="shared" si="61"/>
        <v>4.3999999999999986</v>
      </c>
      <c r="DG8">
        <f t="shared" si="62"/>
        <v>0.39999999999999858</v>
      </c>
      <c r="DH8" s="12">
        <f t="shared" si="63"/>
        <v>3.6999999999999957</v>
      </c>
      <c r="DI8">
        <f t="shared" si="64"/>
        <v>0.60000000000000142</v>
      </c>
      <c r="DJ8">
        <f t="shared" si="65"/>
        <v>225.69999999999973</v>
      </c>
      <c r="DK8">
        <f t="shared" si="66"/>
        <v>36.000000000000085</v>
      </c>
      <c r="DL8">
        <f t="shared" si="67"/>
        <v>4.2999999999999972</v>
      </c>
      <c r="DM8">
        <f t="shared" si="68"/>
        <v>0.60000000000000142</v>
      </c>
      <c r="DW8">
        <f t="shared" si="78"/>
        <v>12.199999999999932</v>
      </c>
      <c r="DX8">
        <f t="shared" si="79"/>
        <v>18.30000000000004</v>
      </c>
      <c r="DY8">
        <f t="shared" si="80"/>
        <v>30.499999999999773</v>
      </c>
      <c r="DZ8">
        <f t="shared" si="81"/>
        <v>20.333333333333247</v>
      </c>
    </row>
    <row r="9" spans="1:132">
      <c r="A9" s="14">
        <v>44452</v>
      </c>
      <c r="B9">
        <v>28</v>
      </c>
      <c r="C9">
        <v>28.3</v>
      </c>
      <c r="D9" s="66">
        <v>32.700000000000003</v>
      </c>
      <c r="E9" s="4">
        <v>32.700000000000003</v>
      </c>
      <c r="F9" s="4">
        <v>33</v>
      </c>
      <c r="G9" s="133">
        <v>37.5</v>
      </c>
      <c r="H9" s="1">
        <v>37.5</v>
      </c>
      <c r="I9" s="1">
        <v>37.9</v>
      </c>
      <c r="J9" s="134">
        <v>42</v>
      </c>
      <c r="K9" s="2">
        <v>42</v>
      </c>
      <c r="L9" s="2">
        <v>42.5</v>
      </c>
      <c r="M9" s="135">
        <v>46.5</v>
      </c>
      <c r="N9" s="3">
        <v>46.5</v>
      </c>
      <c r="O9" s="3">
        <v>46.9</v>
      </c>
      <c r="P9" s="136">
        <v>51.3</v>
      </c>
      <c r="Y9">
        <f t="shared" si="1"/>
        <v>440.00000000000023</v>
      </c>
      <c r="Z9">
        <f t="shared" si="2"/>
        <v>30.000000000000071</v>
      </c>
      <c r="AA9" s="4">
        <f t="shared" si="3"/>
        <v>450</v>
      </c>
      <c r="AB9" s="4">
        <f t="shared" si="4"/>
        <v>29.999999999999716</v>
      </c>
      <c r="AC9" s="1">
        <f t="shared" si="5"/>
        <v>410.00000000000011</v>
      </c>
      <c r="AD9" s="1">
        <f t="shared" si="6"/>
        <v>39.999999999999858</v>
      </c>
      <c r="AE9" s="2">
        <f t="shared" si="7"/>
        <v>400</v>
      </c>
      <c r="AF9" s="2">
        <f t="shared" si="8"/>
        <v>50</v>
      </c>
      <c r="AG9" s="3">
        <f t="shared" si="9"/>
        <v>439.99999999999989</v>
      </c>
      <c r="AH9" s="3">
        <f t="shared" si="10"/>
        <v>39.999999999999858</v>
      </c>
      <c r="AL9">
        <f t="shared" si="11"/>
        <v>369.60000000000019</v>
      </c>
      <c r="AM9">
        <f t="shared" si="12"/>
        <v>25.20000000000006</v>
      </c>
      <c r="AN9">
        <f t="shared" si="13"/>
        <v>378</v>
      </c>
      <c r="AO9">
        <f t="shared" si="14"/>
        <v>25.199999999999761</v>
      </c>
      <c r="AP9">
        <f t="shared" si="15"/>
        <v>344.40000000000009</v>
      </c>
      <c r="AQ9">
        <f t="shared" si="16"/>
        <v>33.599999999999881</v>
      </c>
      <c r="AR9">
        <f t="shared" si="17"/>
        <v>336</v>
      </c>
      <c r="AS9">
        <f t="shared" si="18"/>
        <v>42</v>
      </c>
      <c r="AT9">
        <f t="shared" si="19"/>
        <v>369.59999999999991</v>
      </c>
      <c r="AU9">
        <f t="shared" si="20"/>
        <v>33.599999999999881</v>
      </c>
      <c r="AY9">
        <f t="shared" si="21"/>
        <v>-2.9842794901924208E-13</v>
      </c>
      <c r="AZ9">
        <f t="shared" si="22"/>
        <v>8.3999999999998209</v>
      </c>
      <c r="BA9">
        <f t="shared" si="23"/>
        <v>16.79999999999994</v>
      </c>
      <c r="BB9">
        <f t="shared" si="24"/>
        <v>8.3999999999998209</v>
      </c>
      <c r="BC9">
        <f t="shared" si="25"/>
        <v>11.199999999999861</v>
      </c>
      <c r="BD9">
        <f t="shared" si="69"/>
        <v>8.3999999999998067</v>
      </c>
      <c r="BE9">
        <f t="shared" si="70"/>
        <v>-25.200000000000102</v>
      </c>
      <c r="BF9">
        <f t="shared" si="71"/>
        <v>-33.600000000000193</v>
      </c>
      <c r="BG9">
        <f t="shared" si="72"/>
        <v>0</v>
      </c>
      <c r="BH9">
        <f t="shared" si="73"/>
        <v>-19.600000000000097</v>
      </c>
      <c r="BK9" s="77">
        <f t="shared" si="74"/>
        <v>264.04840000000013</v>
      </c>
      <c r="BL9" s="77">
        <f t="shared" si="75"/>
        <v>18.003300000000042</v>
      </c>
      <c r="BM9" s="296">
        <f t="shared" si="26"/>
        <v>270.04950000000002</v>
      </c>
      <c r="BN9" s="296">
        <f t="shared" si="27"/>
        <v>18.003299999999829</v>
      </c>
      <c r="BO9" s="297">
        <f t="shared" si="28"/>
        <v>246.0451000000001</v>
      </c>
      <c r="BP9" s="297">
        <f t="shared" si="29"/>
        <v>24.004399999999915</v>
      </c>
      <c r="BQ9" s="298">
        <f t="shared" si="30"/>
        <v>240.04400000000001</v>
      </c>
      <c r="BR9" s="298">
        <f t="shared" si="31"/>
        <v>30.005500000000001</v>
      </c>
      <c r="BS9" s="299">
        <f t="shared" si="32"/>
        <v>264.0483999999999</v>
      </c>
      <c r="BT9" s="299">
        <f t="shared" si="33"/>
        <v>24.004399999999915</v>
      </c>
      <c r="BU9" s="77"/>
      <c r="BV9" s="77"/>
      <c r="BW9" s="77"/>
      <c r="BX9" s="77" t="s">
        <v>343</v>
      </c>
      <c r="BY9" s="77">
        <f>AVERAGE(BW48:BW63)</f>
        <v>220.91549375</v>
      </c>
      <c r="BZ9" s="77">
        <f>AVERAGE(BX48:BX65)</f>
        <v>32.123535294117595</v>
      </c>
      <c r="CD9" s="12">
        <f t="shared" si="35"/>
        <v>4.1000000000000014</v>
      </c>
      <c r="CE9">
        <f t="shared" si="36"/>
        <v>0.30000000000000071</v>
      </c>
      <c r="CF9">
        <f t="shared" si="76"/>
        <v>250.10000000000008</v>
      </c>
      <c r="CG9">
        <f t="shared" si="77"/>
        <v>18.000000000000043</v>
      </c>
      <c r="CH9">
        <f t="shared" si="37"/>
        <v>4.4000000000000021</v>
      </c>
      <c r="CI9">
        <f t="shared" si="38"/>
        <v>0.30000000000000071</v>
      </c>
      <c r="CJ9" s="12">
        <f t="shared" si="39"/>
        <v>4.2000000000000028</v>
      </c>
      <c r="CK9">
        <f t="shared" si="40"/>
        <v>0.29999999999999716</v>
      </c>
      <c r="CL9">
        <f t="shared" si="41"/>
        <v>256.20000000000016</v>
      </c>
      <c r="CM9">
        <f t="shared" si="42"/>
        <v>17.999999999999829</v>
      </c>
      <c r="CN9">
        <f t="shared" si="43"/>
        <v>4.5</v>
      </c>
      <c r="CO9">
        <f t="shared" si="44"/>
        <v>0.29999999999999716</v>
      </c>
      <c r="CP9" s="12">
        <f t="shared" si="45"/>
        <v>3.7000000000000028</v>
      </c>
      <c r="CQ9">
        <f t="shared" si="46"/>
        <v>0.39999999999999858</v>
      </c>
      <c r="CR9">
        <f t="shared" si="47"/>
        <v>225.70000000000016</v>
      </c>
      <c r="CS9">
        <f t="shared" si="48"/>
        <v>23.999999999999915</v>
      </c>
      <c r="CT9">
        <f t="shared" si="49"/>
        <v>4.1000000000000014</v>
      </c>
      <c r="CU9">
        <f t="shared" si="50"/>
        <v>0.39999999999999858</v>
      </c>
      <c r="CV9" s="12">
        <f t="shared" si="51"/>
        <v>3.5</v>
      </c>
      <c r="CW9">
        <f t="shared" si="52"/>
        <v>0.5</v>
      </c>
      <c r="CX9">
        <f t="shared" si="53"/>
        <v>213.5</v>
      </c>
      <c r="CY9">
        <f t="shared" si="54"/>
        <v>30</v>
      </c>
      <c r="CZ9">
        <f t="shared" si="55"/>
        <v>4</v>
      </c>
      <c r="DA9">
        <f t="shared" si="56"/>
        <v>0.5</v>
      </c>
      <c r="DB9" s="12">
        <f t="shared" si="57"/>
        <v>4</v>
      </c>
      <c r="DC9">
        <f t="shared" si="58"/>
        <v>0.39999999999999858</v>
      </c>
      <c r="DD9">
        <f t="shared" si="59"/>
        <v>244</v>
      </c>
      <c r="DE9">
        <f t="shared" si="60"/>
        <v>23.999999999999915</v>
      </c>
      <c r="DF9">
        <f t="shared" si="61"/>
        <v>4.3999999999999986</v>
      </c>
      <c r="DG9">
        <f t="shared" si="62"/>
        <v>0.39999999999999858</v>
      </c>
      <c r="DH9" s="12">
        <f t="shared" si="63"/>
        <v>3.6999999999999993</v>
      </c>
      <c r="DI9">
        <f t="shared" si="64"/>
        <v>0.5</v>
      </c>
      <c r="DJ9">
        <f t="shared" si="65"/>
        <v>225.69999999999996</v>
      </c>
      <c r="DK9">
        <f t="shared" si="66"/>
        <v>30</v>
      </c>
      <c r="DL9">
        <f t="shared" si="67"/>
        <v>4.1999999999999993</v>
      </c>
      <c r="DM9">
        <f t="shared" si="68"/>
        <v>0.5</v>
      </c>
      <c r="DW9">
        <f t="shared" si="78"/>
        <v>-24.39999999999992</v>
      </c>
      <c r="DX9">
        <f t="shared" si="79"/>
        <v>-36.60000000000008</v>
      </c>
      <c r="DY9">
        <f t="shared" si="80"/>
        <v>-6.1000000000000796</v>
      </c>
      <c r="DZ9">
        <f t="shared" si="81"/>
        <v>-22.366666666666692</v>
      </c>
    </row>
    <row r="10" spans="1:132">
      <c r="A10" s="14">
        <v>44454</v>
      </c>
      <c r="B10" s="34">
        <v>24</v>
      </c>
      <c r="C10" s="34">
        <v>24.4</v>
      </c>
      <c r="D10" s="75">
        <v>28.4</v>
      </c>
      <c r="E10" s="103">
        <v>28.4</v>
      </c>
      <c r="F10" s="103">
        <v>28.8</v>
      </c>
      <c r="G10" s="133">
        <v>33</v>
      </c>
      <c r="H10" s="91">
        <v>33</v>
      </c>
      <c r="I10" s="91">
        <v>33.4</v>
      </c>
      <c r="J10" s="134">
        <v>37.5</v>
      </c>
      <c r="K10" s="95">
        <v>37.5</v>
      </c>
      <c r="L10" s="95">
        <v>37.9</v>
      </c>
      <c r="M10" s="135">
        <v>42.05</v>
      </c>
      <c r="N10" s="99">
        <v>42.05</v>
      </c>
      <c r="O10" s="99">
        <v>42.4</v>
      </c>
      <c r="P10" s="136">
        <v>46.6</v>
      </c>
      <c r="Q10" s="109"/>
      <c r="R10" s="109"/>
      <c r="Y10">
        <f t="shared" si="1"/>
        <v>400</v>
      </c>
      <c r="Z10">
        <f t="shared" si="2"/>
        <v>39.999999999999858</v>
      </c>
      <c r="AA10" s="4">
        <f t="shared" si="3"/>
        <v>419.99999999999994</v>
      </c>
      <c r="AB10" s="4">
        <f t="shared" si="4"/>
        <v>40.000000000000213</v>
      </c>
      <c r="AC10" s="1">
        <f t="shared" si="5"/>
        <v>410.00000000000011</v>
      </c>
      <c r="AD10" s="1">
        <f t="shared" si="6"/>
        <v>39.999999999999858</v>
      </c>
      <c r="AE10" s="2">
        <f t="shared" si="7"/>
        <v>414.99999999999989</v>
      </c>
      <c r="AF10" s="2">
        <f t="shared" si="8"/>
        <v>39.999999999999858</v>
      </c>
      <c r="AG10" s="3">
        <f t="shared" si="9"/>
        <v>420.00000000000028</v>
      </c>
      <c r="AH10" s="3">
        <f t="shared" si="10"/>
        <v>35.000000000000142</v>
      </c>
      <c r="AL10">
        <f t="shared" si="11"/>
        <v>336</v>
      </c>
      <c r="AM10">
        <f t="shared" si="12"/>
        <v>33.599999999999881</v>
      </c>
      <c r="AN10">
        <f t="shared" si="13"/>
        <v>352.79999999999995</v>
      </c>
      <c r="AO10">
        <f t="shared" si="14"/>
        <v>33.600000000000179</v>
      </c>
      <c r="AP10">
        <f t="shared" si="15"/>
        <v>344.40000000000009</v>
      </c>
      <c r="AQ10">
        <f t="shared" si="16"/>
        <v>33.599999999999881</v>
      </c>
      <c r="AR10">
        <f t="shared" si="17"/>
        <v>348.59999999999991</v>
      </c>
      <c r="AS10">
        <f t="shared" si="18"/>
        <v>33.599999999999881</v>
      </c>
      <c r="AT10">
        <f t="shared" si="19"/>
        <v>352.80000000000024</v>
      </c>
      <c r="AU10">
        <f t="shared" si="20"/>
        <v>29.400000000000119</v>
      </c>
      <c r="AY10">
        <f t="shared" si="21"/>
        <v>2.9842794901924208E-13</v>
      </c>
      <c r="AZ10">
        <f t="shared" si="22"/>
        <v>0</v>
      </c>
      <c r="BA10">
        <f t="shared" si="23"/>
        <v>0</v>
      </c>
      <c r="BB10">
        <f t="shared" si="24"/>
        <v>-4.1999999999997613</v>
      </c>
      <c r="BC10">
        <f t="shared" si="25"/>
        <v>-1.3999999999999204</v>
      </c>
      <c r="BD10">
        <f t="shared" si="69"/>
        <v>16.799999999999955</v>
      </c>
      <c r="BE10">
        <f t="shared" si="70"/>
        <v>8.4000000000000909</v>
      </c>
      <c r="BF10">
        <f t="shared" si="71"/>
        <v>12.599999999999909</v>
      </c>
      <c r="BG10">
        <f t="shared" si="72"/>
        <v>16.800000000000239</v>
      </c>
      <c r="BH10">
        <f t="shared" si="73"/>
        <v>12.60000000000008</v>
      </c>
      <c r="BK10" s="77">
        <f t="shared" si="74"/>
        <v>240.04400000000001</v>
      </c>
      <c r="BL10" s="77">
        <f t="shared" si="75"/>
        <v>24.004399999999915</v>
      </c>
      <c r="BM10" s="296">
        <f t="shared" si="26"/>
        <v>252.04619999999997</v>
      </c>
      <c r="BN10" s="296">
        <f t="shared" si="27"/>
        <v>24.004400000000128</v>
      </c>
      <c r="BO10" s="297">
        <f t="shared" si="28"/>
        <v>246.0451000000001</v>
      </c>
      <c r="BP10" s="297">
        <f t="shared" si="29"/>
        <v>24.004399999999915</v>
      </c>
      <c r="BQ10" s="298">
        <f t="shared" si="30"/>
        <v>249.04564999999994</v>
      </c>
      <c r="BR10" s="298">
        <f t="shared" si="31"/>
        <v>24.004399999999915</v>
      </c>
      <c r="BS10" s="299">
        <f t="shared" si="32"/>
        <v>252.04620000000017</v>
      </c>
      <c r="BT10" s="299">
        <f t="shared" si="33"/>
        <v>21.003850000000085</v>
      </c>
      <c r="BU10" s="77"/>
      <c r="BV10" s="77"/>
      <c r="BW10" s="77"/>
      <c r="BX10" s="77"/>
      <c r="BY10" s="77"/>
      <c r="CD10" s="12">
        <f t="shared" si="35"/>
        <v>3.6000000000000014</v>
      </c>
      <c r="CE10">
        <f t="shared" si="36"/>
        <v>0.39999999999999858</v>
      </c>
      <c r="CF10">
        <f t="shared" si="76"/>
        <v>219.60000000000008</v>
      </c>
      <c r="CG10">
        <f t="shared" si="77"/>
        <v>23.999999999999915</v>
      </c>
      <c r="CH10">
        <f t="shared" si="37"/>
        <v>4</v>
      </c>
      <c r="CI10">
        <f t="shared" si="38"/>
        <v>0.39999999999999858</v>
      </c>
      <c r="CJ10" s="12">
        <f t="shared" si="39"/>
        <v>3.7999999999999972</v>
      </c>
      <c r="CK10">
        <f t="shared" si="40"/>
        <v>0.40000000000000213</v>
      </c>
      <c r="CL10">
        <f t="shared" si="41"/>
        <v>231.79999999999984</v>
      </c>
      <c r="CM10">
        <f t="shared" si="42"/>
        <v>24.000000000000128</v>
      </c>
      <c r="CN10">
        <f t="shared" si="43"/>
        <v>4.1999999999999993</v>
      </c>
      <c r="CO10">
        <f t="shared" si="44"/>
        <v>0.40000000000000213</v>
      </c>
      <c r="CP10" s="12">
        <f t="shared" si="45"/>
        <v>3.7000000000000028</v>
      </c>
      <c r="CQ10">
        <f t="shared" si="46"/>
        <v>0.39999999999999858</v>
      </c>
      <c r="CR10">
        <f t="shared" si="47"/>
        <v>225.70000000000016</v>
      </c>
      <c r="CS10">
        <f t="shared" si="48"/>
        <v>23.999999999999915</v>
      </c>
      <c r="CT10">
        <f t="shared" si="49"/>
        <v>4.1000000000000014</v>
      </c>
      <c r="CU10">
        <f t="shared" si="50"/>
        <v>0.39999999999999858</v>
      </c>
      <c r="CV10" s="12">
        <f t="shared" si="51"/>
        <v>3.75</v>
      </c>
      <c r="CW10">
        <f t="shared" si="52"/>
        <v>0.39999999999999858</v>
      </c>
      <c r="CX10">
        <f t="shared" si="53"/>
        <v>228.75</v>
      </c>
      <c r="CY10">
        <f t="shared" si="54"/>
        <v>23.999999999999915</v>
      </c>
      <c r="CZ10">
        <f t="shared" si="55"/>
        <v>4.1499999999999986</v>
      </c>
      <c r="DA10">
        <f t="shared" si="56"/>
        <v>0.39999999999999858</v>
      </c>
      <c r="DB10" s="12">
        <f t="shared" si="57"/>
        <v>3.8500000000000014</v>
      </c>
      <c r="DC10">
        <f t="shared" si="58"/>
        <v>0.35000000000000142</v>
      </c>
      <c r="DD10">
        <f t="shared" si="59"/>
        <v>234.85000000000008</v>
      </c>
      <c r="DE10">
        <f t="shared" si="60"/>
        <v>21.000000000000085</v>
      </c>
      <c r="DF10">
        <f t="shared" si="61"/>
        <v>4.2000000000000028</v>
      </c>
      <c r="DG10">
        <f t="shared" si="62"/>
        <v>0.35000000000000142</v>
      </c>
      <c r="DH10" s="12">
        <f t="shared" si="63"/>
        <v>3.1999999999999993</v>
      </c>
      <c r="DI10">
        <f t="shared" si="64"/>
        <v>0.60000000000000053</v>
      </c>
      <c r="DJ10">
        <f t="shared" si="65"/>
        <v>195.19999999999996</v>
      </c>
      <c r="DK10">
        <f t="shared" si="66"/>
        <v>36.000000000000028</v>
      </c>
      <c r="DL10">
        <f t="shared" si="67"/>
        <v>3.8</v>
      </c>
      <c r="DM10">
        <f t="shared" si="68"/>
        <v>0.60000000000000053</v>
      </c>
      <c r="DW10">
        <f t="shared" si="78"/>
        <v>6.1000000000000796</v>
      </c>
      <c r="DX10">
        <f t="shared" si="79"/>
        <v>9.1499999999999204</v>
      </c>
      <c r="DY10">
        <f t="shared" si="80"/>
        <v>15.25</v>
      </c>
      <c r="DZ10">
        <f t="shared" si="81"/>
        <v>10.166666666666666</v>
      </c>
      <c r="EA10">
        <f>AVERAGE(DZ3:DZ17)</f>
        <v>5.1559523809524235</v>
      </c>
      <c r="EB10" t="s">
        <v>1846</v>
      </c>
    </row>
    <row r="11" spans="1:132">
      <c r="A11" s="14">
        <v>44455</v>
      </c>
      <c r="B11" s="35">
        <v>26.1</v>
      </c>
      <c r="C11" s="35">
        <v>26.3</v>
      </c>
      <c r="D11" s="75">
        <v>30.8</v>
      </c>
      <c r="E11" s="103">
        <v>30.8</v>
      </c>
      <c r="F11" s="103">
        <v>31.1</v>
      </c>
      <c r="G11" s="133">
        <v>35.5</v>
      </c>
      <c r="H11" s="91">
        <v>35.5</v>
      </c>
      <c r="I11" s="91">
        <v>35.9</v>
      </c>
      <c r="J11" s="134">
        <v>40.200000000000003</v>
      </c>
      <c r="K11" s="95">
        <v>40.200000000000003</v>
      </c>
      <c r="L11" s="95">
        <v>40.700000000000003</v>
      </c>
      <c r="M11" s="135">
        <v>45</v>
      </c>
      <c r="N11" s="99">
        <v>45</v>
      </c>
      <c r="O11" s="99">
        <v>45.4</v>
      </c>
      <c r="P11" s="136">
        <v>49.4</v>
      </c>
      <c r="Q11" s="109"/>
      <c r="R11" s="109"/>
      <c r="Y11">
        <f t="shared" si="1"/>
        <v>450</v>
      </c>
      <c r="Z11">
        <f t="shared" si="2"/>
        <v>19.999999999999929</v>
      </c>
      <c r="AA11" s="4">
        <f t="shared" si="3"/>
        <v>439.99999999999989</v>
      </c>
      <c r="AB11" s="4">
        <f t="shared" si="4"/>
        <v>30.000000000000071</v>
      </c>
      <c r="AC11" s="1">
        <f t="shared" si="5"/>
        <v>430.00000000000045</v>
      </c>
      <c r="AD11" s="1">
        <f t="shared" si="6"/>
        <v>39.999999999999858</v>
      </c>
      <c r="AE11" s="2">
        <f t="shared" si="7"/>
        <v>429.99999999999972</v>
      </c>
      <c r="AF11" s="2">
        <f t="shared" si="8"/>
        <v>50</v>
      </c>
      <c r="AG11" s="3">
        <f t="shared" si="9"/>
        <v>400</v>
      </c>
      <c r="AH11" s="3">
        <f t="shared" si="10"/>
        <v>39.999999999999858</v>
      </c>
      <c r="AL11">
        <f t="shared" si="11"/>
        <v>378</v>
      </c>
      <c r="AM11">
        <f t="shared" si="12"/>
        <v>16.79999999999994</v>
      </c>
      <c r="AN11">
        <f t="shared" si="13"/>
        <v>369.59999999999991</v>
      </c>
      <c r="AO11">
        <f t="shared" si="14"/>
        <v>25.20000000000006</v>
      </c>
      <c r="AP11">
        <f t="shared" si="15"/>
        <v>361.20000000000039</v>
      </c>
      <c r="AQ11">
        <f t="shared" si="16"/>
        <v>33.599999999999881</v>
      </c>
      <c r="AR11">
        <f t="shared" si="17"/>
        <v>361.19999999999976</v>
      </c>
      <c r="AS11">
        <f t="shared" si="18"/>
        <v>42</v>
      </c>
      <c r="AT11">
        <f t="shared" si="19"/>
        <v>336</v>
      </c>
      <c r="AU11">
        <f t="shared" si="20"/>
        <v>33.599999999999881</v>
      </c>
      <c r="AY11">
        <f t="shared" si="21"/>
        <v>8.4000000000001194</v>
      </c>
      <c r="AZ11">
        <f t="shared" si="22"/>
        <v>16.79999999999994</v>
      </c>
      <c r="BA11">
        <f t="shared" si="23"/>
        <v>25.20000000000006</v>
      </c>
      <c r="BB11">
        <f t="shared" si="24"/>
        <v>16.79999999999994</v>
      </c>
      <c r="BC11">
        <f t="shared" si="25"/>
        <v>19.59999999999998</v>
      </c>
      <c r="BD11">
        <f t="shared" si="69"/>
        <v>-8.4000000000000909</v>
      </c>
      <c r="BE11">
        <f t="shared" si="70"/>
        <v>-16.799999999999613</v>
      </c>
      <c r="BF11">
        <f t="shared" si="71"/>
        <v>-16.800000000000239</v>
      </c>
      <c r="BG11">
        <f t="shared" si="72"/>
        <v>-42</v>
      </c>
      <c r="BH11">
        <f t="shared" si="73"/>
        <v>-25.19999999999995</v>
      </c>
      <c r="BK11" s="77">
        <f t="shared" si="74"/>
        <v>270.04950000000002</v>
      </c>
      <c r="BL11" s="77">
        <f t="shared" si="75"/>
        <v>12.002199999999958</v>
      </c>
      <c r="BM11" s="296">
        <f t="shared" si="26"/>
        <v>264.0483999999999</v>
      </c>
      <c r="BN11" s="296">
        <f t="shared" si="27"/>
        <v>18.003300000000042</v>
      </c>
      <c r="BO11" s="297">
        <f t="shared" si="28"/>
        <v>258.04730000000029</v>
      </c>
      <c r="BP11" s="297">
        <f t="shared" si="29"/>
        <v>24.004399999999915</v>
      </c>
      <c r="BQ11" s="298">
        <f t="shared" si="30"/>
        <v>258.04729999999984</v>
      </c>
      <c r="BR11" s="298">
        <f t="shared" si="31"/>
        <v>30.005500000000001</v>
      </c>
      <c r="BS11" s="299">
        <f t="shared" si="32"/>
        <v>240.04400000000001</v>
      </c>
      <c r="BT11" s="299">
        <f t="shared" si="33"/>
        <v>24.004399999999915</v>
      </c>
      <c r="BU11" s="77"/>
      <c r="BV11" s="77"/>
      <c r="BW11" s="77"/>
      <c r="BX11" s="77"/>
      <c r="BY11" s="77"/>
      <c r="CD11" s="12">
        <f t="shared" si="35"/>
        <v>4.3000000000000007</v>
      </c>
      <c r="CE11">
        <f t="shared" si="36"/>
        <v>0.19999999999999929</v>
      </c>
      <c r="CF11">
        <f t="shared" si="76"/>
        <v>262.30000000000007</v>
      </c>
      <c r="CG11">
        <f t="shared" si="77"/>
        <v>11.999999999999957</v>
      </c>
      <c r="CH11">
        <f t="shared" si="37"/>
        <v>4.5</v>
      </c>
      <c r="CI11">
        <f t="shared" si="38"/>
        <v>0.19999999999999929</v>
      </c>
      <c r="CJ11" s="12">
        <f t="shared" si="39"/>
        <v>4.0999999999999979</v>
      </c>
      <c r="CK11">
        <f t="shared" si="40"/>
        <v>0.30000000000000071</v>
      </c>
      <c r="CL11">
        <f t="shared" si="41"/>
        <v>250.09999999999988</v>
      </c>
      <c r="CM11">
        <f t="shared" si="42"/>
        <v>18.000000000000043</v>
      </c>
      <c r="CN11">
        <f t="shared" si="43"/>
        <v>4.3999999999999986</v>
      </c>
      <c r="CO11">
        <f t="shared" si="44"/>
        <v>0.30000000000000071</v>
      </c>
      <c r="CP11" s="12">
        <f t="shared" si="45"/>
        <v>3.9000000000000057</v>
      </c>
      <c r="CQ11">
        <f t="shared" si="46"/>
        <v>0.39999999999999858</v>
      </c>
      <c r="CR11">
        <f t="shared" si="47"/>
        <v>237.90000000000035</v>
      </c>
      <c r="CS11">
        <f t="shared" si="48"/>
        <v>23.999999999999915</v>
      </c>
      <c r="CT11">
        <f t="shared" si="49"/>
        <v>4.3000000000000043</v>
      </c>
      <c r="CU11">
        <f t="shared" si="50"/>
        <v>0.39999999999999858</v>
      </c>
      <c r="CV11" s="12">
        <f t="shared" si="51"/>
        <v>3.7999999999999972</v>
      </c>
      <c r="CW11">
        <f t="shared" si="52"/>
        <v>0.5</v>
      </c>
      <c r="CX11">
        <f t="shared" si="53"/>
        <v>231.79999999999984</v>
      </c>
      <c r="CY11">
        <f t="shared" si="54"/>
        <v>30</v>
      </c>
      <c r="CZ11">
        <f t="shared" si="55"/>
        <v>4.2999999999999972</v>
      </c>
      <c r="DA11">
        <f t="shared" si="56"/>
        <v>0.5</v>
      </c>
      <c r="DB11" s="12">
        <f t="shared" si="57"/>
        <v>3.6000000000000014</v>
      </c>
      <c r="DC11">
        <f t="shared" si="58"/>
        <v>0.39999999999999858</v>
      </c>
      <c r="DD11">
        <f t="shared" si="59"/>
        <v>219.60000000000008</v>
      </c>
      <c r="DE11">
        <f t="shared" si="60"/>
        <v>23.999999999999915</v>
      </c>
      <c r="DF11">
        <f t="shared" si="61"/>
        <v>4</v>
      </c>
      <c r="DG11">
        <f t="shared" si="62"/>
        <v>0.39999999999999858</v>
      </c>
      <c r="DH11" s="12">
        <f t="shared" si="63"/>
        <v>4.7999999999999936</v>
      </c>
      <c r="DI11">
        <f t="shared" si="64"/>
        <v>0.40000000000000213</v>
      </c>
      <c r="DJ11">
        <f t="shared" si="65"/>
        <v>292.79999999999961</v>
      </c>
      <c r="DK11">
        <f t="shared" si="66"/>
        <v>24.000000000000128</v>
      </c>
      <c r="DL11">
        <f t="shared" si="67"/>
        <v>5.1999999999999957</v>
      </c>
      <c r="DM11">
        <f t="shared" si="68"/>
        <v>0.40000000000000213</v>
      </c>
      <c r="DW11">
        <f t="shared" si="78"/>
        <v>-24.399999999999721</v>
      </c>
      <c r="DX11">
        <f t="shared" si="79"/>
        <v>-30.500000000000227</v>
      </c>
      <c r="DY11">
        <f t="shared" si="80"/>
        <v>-42.699999999999989</v>
      </c>
      <c r="DZ11">
        <f t="shared" si="81"/>
        <v>-32.53333333333331</v>
      </c>
    </row>
    <row r="12" spans="1:132">
      <c r="A12" s="14">
        <v>44456</v>
      </c>
      <c r="B12" s="35">
        <v>25</v>
      </c>
      <c r="C12" s="35">
        <v>25.2</v>
      </c>
      <c r="D12" s="75">
        <v>29.6</v>
      </c>
      <c r="E12" s="103">
        <v>29.6</v>
      </c>
      <c r="F12" s="103">
        <v>29.8</v>
      </c>
      <c r="G12" s="133">
        <v>34.200000000000003</v>
      </c>
      <c r="H12" s="91">
        <v>34.200000000000003</v>
      </c>
      <c r="I12" s="91">
        <v>34.700000000000003</v>
      </c>
      <c r="J12" s="134">
        <v>38.9</v>
      </c>
      <c r="K12" s="95">
        <v>38.9</v>
      </c>
      <c r="L12" s="95">
        <v>39.299999999999997</v>
      </c>
      <c r="M12" s="135">
        <v>43.7</v>
      </c>
      <c r="N12" s="99">
        <v>43.7</v>
      </c>
      <c r="O12" s="99">
        <v>44.3</v>
      </c>
      <c r="P12" s="136">
        <v>48.6</v>
      </c>
      <c r="Q12" s="109"/>
      <c r="R12" s="109"/>
      <c r="Y12">
        <f t="shared" si="1"/>
        <v>440.00000000000023</v>
      </c>
      <c r="Z12">
        <f t="shared" si="2"/>
        <v>19.999999999999929</v>
      </c>
      <c r="AA12" s="4">
        <f t="shared" si="3"/>
        <v>440.00000000000023</v>
      </c>
      <c r="AB12" s="4">
        <f t="shared" si="4"/>
        <v>19.999999999999929</v>
      </c>
      <c r="AC12" s="1">
        <f t="shared" si="5"/>
        <v>419.99999999999955</v>
      </c>
      <c r="AD12" s="1">
        <f t="shared" si="6"/>
        <v>50</v>
      </c>
      <c r="AE12" s="2">
        <f t="shared" si="7"/>
        <v>440.00000000000057</v>
      </c>
      <c r="AF12" s="2">
        <f t="shared" si="8"/>
        <v>39.999999999999858</v>
      </c>
      <c r="AG12" s="3">
        <f t="shared" si="9"/>
        <v>430.00000000000045</v>
      </c>
      <c r="AH12" s="3">
        <f t="shared" si="10"/>
        <v>59.999999999999432</v>
      </c>
      <c r="AL12">
        <f t="shared" si="11"/>
        <v>369.60000000000019</v>
      </c>
      <c r="AM12">
        <f t="shared" si="12"/>
        <v>16.79999999999994</v>
      </c>
      <c r="AN12">
        <f t="shared" si="13"/>
        <v>369.60000000000019</v>
      </c>
      <c r="AO12">
        <f t="shared" si="14"/>
        <v>16.79999999999994</v>
      </c>
      <c r="AP12">
        <f t="shared" si="15"/>
        <v>352.79999999999961</v>
      </c>
      <c r="AQ12">
        <f t="shared" si="16"/>
        <v>42</v>
      </c>
      <c r="AR12">
        <f t="shared" si="17"/>
        <v>369.60000000000048</v>
      </c>
      <c r="AS12">
        <f t="shared" si="18"/>
        <v>33.599999999999881</v>
      </c>
      <c r="AT12">
        <f t="shared" si="19"/>
        <v>361.20000000000039</v>
      </c>
      <c r="AU12">
        <f t="shared" si="20"/>
        <v>50.399999999999523</v>
      </c>
      <c r="AY12">
        <f t="shared" si="21"/>
        <v>0</v>
      </c>
      <c r="AZ12">
        <f t="shared" si="22"/>
        <v>25.20000000000006</v>
      </c>
      <c r="BA12">
        <f t="shared" si="23"/>
        <v>16.79999999999994</v>
      </c>
      <c r="BB12">
        <f t="shared" si="24"/>
        <v>33.599999999999582</v>
      </c>
      <c r="BC12">
        <f t="shared" si="25"/>
        <v>25.199999999999861</v>
      </c>
      <c r="BD12">
        <f t="shared" si="69"/>
        <v>0</v>
      </c>
      <c r="BE12">
        <f t="shared" si="70"/>
        <v>-16.80000000000058</v>
      </c>
      <c r="BF12">
        <f t="shared" si="71"/>
        <v>0</v>
      </c>
      <c r="BG12">
        <f t="shared" si="72"/>
        <v>-8.3999999999998067</v>
      </c>
      <c r="BH12">
        <f t="shared" si="73"/>
        <v>-8.4000000000001283</v>
      </c>
      <c r="BK12" s="77">
        <f t="shared" si="74"/>
        <v>264.04840000000013</v>
      </c>
      <c r="BL12" s="77">
        <f t="shared" si="75"/>
        <v>12.002199999999958</v>
      </c>
      <c r="BM12" s="296">
        <f t="shared" si="26"/>
        <v>264.04840000000013</v>
      </c>
      <c r="BN12" s="296">
        <f t="shared" si="27"/>
        <v>12.002199999999958</v>
      </c>
      <c r="BO12" s="297">
        <f t="shared" si="28"/>
        <v>252.04619999999974</v>
      </c>
      <c r="BP12" s="297">
        <f t="shared" si="29"/>
        <v>30.005500000000001</v>
      </c>
      <c r="BQ12" s="298">
        <f t="shared" si="30"/>
        <v>264.04840000000036</v>
      </c>
      <c r="BR12" s="298">
        <f t="shared" si="31"/>
        <v>24.004399999999915</v>
      </c>
      <c r="BS12" s="299">
        <f t="shared" si="32"/>
        <v>258.04730000000029</v>
      </c>
      <c r="BT12" s="299">
        <f t="shared" si="33"/>
        <v>36.006599999999658</v>
      </c>
      <c r="BU12" s="77"/>
      <c r="BV12" s="77"/>
      <c r="BW12" s="77"/>
      <c r="BX12" s="77"/>
      <c r="BY12" s="77"/>
      <c r="CD12" s="12">
        <f t="shared" si="35"/>
        <v>4.2000000000000028</v>
      </c>
      <c r="CE12">
        <f t="shared" si="36"/>
        <v>0.19999999999999929</v>
      </c>
      <c r="CF12">
        <f t="shared" si="76"/>
        <v>256.20000000000016</v>
      </c>
      <c r="CG12">
        <f t="shared" si="77"/>
        <v>11.999999999999957</v>
      </c>
      <c r="CH12">
        <f t="shared" si="37"/>
        <v>4.4000000000000021</v>
      </c>
      <c r="CI12">
        <f t="shared" si="38"/>
        <v>0.19999999999999929</v>
      </c>
      <c r="CJ12" s="12">
        <f t="shared" si="39"/>
        <v>4.2000000000000028</v>
      </c>
      <c r="CK12">
        <f t="shared" si="40"/>
        <v>0.19999999999999929</v>
      </c>
      <c r="CL12">
        <f t="shared" si="41"/>
        <v>256.20000000000016</v>
      </c>
      <c r="CM12">
        <f t="shared" si="42"/>
        <v>11.999999999999957</v>
      </c>
      <c r="CN12">
        <f t="shared" si="43"/>
        <v>4.4000000000000021</v>
      </c>
      <c r="CO12">
        <f t="shared" si="44"/>
        <v>0.19999999999999929</v>
      </c>
      <c r="CP12" s="12">
        <f t="shared" si="45"/>
        <v>3.6999999999999957</v>
      </c>
      <c r="CQ12">
        <f t="shared" si="46"/>
        <v>0.5</v>
      </c>
      <c r="CR12">
        <f t="shared" si="47"/>
        <v>225.69999999999973</v>
      </c>
      <c r="CS12">
        <f t="shared" si="48"/>
        <v>30</v>
      </c>
      <c r="CT12">
        <f t="shared" si="49"/>
        <v>4.1999999999999957</v>
      </c>
      <c r="CU12">
        <f t="shared" si="50"/>
        <v>0.5</v>
      </c>
      <c r="CV12" s="12">
        <f t="shared" si="51"/>
        <v>4.0000000000000071</v>
      </c>
      <c r="CW12">
        <f t="shared" si="52"/>
        <v>0.39999999999999858</v>
      </c>
      <c r="CX12">
        <f t="shared" si="53"/>
        <v>244.00000000000043</v>
      </c>
      <c r="CY12">
        <f t="shared" si="54"/>
        <v>23.999999999999915</v>
      </c>
      <c r="CZ12">
        <f t="shared" si="55"/>
        <v>4.4000000000000057</v>
      </c>
      <c r="DA12">
        <f t="shared" si="56"/>
        <v>0.39999999999999858</v>
      </c>
      <c r="DB12" s="12">
        <f t="shared" si="57"/>
        <v>3.7000000000000099</v>
      </c>
      <c r="DC12">
        <f t="shared" si="58"/>
        <v>0.59999999999999432</v>
      </c>
      <c r="DD12">
        <f t="shared" si="59"/>
        <v>225.70000000000061</v>
      </c>
      <c r="DE12">
        <f t="shared" si="60"/>
        <v>35.999999999999659</v>
      </c>
      <c r="DF12">
        <f t="shared" si="61"/>
        <v>4.3000000000000043</v>
      </c>
      <c r="DG12">
        <f t="shared" si="62"/>
        <v>0.59999999999999432</v>
      </c>
      <c r="DH12" t="s">
        <v>182</v>
      </c>
      <c r="DI12" t="s">
        <v>182</v>
      </c>
      <c r="DJ12" t="s">
        <v>182</v>
      </c>
      <c r="DK12" t="s">
        <v>182</v>
      </c>
      <c r="DL12" t="s">
        <v>182</v>
      </c>
      <c r="DM12" t="s">
        <v>182</v>
      </c>
      <c r="DW12">
        <f t="shared" si="78"/>
        <v>-30.500000000000426</v>
      </c>
      <c r="DX12">
        <f t="shared" si="79"/>
        <v>-12.199999999999733</v>
      </c>
      <c r="DY12">
        <f t="shared" si="80"/>
        <v>-30.499999999999545</v>
      </c>
      <c r="DZ12">
        <f t="shared" si="81"/>
        <v>-24.399999999999903</v>
      </c>
    </row>
    <row r="13" spans="1:132">
      <c r="A13" s="14">
        <v>44459</v>
      </c>
      <c r="B13" s="34">
        <v>24.1</v>
      </c>
      <c r="C13" s="34">
        <v>24.2</v>
      </c>
      <c r="D13" s="75">
        <v>28.7</v>
      </c>
      <c r="E13" s="103">
        <v>28.7</v>
      </c>
      <c r="F13" s="103">
        <v>29.2</v>
      </c>
      <c r="G13" s="133">
        <v>33.200000000000003</v>
      </c>
      <c r="H13" s="91">
        <v>33.200000000000003</v>
      </c>
      <c r="I13" s="91">
        <v>33.5</v>
      </c>
      <c r="J13" s="134">
        <v>37.9</v>
      </c>
      <c r="K13" s="95">
        <v>37.9</v>
      </c>
      <c r="L13" s="95">
        <v>38.299999999999997</v>
      </c>
      <c r="M13" s="135">
        <v>42.5</v>
      </c>
      <c r="N13" s="99">
        <v>42.5</v>
      </c>
      <c r="O13" s="99">
        <v>42.9</v>
      </c>
      <c r="P13" s="136">
        <v>47.5</v>
      </c>
      <c r="Q13" s="109"/>
      <c r="R13" s="109"/>
      <c r="Y13">
        <f t="shared" si="1"/>
        <v>450</v>
      </c>
      <c r="Z13">
        <f t="shared" si="2"/>
        <v>9.9999999999997868</v>
      </c>
      <c r="AA13" s="4">
        <f t="shared" si="3"/>
        <v>400.00000000000034</v>
      </c>
      <c r="AB13" s="4">
        <f t="shared" si="4"/>
        <v>50</v>
      </c>
      <c r="AC13" s="1">
        <f t="shared" si="5"/>
        <v>439.99999999999989</v>
      </c>
      <c r="AD13" s="1">
        <f t="shared" si="6"/>
        <v>29.999999999999716</v>
      </c>
      <c r="AE13" s="2">
        <f t="shared" si="7"/>
        <v>420.00000000000028</v>
      </c>
      <c r="AF13" s="2">
        <f t="shared" si="8"/>
        <v>39.999999999999858</v>
      </c>
      <c r="AG13" s="3">
        <f t="shared" si="9"/>
        <v>460.00000000000011</v>
      </c>
      <c r="AH13" s="3">
        <f t="shared" si="10"/>
        <v>39.999999999999858</v>
      </c>
      <c r="AL13">
        <f t="shared" si="11"/>
        <v>378</v>
      </c>
      <c r="AM13">
        <f t="shared" si="12"/>
        <v>8.3999999999998209</v>
      </c>
      <c r="AN13">
        <f t="shared" si="13"/>
        <v>336.00000000000028</v>
      </c>
      <c r="AO13">
        <f t="shared" si="14"/>
        <v>42</v>
      </c>
      <c r="AP13">
        <f t="shared" si="15"/>
        <v>369.59999999999991</v>
      </c>
      <c r="AQ13">
        <f t="shared" si="16"/>
        <v>25.199999999999761</v>
      </c>
      <c r="AR13">
        <f t="shared" si="17"/>
        <v>352.80000000000024</v>
      </c>
      <c r="AS13">
        <f t="shared" si="18"/>
        <v>33.599999999999881</v>
      </c>
      <c r="AT13">
        <f t="shared" si="19"/>
        <v>386.40000000000009</v>
      </c>
      <c r="AU13">
        <f t="shared" si="20"/>
        <v>33.599999999999881</v>
      </c>
      <c r="AY13">
        <f t="shared" si="21"/>
        <v>33.600000000000179</v>
      </c>
      <c r="AZ13">
        <f t="shared" si="22"/>
        <v>16.79999999999994</v>
      </c>
      <c r="BA13">
        <f t="shared" si="23"/>
        <v>25.20000000000006</v>
      </c>
      <c r="BB13">
        <f t="shared" si="24"/>
        <v>25.20000000000006</v>
      </c>
      <c r="BC13">
        <f t="shared" si="25"/>
        <v>22.40000000000002</v>
      </c>
      <c r="BD13">
        <f t="shared" si="69"/>
        <v>-41.999999999999716</v>
      </c>
      <c r="BE13">
        <f t="shared" si="70"/>
        <v>-8.4000000000000909</v>
      </c>
      <c r="BF13">
        <f t="shared" si="71"/>
        <v>-25.199999999999761</v>
      </c>
      <c r="BG13">
        <f t="shared" si="72"/>
        <v>8.4000000000000909</v>
      </c>
      <c r="BH13">
        <f t="shared" si="73"/>
        <v>-8.3999999999999204</v>
      </c>
      <c r="BK13" s="77">
        <f t="shared" si="74"/>
        <v>270.04950000000002</v>
      </c>
      <c r="BL13" s="77">
        <f t="shared" si="75"/>
        <v>6.0010999999998722</v>
      </c>
      <c r="BM13" s="296">
        <f t="shared" si="26"/>
        <v>240.04400000000024</v>
      </c>
      <c r="BN13" s="296">
        <f t="shared" si="27"/>
        <v>30.005500000000001</v>
      </c>
      <c r="BO13" s="297">
        <f t="shared" si="28"/>
        <v>264.0483999999999</v>
      </c>
      <c r="BP13" s="297">
        <f t="shared" si="29"/>
        <v>18.003299999999829</v>
      </c>
      <c r="BQ13" s="298">
        <f t="shared" si="30"/>
        <v>252.04620000000017</v>
      </c>
      <c r="BR13" s="298">
        <f t="shared" si="31"/>
        <v>24.004399999999915</v>
      </c>
      <c r="BS13" s="299">
        <f t="shared" si="32"/>
        <v>276.05060000000009</v>
      </c>
      <c r="BT13" s="299">
        <f t="shared" si="33"/>
        <v>24.004399999999915</v>
      </c>
      <c r="BU13" s="77"/>
      <c r="BV13" s="77"/>
      <c r="BW13" s="77"/>
      <c r="BX13" s="77" t="s">
        <v>1779</v>
      </c>
      <c r="BY13" s="77" t="s">
        <v>1780</v>
      </c>
      <c r="CA13" t="s">
        <v>1785</v>
      </c>
      <c r="CB13" s="77" t="s">
        <v>1800</v>
      </c>
      <c r="CD13" s="12">
        <f t="shared" si="35"/>
        <v>4.4000000000000021</v>
      </c>
      <c r="CE13">
        <f t="shared" si="36"/>
        <v>9.9999999999997868E-2</v>
      </c>
      <c r="CF13">
        <f t="shared" si="76"/>
        <v>268.40000000000015</v>
      </c>
      <c r="CG13">
        <f t="shared" si="77"/>
        <v>5.9999999999998721</v>
      </c>
      <c r="CH13">
        <f t="shared" si="37"/>
        <v>4.5</v>
      </c>
      <c r="CI13">
        <f t="shared" si="38"/>
        <v>9.9999999999997868E-2</v>
      </c>
      <c r="CJ13" s="12">
        <f t="shared" si="39"/>
        <v>3.5000000000000036</v>
      </c>
      <c r="CK13">
        <f t="shared" si="40"/>
        <v>0.5</v>
      </c>
      <c r="CL13">
        <f t="shared" si="41"/>
        <v>213.50000000000023</v>
      </c>
      <c r="CM13">
        <f t="shared" si="42"/>
        <v>30</v>
      </c>
      <c r="CN13">
        <f t="shared" si="43"/>
        <v>4.0000000000000036</v>
      </c>
      <c r="CO13">
        <f t="shared" si="44"/>
        <v>0.5</v>
      </c>
      <c r="CP13" s="12">
        <f t="shared" si="45"/>
        <v>4.1000000000000014</v>
      </c>
      <c r="CQ13">
        <f t="shared" si="46"/>
        <v>0.29999999999999716</v>
      </c>
      <c r="CR13">
        <f t="shared" si="47"/>
        <v>250.10000000000008</v>
      </c>
      <c r="CS13">
        <f t="shared" si="48"/>
        <v>17.999999999999829</v>
      </c>
      <c r="CT13">
        <f t="shared" si="49"/>
        <v>4.3999999999999986</v>
      </c>
      <c r="CU13">
        <f t="shared" si="50"/>
        <v>0.29999999999999716</v>
      </c>
      <c r="CV13" s="12">
        <f t="shared" si="51"/>
        <v>3.8000000000000043</v>
      </c>
      <c r="CW13">
        <f t="shared" si="52"/>
        <v>0.39999999999999858</v>
      </c>
      <c r="CX13">
        <f t="shared" si="53"/>
        <v>231.80000000000027</v>
      </c>
      <c r="CY13">
        <f t="shared" si="54"/>
        <v>23.999999999999915</v>
      </c>
      <c r="CZ13">
        <f t="shared" si="55"/>
        <v>4.2000000000000028</v>
      </c>
      <c r="DA13">
        <f t="shared" si="56"/>
        <v>0.39999999999999858</v>
      </c>
      <c r="DB13" s="12">
        <f t="shared" si="57"/>
        <v>4.2000000000000028</v>
      </c>
      <c r="DC13">
        <f t="shared" si="58"/>
        <v>0.39999999999999858</v>
      </c>
      <c r="DD13">
        <f t="shared" si="59"/>
        <v>256.20000000000016</v>
      </c>
      <c r="DE13">
        <f t="shared" si="60"/>
        <v>23.999999999999915</v>
      </c>
      <c r="DF13">
        <f t="shared" si="61"/>
        <v>4.6000000000000014</v>
      </c>
      <c r="DG13">
        <f t="shared" si="62"/>
        <v>0.39999999999999858</v>
      </c>
      <c r="DH13" s="12">
        <f t="shared" si="63"/>
        <v>4.0000000000000018</v>
      </c>
      <c r="DI13">
        <f t="shared" si="64"/>
        <v>0.29999999999999893</v>
      </c>
      <c r="DJ13">
        <f t="shared" si="65"/>
        <v>244.00000000000011</v>
      </c>
      <c r="DK13">
        <f t="shared" si="66"/>
        <v>17.999999999999936</v>
      </c>
      <c r="DL13">
        <f t="shared" si="67"/>
        <v>4.3000000000000007</v>
      </c>
      <c r="DM13">
        <f t="shared" si="68"/>
        <v>0.29999999999999893</v>
      </c>
      <c r="DW13">
        <f t="shared" si="78"/>
        <v>-18.300000000000068</v>
      </c>
      <c r="DX13">
        <f t="shared" si="79"/>
        <v>-36.599999999999881</v>
      </c>
      <c r="DY13">
        <f t="shared" si="80"/>
        <v>-12.199999999999989</v>
      </c>
      <c r="DZ13">
        <f t="shared" si="81"/>
        <v>-22.366666666666646</v>
      </c>
    </row>
    <row r="14" spans="1:132">
      <c r="A14" s="14">
        <v>44460</v>
      </c>
      <c r="B14" s="34">
        <v>25.1</v>
      </c>
      <c r="C14" s="34">
        <v>25.3</v>
      </c>
      <c r="D14" s="75">
        <v>29.8</v>
      </c>
      <c r="E14" s="103">
        <v>29.8</v>
      </c>
      <c r="F14" s="103">
        <v>30.2</v>
      </c>
      <c r="G14" s="133">
        <v>34.4</v>
      </c>
      <c r="H14" s="91">
        <v>34.4</v>
      </c>
      <c r="I14" s="91">
        <v>34.799999999999997</v>
      </c>
      <c r="J14" s="134">
        <v>39.200000000000003</v>
      </c>
      <c r="K14" s="95">
        <v>39.200000000000003</v>
      </c>
      <c r="L14" s="95">
        <v>39.6</v>
      </c>
      <c r="M14" s="135">
        <v>44</v>
      </c>
      <c r="N14" s="99">
        <v>44</v>
      </c>
      <c r="O14" s="99">
        <v>44.4</v>
      </c>
      <c r="P14" s="136">
        <v>48.8</v>
      </c>
      <c r="Q14" s="109"/>
      <c r="R14" s="109"/>
      <c r="Y14">
        <f t="shared" si="1"/>
        <v>450</v>
      </c>
      <c r="Z14">
        <f t="shared" si="2"/>
        <v>19.999999999999929</v>
      </c>
      <c r="AA14" s="4">
        <f t="shared" si="3"/>
        <v>419.99999999999994</v>
      </c>
      <c r="AB14" s="4">
        <f t="shared" si="4"/>
        <v>39.999999999999858</v>
      </c>
      <c r="AC14" s="1">
        <f t="shared" si="5"/>
        <v>440.00000000000057</v>
      </c>
      <c r="AD14" s="1">
        <f t="shared" si="6"/>
        <v>39.999999999999858</v>
      </c>
      <c r="AE14" s="2">
        <f t="shared" si="7"/>
        <v>439.99999999999989</v>
      </c>
      <c r="AF14" s="2">
        <f t="shared" si="8"/>
        <v>39.999999999999858</v>
      </c>
      <c r="AG14" s="3">
        <f t="shared" si="9"/>
        <v>439.99999999999989</v>
      </c>
      <c r="AH14" s="3">
        <f t="shared" si="10"/>
        <v>39.999999999999858</v>
      </c>
      <c r="AL14">
        <f t="shared" si="11"/>
        <v>378</v>
      </c>
      <c r="AM14">
        <f t="shared" si="12"/>
        <v>16.79999999999994</v>
      </c>
      <c r="AN14">
        <f t="shared" si="13"/>
        <v>352.79999999999995</v>
      </c>
      <c r="AO14">
        <f t="shared" si="14"/>
        <v>33.599999999999881</v>
      </c>
      <c r="AP14">
        <f t="shared" si="15"/>
        <v>369.60000000000048</v>
      </c>
      <c r="AQ14">
        <f t="shared" si="16"/>
        <v>33.599999999999881</v>
      </c>
      <c r="AR14">
        <f t="shared" si="17"/>
        <v>369.59999999999991</v>
      </c>
      <c r="AS14">
        <f t="shared" si="18"/>
        <v>33.599999999999881</v>
      </c>
      <c r="AT14">
        <f t="shared" si="19"/>
        <v>369.59999999999991</v>
      </c>
      <c r="AU14">
        <f t="shared" si="20"/>
        <v>33.599999999999881</v>
      </c>
      <c r="AY14">
        <f t="shared" si="21"/>
        <v>16.79999999999994</v>
      </c>
      <c r="AZ14">
        <f t="shared" si="22"/>
        <v>16.79999999999994</v>
      </c>
      <c r="BA14">
        <f t="shared" si="23"/>
        <v>16.79999999999994</v>
      </c>
      <c r="BB14">
        <f t="shared" si="24"/>
        <v>16.79999999999994</v>
      </c>
      <c r="BC14">
        <f t="shared" si="25"/>
        <v>16.79999999999994</v>
      </c>
      <c r="BD14">
        <f t="shared" si="69"/>
        <v>-25.200000000000045</v>
      </c>
      <c r="BE14">
        <f t="shared" si="70"/>
        <v>-8.3999999999995225</v>
      </c>
      <c r="BF14">
        <f t="shared" si="71"/>
        <v>-8.4000000000000909</v>
      </c>
      <c r="BG14">
        <f t="shared" si="72"/>
        <v>-8.4000000000000909</v>
      </c>
      <c r="BH14">
        <f t="shared" si="73"/>
        <v>-8.3999999999999009</v>
      </c>
      <c r="BK14" s="77">
        <f t="shared" si="74"/>
        <v>270.04950000000002</v>
      </c>
      <c r="BL14" s="77">
        <f t="shared" si="75"/>
        <v>12.002199999999958</v>
      </c>
      <c r="BM14" s="296">
        <f t="shared" si="26"/>
        <v>252.04619999999997</v>
      </c>
      <c r="BN14" s="296">
        <f t="shared" si="27"/>
        <v>24.004399999999915</v>
      </c>
      <c r="BO14" s="297">
        <f t="shared" si="28"/>
        <v>264.04840000000036</v>
      </c>
      <c r="BP14" s="297">
        <f t="shared" si="29"/>
        <v>24.004399999999915</v>
      </c>
      <c r="BQ14" s="298">
        <f t="shared" si="30"/>
        <v>264.0483999999999</v>
      </c>
      <c r="BR14" s="298">
        <f t="shared" si="31"/>
        <v>24.004399999999915</v>
      </c>
      <c r="BS14" s="299">
        <f t="shared" si="32"/>
        <v>264.0483999999999</v>
      </c>
      <c r="BT14" s="299">
        <f t="shared" si="33"/>
        <v>24.004399999999915</v>
      </c>
      <c r="BU14" s="77"/>
      <c r="BV14" s="77"/>
      <c r="BW14" s="77"/>
      <c r="BX14" s="77"/>
      <c r="BY14" s="77"/>
      <c r="CA14" t="s">
        <v>1786</v>
      </c>
      <c r="CB14" t="s">
        <v>1799</v>
      </c>
      <c r="CD14" s="12">
        <f t="shared" si="35"/>
        <v>4.3000000000000007</v>
      </c>
      <c r="CE14">
        <f t="shared" si="36"/>
        <v>0.19999999999999929</v>
      </c>
      <c r="CF14">
        <f t="shared" si="76"/>
        <v>262.30000000000007</v>
      </c>
      <c r="CG14">
        <f t="shared" si="77"/>
        <v>11.999999999999957</v>
      </c>
      <c r="CH14">
        <f t="shared" si="37"/>
        <v>4.5</v>
      </c>
      <c r="CI14">
        <f t="shared" si="38"/>
        <v>0.19999999999999929</v>
      </c>
      <c r="CJ14" s="12">
        <f t="shared" si="39"/>
        <v>3.8000000000000007</v>
      </c>
      <c r="CK14">
        <f t="shared" si="40"/>
        <v>0.39999999999999858</v>
      </c>
      <c r="CL14">
        <f t="shared" si="41"/>
        <v>231.80000000000004</v>
      </c>
      <c r="CM14">
        <f t="shared" si="42"/>
        <v>23.999999999999915</v>
      </c>
      <c r="CN14">
        <f t="shared" si="43"/>
        <v>4.1999999999999993</v>
      </c>
      <c r="CO14">
        <f t="shared" si="44"/>
        <v>0.39999999999999858</v>
      </c>
      <c r="CP14" s="12">
        <f t="shared" si="45"/>
        <v>4.0000000000000071</v>
      </c>
      <c r="CQ14">
        <f t="shared" si="46"/>
        <v>0.39999999999999858</v>
      </c>
      <c r="CR14">
        <f t="shared" si="47"/>
        <v>244.00000000000043</v>
      </c>
      <c r="CS14">
        <f t="shared" si="48"/>
        <v>23.999999999999915</v>
      </c>
      <c r="CT14">
        <f t="shared" si="49"/>
        <v>4.4000000000000057</v>
      </c>
      <c r="CU14">
        <f t="shared" si="50"/>
        <v>0.39999999999999858</v>
      </c>
      <c r="CV14" s="12">
        <f t="shared" si="51"/>
        <v>4</v>
      </c>
      <c r="CW14">
        <f t="shared" si="52"/>
        <v>0.39999999999999858</v>
      </c>
      <c r="CX14">
        <f t="shared" si="53"/>
        <v>244</v>
      </c>
      <c r="CY14">
        <f t="shared" si="54"/>
        <v>23.999999999999915</v>
      </c>
      <c r="CZ14">
        <f t="shared" si="55"/>
        <v>4.3999999999999986</v>
      </c>
      <c r="DA14">
        <f t="shared" si="56"/>
        <v>0.39999999999999858</v>
      </c>
      <c r="DB14" s="12">
        <f t="shared" si="57"/>
        <v>4</v>
      </c>
      <c r="DC14">
        <f t="shared" si="58"/>
        <v>0.39999999999999858</v>
      </c>
      <c r="DD14">
        <f t="shared" si="59"/>
        <v>244</v>
      </c>
      <c r="DE14">
        <f t="shared" si="60"/>
        <v>23.999999999999915</v>
      </c>
      <c r="DF14">
        <f t="shared" si="61"/>
        <v>4.3999999999999986</v>
      </c>
      <c r="DG14">
        <f t="shared" si="62"/>
        <v>0.39999999999999858</v>
      </c>
      <c r="DH14" s="12">
        <f t="shared" si="63"/>
        <v>3.4999999999999987</v>
      </c>
      <c r="DI14">
        <f t="shared" si="64"/>
        <v>0.30000000000000071</v>
      </c>
      <c r="DJ14">
        <f t="shared" si="65"/>
        <v>213.49999999999991</v>
      </c>
      <c r="DK14">
        <f t="shared" si="66"/>
        <v>18.000000000000043</v>
      </c>
      <c r="DL14">
        <f t="shared" si="67"/>
        <v>3.7999999999999989</v>
      </c>
      <c r="DM14">
        <f t="shared" si="68"/>
        <v>0.30000000000000071</v>
      </c>
      <c r="DW14">
        <f t="shared" si="78"/>
        <v>-18.299999999999642</v>
      </c>
      <c r="DX14">
        <f t="shared" si="79"/>
        <v>-18.300000000000068</v>
      </c>
      <c r="DY14">
        <f t="shared" si="80"/>
        <v>-18.300000000000068</v>
      </c>
      <c r="DZ14">
        <f t="shared" si="81"/>
        <v>-18.299999999999926</v>
      </c>
    </row>
    <row r="15" spans="1:132">
      <c r="A15" s="14">
        <v>44461</v>
      </c>
      <c r="B15" s="34">
        <v>25</v>
      </c>
      <c r="C15" s="34">
        <v>25.1</v>
      </c>
      <c r="D15" s="75">
        <v>29.7</v>
      </c>
      <c r="E15" s="103">
        <v>28.7</v>
      </c>
      <c r="F15" s="103">
        <v>30.2</v>
      </c>
      <c r="G15" s="133">
        <v>34.200000000000003</v>
      </c>
      <c r="H15" s="91">
        <v>34.200000000000003</v>
      </c>
      <c r="I15" s="91">
        <v>34.5</v>
      </c>
      <c r="J15" s="134">
        <v>38.799999999999997</v>
      </c>
      <c r="K15" s="95">
        <v>38.799999999999997</v>
      </c>
      <c r="L15" s="95">
        <v>39.1</v>
      </c>
      <c r="M15" s="135">
        <v>43.6</v>
      </c>
      <c r="N15" s="99">
        <v>43.6</v>
      </c>
      <c r="O15" s="99">
        <v>44.2</v>
      </c>
      <c r="P15" s="136">
        <v>48.4</v>
      </c>
      <c r="Q15" s="109"/>
      <c r="R15" s="109"/>
      <c r="Y15">
        <f t="shared" si="1"/>
        <v>459.99999999999977</v>
      </c>
      <c r="Z15">
        <f t="shared" si="2"/>
        <v>10.000000000000142</v>
      </c>
      <c r="AA15" s="4">
        <f t="shared" si="3"/>
        <v>400.00000000000034</v>
      </c>
      <c r="AB15" s="4">
        <f t="shared" si="4"/>
        <v>150</v>
      </c>
      <c r="AC15" s="1">
        <f t="shared" si="5"/>
        <v>429.99999999999972</v>
      </c>
      <c r="AD15" s="1">
        <f t="shared" si="6"/>
        <v>29.999999999999716</v>
      </c>
      <c r="AE15" s="2">
        <f t="shared" si="7"/>
        <v>450</v>
      </c>
      <c r="AF15" s="2">
        <f t="shared" si="8"/>
        <v>30.000000000000426</v>
      </c>
      <c r="AG15" s="3">
        <f t="shared" si="9"/>
        <v>419.99999999999955</v>
      </c>
      <c r="AH15" s="3">
        <f t="shared" si="10"/>
        <v>60.000000000000142</v>
      </c>
      <c r="AL15">
        <f t="shared" si="11"/>
        <v>386.39999999999981</v>
      </c>
      <c r="AM15">
        <f t="shared" si="12"/>
        <v>8.4000000000001194</v>
      </c>
      <c r="AN15">
        <f t="shared" si="13"/>
        <v>336.00000000000028</v>
      </c>
      <c r="AO15">
        <f t="shared" si="14"/>
        <v>126</v>
      </c>
      <c r="AP15">
        <f t="shared" si="15"/>
        <v>361.19999999999976</v>
      </c>
      <c r="AQ15">
        <f t="shared" si="16"/>
        <v>25.199999999999761</v>
      </c>
      <c r="AR15">
        <f t="shared" si="17"/>
        <v>378</v>
      </c>
      <c r="AS15">
        <f t="shared" si="18"/>
        <v>25.200000000000358</v>
      </c>
      <c r="AT15">
        <f t="shared" si="19"/>
        <v>352.79999999999961</v>
      </c>
      <c r="AU15">
        <f t="shared" si="20"/>
        <v>50.400000000000119</v>
      </c>
      <c r="AY15">
        <f t="shared" si="21"/>
        <v>117.59999999999988</v>
      </c>
      <c r="AZ15">
        <f t="shared" si="22"/>
        <v>16.799999999999642</v>
      </c>
      <c r="BA15">
        <f t="shared" si="23"/>
        <v>16.800000000000239</v>
      </c>
      <c r="BB15">
        <f t="shared" si="24"/>
        <v>42</v>
      </c>
      <c r="BC15">
        <f t="shared" si="25"/>
        <v>25.19999999999996</v>
      </c>
      <c r="BD15">
        <f t="shared" si="69"/>
        <v>-50.399999999999523</v>
      </c>
      <c r="BE15">
        <f t="shared" si="70"/>
        <v>-25.200000000000045</v>
      </c>
      <c r="BF15">
        <f t="shared" si="71"/>
        <v>-8.3999999999998067</v>
      </c>
      <c r="BG15">
        <f t="shared" si="72"/>
        <v>-33.600000000000193</v>
      </c>
      <c r="BH15">
        <f t="shared" si="73"/>
        <v>-22.400000000000016</v>
      </c>
      <c r="BK15" s="77">
        <f t="shared" si="74"/>
        <v>276.05059999999986</v>
      </c>
      <c r="BL15" s="77">
        <f t="shared" si="75"/>
        <v>6.0011000000000854</v>
      </c>
      <c r="BM15" s="296">
        <f t="shared" si="26"/>
        <v>240.04400000000024</v>
      </c>
      <c r="BN15" s="296">
        <f t="shared" si="27"/>
        <v>90.016500000000008</v>
      </c>
      <c r="BO15" s="297">
        <f t="shared" si="28"/>
        <v>258.04729999999984</v>
      </c>
      <c r="BP15" s="297">
        <f t="shared" si="29"/>
        <v>18.003299999999829</v>
      </c>
      <c r="BQ15" s="298">
        <f t="shared" si="30"/>
        <v>270.04950000000002</v>
      </c>
      <c r="BR15" s="298">
        <f t="shared" si="31"/>
        <v>18.003300000000255</v>
      </c>
      <c r="BS15" s="299">
        <f t="shared" si="32"/>
        <v>252.04619999999974</v>
      </c>
      <c r="BT15" s="299">
        <f t="shared" si="33"/>
        <v>36.006600000000084</v>
      </c>
      <c r="BU15" s="77"/>
      <c r="BV15" s="77"/>
      <c r="BW15" s="77"/>
      <c r="BX15" s="77" t="s">
        <v>1781</v>
      </c>
      <c r="BY15" s="77" t="s">
        <v>1782</v>
      </c>
      <c r="CA15" t="s">
        <v>1787</v>
      </c>
      <c r="CB15" s="77" t="s">
        <v>1788</v>
      </c>
      <c r="CC15">
        <v>20</v>
      </c>
      <c r="CD15" s="12">
        <f t="shared" si="35"/>
        <v>4.4999999999999964</v>
      </c>
      <c r="CE15">
        <f t="shared" si="36"/>
        <v>0.10000000000000142</v>
      </c>
      <c r="CF15">
        <f t="shared" si="76"/>
        <v>274.49999999999977</v>
      </c>
      <c r="CG15">
        <f t="shared" si="77"/>
        <v>6.0000000000000853</v>
      </c>
      <c r="CH15">
        <f t="shared" si="37"/>
        <v>4.5999999999999979</v>
      </c>
      <c r="CI15">
        <f t="shared" si="38"/>
        <v>0.10000000000000142</v>
      </c>
      <c r="CJ15" s="12">
        <f t="shared" si="39"/>
        <v>2.5000000000000036</v>
      </c>
      <c r="CK15">
        <f t="shared" si="40"/>
        <v>1.5</v>
      </c>
      <c r="CL15">
        <f t="shared" si="41"/>
        <v>152.50000000000023</v>
      </c>
      <c r="CM15">
        <f t="shared" si="42"/>
        <v>90</v>
      </c>
      <c r="CN15">
        <f t="shared" si="43"/>
        <v>4.0000000000000036</v>
      </c>
      <c r="CO15">
        <f t="shared" si="44"/>
        <v>1.5</v>
      </c>
      <c r="CP15" s="12">
        <f t="shared" si="45"/>
        <v>4</v>
      </c>
      <c r="CQ15">
        <f t="shared" si="46"/>
        <v>0.29999999999999716</v>
      </c>
      <c r="CR15">
        <f t="shared" si="47"/>
        <v>244</v>
      </c>
      <c r="CS15">
        <f t="shared" si="48"/>
        <v>17.999999999999829</v>
      </c>
      <c r="CT15">
        <f t="shared" si="49"/>
        <v>4.2999999999999972</v>
      </c>
      <c r="CU15">
        <f t="shared" si="50"/>
        <v>0.29999999999999716</v>
      </c>
      <c r="CV15" s="12">
        <f t="shared" si="51"/>
        <v>4.1999999999999957</v>
      </c>
      <c r="CW15">
        <f t="shared" si="52"/>
        <v>0.30000000000000426</v>
      </c>
      <c r="CX15">
        <f t="shared" si="53"/>
        <v>256.19999999999976</v>
      </c>
      <c r="CY15">
        <f t="shared" si="54"/>
        <v>18.000000000000256</v>
      </c>
      <c r="CZ15">
        <f t="shared" si="55"/>
        <v>4.5</v>
      </c>
      <c r="DA15">
        <f t="shared" si="56"/>
        <v>0.30000000000000426</v>
      </c>
      <c r="DB15" s="12">
        <f t="shared" si="57"/>
        <v>3.5999999999999943</v>
      </c>
      <c r="DC15">
        <f t="shared" si="58"/>
        <v>0.60000000000000142</v>
      </c>
      <c r="DD15">
        <f t="shared" si="59"/>
        <v>219.59999999999965</v>
      </c>
      <c r="DE15">
        <f t="shared" si="60"/>
        <v>36.000000000000085</v>
      </c>
      <c r="DF15">
        <f t="shared" si="61"/>
        <v>4.1999999999999957</v>
      </c>
      <c r="DG15">
        <f t="shared" si="62"/>
        <v>0.60000000000000142</v>
      </c>
      <c r="DH15" s="12">
        <f t="shared" si="63"/>
        <v>3.3999999999999986</v>
      </c>
      <c r="DI15">
        <f t="shared" si="64"/>
        <v>0.30000000000000071</v>
      </c>
      <c r="DJ15">
        <f t="shared" si="65"/>
        <v>207.39999999999992</v>
      </c>
      <c r="DK15">
        <f t="shared" si="66"/>
        <v>18.000000000000043</v>
      </c>
      <c r="DL15">
        <f t="shared" si="67"/>
        <v>3.6999999999999993</v>
      </c>
      <c r="DM15">
        <f t="shared" si="68"/>
        <v>0.30000000000000071</v>
      </c>
      <c r="DW15">
        <f t="shared" si="78"/>
        <v>-30.499999999999773</v>
      </c>
      <c r="DX15">
        <f t="shared" si="79"/>
        <v>-18.300000000000011</v>
      </c>
      <c r="DY15">
        <f t="shared" si="80"/>
        <v>-54.900000000000119</v>
      </c>
      <c r="DZ15">
        <f t="shared" si="81"/>
        <v>-34.566666666666634</v>
      </c>
    </row>
    <row r="16" spans="1:132">
      <c r="A16" s="14">
        <v>44462</v>
      </c>
      <c r="B16" s="34">
        <v>24.5</v>
      </c>
      <c r="C16" s="34">
        <v>24.8</v>
      </c>
      <c r="D16" s="75">
        <v>28.9</v>
      </c>
      <c r="E16" s="103">
        <v>28.9</v>
      </c>
      <c r="F16" s="103">
        <v>29.2</v>
      </c>
      <c r="G16" s="133">
        <v>33.9</v>
      </c>
      <c r="H16" s="91">
        <v>33.9</v>
      </c>
      <c r="I16" s="91">
        <v>34.200000000000003</v>
      </c>
      <c r="J16" s="134">
        <v>38.700000000000003</v>
      </c>
      <c r="K16" s="95">
        <v>38.700000000000003</v>
      </c>
      <c r="L16" s="95">
        <v>39.1</v>
      </c>
      <c r="M16" s="135">
        <v>43</v>
      </c>
      <c r="N16" s="99">
        <v>43</v>
      </c>
      <c r="O16" s="99">
        <v>43.4</v>
      </c>
      <c r="P16" s="136">
        <v>47.9</v>
      </c>
      <c r="Q16" s="109"/>
      <c r="R16" s="109"/>
      <c r="Y16">
        <f t="shared" si="1"/>
        <v>409.99999999999977</v>
      </c>
      <c r="Z16">
        <f t="shared" si="2"/>
        <v>30.000000000000071</v>
      </c>
      <c r="AA16" s="4">
        <f t="shared" si="3"/>
        <v>469.99999999999994</v>
      </c>
      <c r="AB16" s="4">
        <f t="shared" si="4"/>
        <v>30.000000000000071</v>
      </c>
      <c r="AC16" s="1">
        <f t="shared" si="5"/>
        <v>450</v>
      </c>
      <c r="AD16" s="1">
        <f t="shared" si="6"/>
        <v>30.000000000000426</v>
      </c>
      <c r="AE16" s="2">
        <f t="shared" si="7"/>
        <v>389.99999999999989</v>
      </c>
      <c r="AF16" s="2">
        <f t="shared" si="8"/>
        <v>39.999999999999858</v>
      </c>
      <c r="AG16" s="3">
        <f t="shared" si="9"/>
        <v>450</v>
      </c>
      <c r="AH16" s="3">
        <f t="shared" si="10"/>
        <v>39.999999999999858</v>
      </c>
      <c r="AL16">
        <f t="shared" si="11"/>
        <v>344.39999999999981</v>
      </c>
      <c r="AM16">
        <f t="shared" si="12"/>
        <v>25.20000000000006</v>
      </c>
      <c r="AN16">
        <f t="shared" si="13"/>
        <v>394.79999999999995</v>
      </c>
      <c r="AO16">
        <f t="shared" si="14"/>
        <v>25.20000000000006</v>
      </c>
      <c r="AP16">
        <f t="shared" si="15"/>
        <v>378</v>
      </c>
      <c r="AQ16">
        <f t="shared" si="16"/>
        <v>25.200000000000358</v>
      </c>
      <c r="AR16">
        <f t="shared" si="17"/>
        <v>327.59999999999991</v>
      </c>
      <c r="AS16">
        <f t="shared" si="18"/>
        <v>33.599999999999881</v>
      </c>
      <c r="AT16">
        <f t="shared" si="19"/>
        <v>378</v>
      </c>
      <c r="AU16">
        <f t="shared" si="20"/>
        <v>33.599999999999881</v>
      </c>
      <c r="AY16">
        <f t="shared" si="21"/>
        <v>0</v>
      </c>
      <c r="AZ16">
        <f t="shared" si="22"/>
        <v>2.9842794901924208E-13</v>
      </c>
      <c r="BA16">
        <f t="shared" si="23"/>
        <v>8.3999999999998209</v>
      </c>
      <c r="BB16">
        <f t="shared" si="24"/>
        <v>8.3999999999998209</v>
      </c>
      <c r="BC16">
        <f t="shared" si="25"/>
        <v>5.5999999999999801</v>
      </c>
      <c r="BD16">
        <f t="shared" si="69"/>
        <v>50.400000000000148</v>
      </c>
      <c r="BE16">
        <f t="shared" si="70"/>
        <v>33.600000000000193</v>
      </c>
      <c r="BF16">
        <f t="shared" si="71"/>
        <v>-16.799999999999898</v>
      </c>
      <c r="BG16">
        <f t="shared" si="72"/>
        <v>33.600000000000193</v>
      </c>
      <c r="BH16">
        <f t="shared" si="73"/>
        <v>16.800000000000164</v>
      </c>
      <c r="BK16" s="77">
        <f t="shared" si="74"/>
        <v>246.04509999999988</v>
      </c>
      <c r="BL16" s="77">
        <f t="shared" si="75"/>
        <v>18.003300000000042</v>
      </c>
      <c r="BM16" s="296">
        <f t="shared" si="26"/>
        <v>282.05169999999998</v>
      </c>
      <c r="BN16" s="296">
        <f t="shared" si="27"/>
        <v>18.003300000000042</v>
      </c>
      <c r="BO16" s="297">
        <f t="shared" si="28"/>
        <v>270.04950000000002</v>
      </c>
      <c r="BP16" s="297">
        <f t="shared" si="29"/>
        <v>18.003300000000255</v>
      </c>
      <c r="BQ16" s="298">
        <f t="shared" si="30"/>
        <v>234.04289999999992</v>
      </c>
      <c r="BR16" s="298">
        <f t="shared" si="31"/>
        <v>24.004399999999915</v>
      </c>
      <c r="BS16" s="299">
        <f t="shared" si="32"/>
        <v>270.04950000000002</v>
      </c>
      <c r="BT16" s="299">
        <f t="shared" si="33"/>
        <v>24.004399999999915</v>
      </c>
      <c r="BU16" s="77"/>
      <c r="BV16" s="77"/>
      <c r="BW16" s="77"/>
      <c r="BX16" s="77"/>
      <c r="BY16" s="77"/>
      <c r="CA16" t="s">
        <v>1789</v>
      </c>
      <c r="CB16" t="s">
        <v>1790</v>
      </c>
      <c r="CC16">
        <f>0.02*1000</f>
        <v>20</v>
      </c>
      <c r="CD16" s="12">
        <f t="shared" si="35"/>
        <v>3.7999999999999972</v>
      </c>
      <c r="CE16">
        <f t="shared" si="36"/>
        <v>0.30000000000000071</v>
      </c>
      <c r="CF16">
        <f t="shared" si="76"/>
        <v>231.79999999999984</v>
      </c>
      <c r="CG16">
        <f t="shared" si="77"/>
        <v>18.000000000000043</v>
      </c>
      <c r="CH16">
        <f t="shared" si="37"/>
        <v>4.0999999999999979</v>
      </c>
      <c r="CI16">
        <f t="shared" si="38"/>
        <v>0.30000000000000071</v>
      </c>
      <c r="CJ16" s="12">
        <f t="shared" si="39"/>
        <v>4.3999999999999986</v>
      </c>
      <c r="CK16">
        <f t="shared" si="40"/>
        <v>0.30000000000000071</v>
      </c>
      <c r="CL16">
        <f t="shared" si="41"/>
        <v>268.39999999999992</v>
      </c>
      <c r="CM16">
        <f t="shared" si="42"/>
        <v>18.000000000000043</v>
      </c>
      <c r="CN16">
        <f t="shared" si="43"/>
        <v>4.6999999999999993</v>
      </c>
      <c r="CO16">
        <f t="shared" si="44"/>
        <v>0.30000000000000071</v>
      </c>
      <c r="CP16" s="12">
        <f t="shared" si="45"/>
        <v>4.1999999999999957</v>
      </c>
      <c r="CQ16">
        <f t="shared" si="46"/>
        <v>0.30000000000000426</v>
      </c>
      <c r="CR16">
        <f t="shared" si="47"/>
        <v>256.19999999999976</v>
      </c>
      <c r="CS16">
        <f t="shared" si="48"/>
        <v>18.000000000000256</v>
      </c>
      <c r="CT16">
        <f t="shared" si="49"/>
        <v>4.5</v>
      </c>
      <c r="CU16">
        <f t="shared" si="50"/>
        <v>0.30000000000000426</v>
      </c>
      <c r="CV16" s="12">
        <f t="shared" si="51"/>
        <v>3.5</v>
      </c>
      <c r="CW16">
        <f t="shared" si="52"/>
        <v>0.39999999999999858</v>
      </c>
      <c r="CX16">
        <f t="shared" si="53"/>
        <v>213.5</v>
      </c>
      <c r="CY16">
        <f t="shared" si="54"/>
        <v>23.999999999999915</v>
      </c>
      <c r="CZ16">
        <f t="shared" si="55"/>
        <v>3.8999999999999986</v>
      </c>
      <c r="DA16">
        <f t="shared" si="56"/>
        <v>0.39999999999999858</v>
      </c>
      <c r="DB16" s="12">
        <f t="shared" si="57"/>
        <v>4.1000000000000014</v>
      </c>
      <c r="DC16">
        <f t="shared" si="58"/>
        <v>0.39999999999999858</v>
      </c>
      <c r="DD16">
        <f t="shared" si="59"/>
        <v>250.10000000000008</v>
      </c>
      <c r="DE16">
        <f t="shared" si="60"/>
        <v>23.999999999999915</v>
      </c>
      <c r="DF16">
        <f t="shared" si="61"/>
        <v>4.5</v>
      </c>
      <c r="DG16">
        <f t="shared" si="62"/>
        <v>0.39999999999999858</v>
      </c>
      <c r="DH16" s="12">
        <f t="shared" si="63"/>
        <v>3.5999999999999943</v>
      </c>
      <c r="DI16">
        <f t="shared" si="64"/>
        <v>0.40000000000000568</v>
      </c>
      <c r="DJ16">
        <f t="shared" si="65"/>
        <v>219.59999999999965</v>
      </c>
      <c r="DK16">
        <f t="shared" si="66"/>
        <v>24.000000000000341</v>
      </c>
      <c r="DL16">
        <f t="shared" si="67"/>
        <v>4</v>
      </c>
      <c r="DM16">
        <f t="shared" si="68"/>
        <v>0.40000000000000568</v>
      </c>
      <c r="DW16">
        <f t="shared" si="78"/>
        <v>24.39999999999992</v>
      </c>
      <c r="DX16">
        <f t="shared" si="79"/>
        <v>-18.299999999999841</v>
      </c>
      <c r="DY16">
        <f t="shared" si="80"/>
        <v>18.300000000000239</v>
      </c>
      <c r="DZ16">
        <f t="shared" si="81"/>
        <v>8.1333333333334394</v>
      </c>
    </row>
    <row r="17" spans="1:132" s="41" customFormat="1" ht="16" thickBot="1">
      <c r="A17" s="153">
        <v>44463</v>
      </c>
      <c r="B17" s="42">
        <v>23.4</v>
      </c>
      <c r="C17" s="42">
        <v>23.8</v>
      </c>
      <c r="D17" s="606">
        <v>27.5</v>
      </c>
      <c r="E17" s="105">
        <v>27.5</v>
      </c>
      <c r="F17" s="105">
        <v>27.8</v>
      </c>
      <c r="G17" s="607">
        <v>32.1</v>
      </c>
      <c r="H17" s="93">
        <v>32.1</v>
      </c>
      <c r="I17" s="93">
        <v>32.299999999999997</v>
      </c>
      <c r="J17" s="608">
        <v>36.299999999999997</v>
      </c>
      <c r="K17" s="97">
        <v>36.299999999999997</v>
      </c>
      <c r="L17" s="97">
        <v>36.6</v>
      </c>
      <c r="M17" s="609">
        <v>40.5</v>
      </c>
      <c r="N17" s="101">
        <v>40.5</v>
      </c>
      <c r="O17" s="101">
        <v>40.799999999999997</v>
      </c>
      <c r="P17" s="610">
        <v>44.6</v>
      </c>
      <c r="Q17" s="611"/>
      <c r="R17" s="611"/>
      <c r="S17" s="612"/>
      <c r="T17" s="42"/>
      <c r="U17" s="42"/>
      <c r="V17" s="42"/>
      <c r="W17" s="42"/>
      <c r="Y17" s="41">
        <f t="shared" si="1"/>
        <v>369.99999999999994</v>
      </c>
      <c r="Z17" s="41">
        <f t="shared" si="2"/>
        <v>40.000000000000213</v>
      </c>
      <c r="AA17" s="105">
        <f t="shared" si="3"/>
        <v>430.00000000000006</v>
      </c>
      <c r="AB17" s="105">
        <f t="shared" si="4"/>
        <v>30.000000000000071</v>
      </c>
      <c r="AC17" s="93">
        <f t="shared" si="5"/>
        <v>400</v>
      </c>
      <c r="AD17" s="93">
        <f t="shared" si="6"/>
        <v>19.999999999999574</v>
      </c>
      <c r="AE17" s="97">
        <f t="shared" si="7"/>
        <v>389.99999999999989</v>
      </c>
      <c r="AF17" s="97">
        <f t="shared" si="8"/>
        <v>30.000000000000426</v>
      </c>
      <c r="AG17" s="101">
        <f t="shared" si="9"/>
        <v>380.00000000000045</v>
      </c>
      <c r="AH17" s="101">
        <f t="shared" si="10"/>
        <v>29.999999999999716</v>
      </c>
      <c r="AI17" s="611"/>
      <c r="AJ17" s="611"/>
      <c r="AL17" s="41">
        <f t="shared" si="11"/>
        <v>310.79999999999995</v>
      </c>
      <c r="AM17" s="41">
        <f t="shared" si="12"/>
        <v>33.600000000000179</v>
      </c>
      <c r="AN17" s="41">
        <f t="shared" si="13"/>
        <v>361.20000000000005</v>
      </c>
      <c r="AO17" s="41">
        <f t="shared" si="14"/>
        <v>25.20000000000006</v>
      </c>
      <c r="AP17" s="41">
        <f t="shared" si="15"/>
        <v>336</v>
      </c>
      <c r="AQ17" s="41">
        <f t="shared" si="16"/>
        <v>16.799999999999642</v>
      </c>
      <c r="AR17" s="41">
        <f t="shared" si="17"/>
        <v>327.59999999999991</v>
      </c>
      <c r="AS17" s="41">
        <f t="shared" si="18"/>
        <v>25.200000000000358</v>
      </c>
      <c r="AT17" s="41">
        <f t="shared" si="19"/>
        <v>319.20000000000039</v>
      </c>
      <c r="AU17" s="41">
        <f t="shared" si="20"/>
        <v>25.199999999999761</v>
      </c>
      <c r="AY17" s="41">
        <f t="shared" si="21"/>
        <v>-8.4000000000001194</v>
      </c>
      <c r="AZ17" s="41">
        <f t="shared" si="22"/>
        <v>-16.800000000000537</v>
      </c>
      <c r="BA17" s="41">
        <f t="shared" si="23"/>
        <v>-8.3999999999998209</v>
      </c>
      <c r="BB17" s="41">
        <f t="shared" si="24"/>
        <v>-8.4000000000004178</v>
      </c>
      <c r="BC17" s="41">
        <f t="shared" si="25"/>
        <v>-11.200000000000259</v>
      </c>
      <c r="BD17" s="41">
        <f t="shared" si="69"/>
        <v>50.400000000000091</v>
      </c>
      <c r="BE17" s="41">
        <f t="shared" si="70"/>
        <v>25.200000000000045</v>
      </c>
      <c r="BF17" s="41">
        <f t="shared" si="71"/>
        <v>16.799999999999955</v>
      </c>
      <c r="BG17" s="41">
        <f t="shared" si="72"/>
        <v>8.400000000000432</v>
      </c>
      <c r="BH17" s="41">
        <f t="shared" si="73"/>
        <v>16.800000000000143</v>
      </c>
      <c r="BK17" s="613">
        <f t="shared" si="74"/>
        <v>222.04069999999996</v>
      </c>
      <c r="BL17" s="613">
        <f t="shared" si="75"/>
        <v>24.004400000000128</v>
      </c>
      <c r="BM17" s="614">
        <f t="shared" si="26"/>
        <v>258.04730000000006</v>
      </c>
      <c r="BN17" s="614">
        <f t="shared" si="27"/>
        <v>18.003300000000042</v>
      </c>
      <c r="BO17" s="615">
        <f t="shared" si="28"/>
        <v>240.04400000000001</v>
      </c>
      <c r="BP17" s="615">
        <f t="shared" si="29"/>
        <v>12.002199999999744</v>
      </c>
      <c r="BQ17" s="616">
        <f t="shared" si="30"/>
        <v>234.04289999999992</v>
      </c>
      <c r="BR17" s="616">
        <f t="shared" si="31"/>
        <v>18.003300000000255</v>
      </c>
      <c r="BS17" s="617">
        <f t="shared" si="32"/>
        <v>228.04180000000028</v>
      </c>
      <c r="BT17" s="617">
        <f t="shared" si="33"/>
        <v>18.003299999999829</v>
      </c>
      <c r="BU17" s="613"/>
      <c r="BV17" s="613"/>
      <c r="BW17" s="613"/>
      <c r="BX17" s="613" t="s">
        <v>1783</v>
      </c>
      <c r="BY17" s="613" t="s">
        <v>1784</v>
      </c>
      <c r="CD17" s="154">
        <f t="shared" si="35"/>
        <v>3.2999999999999972</v>
      </c>
      <c r="CE17" s="41">
        <f t="shared" si="36"/>
        <v>0.40000000000000213</v>
      </c>
      <c r="CF17" s="41">
        <f t="shared" si="76"/>
        <v>201.29999999999984</v>
      </c>
      <c r="CG17" s="41">
        <f t="shared" si="77"/>
        <v>24.000000000000128</v>
      </c>
      <c r="CH17" s="41">
        <f t="shared" si="37"/>
        <v>3.6999999999999993</v>
      </c>
      <c r="CI17" s="41">
        <f t="shared" si="38"/>
        <v>0.40000000000000213</v>
      </c>
      <c r="CJ17" s="154">
        <f t="shared" si="39"/>
        <v>4</v>
      </c>
      <c r="CK17" s="41">
        <f t="shared" si="40"/>
        <v>0.30000000000000071</v>
      </c>
      <c r="CL17" s="41">
        <f t="shared" si="41"/>
        <v>244</v>
      </c>
      <c r="CM17" s="41">
        <f t="shared" si="42"/>
        <v>18.000000000000043</v>
      </c>
      <c r="CN17" s="41">
        <f t="shared" si="43"/>
        <v>4.3000000000000007</v>
      </c>
      <c r="CO17" s="41">
        <f t="shared" si="44"/>
        <v>0.30000000000000071</v>
      </c>
      <c r="CP17" s="154">
        <f t="shared" si="45"/>
        <v>3.8000000000000043</v>
      </c>
      <c r="CQ17" s="41">
        <f t="shared" si="46"/>
        <v>0.19999999999999574</v>
      </c>
      <c r="CR17" s="41">
        <f t="shared" si="47"/>
        <v>231.80000000000027</v>
      </c>
      <c r="CS17" s="41">
        <f t="shared" si="48"/>
        <v>11.999999999999744</v>
      </c>
      <c r="CT17" s="41">
        <f t="shared" si="49"/>
        <v>4</v>
      </c>
      <c r="CU17" s="41">
        <f t="shared" si="50"/>
        <v>0.19999999999999574</v>
      </c>
      <c r="CV17" s="154">
        <f t="shared" si="51"/>
        <v>3.5999999999999943</v>
      </c>
      <c r="CW17" s="41">
        <f t="shared" si="52"/>
        <v>0.30000000000000426</v>
      </c>
      <c r="CX17" s="41">
        <f t="shared" si="53"/>
        <v>219.59999999999965</v>
      </c>
      <c r="CY17" s="41">
        <f t="shared" si="54"/>
        <v>18.000000000000256</v>
      </c>
      <c r="CZ17" s="41">
        <f t="shared" si="55"/>
        <v>3.8999999999999986</v>
      </c>
      <c r="DA17" s="41">
        <f t="shared" si="56"/>
        <v>0.30000000000000426</v>
      </c>
      <c r="DB17" s="154">
        <f t="shared" si="57"/>
        <v>3.5000000000000071</v>
      </c>
      <c r="DC17" s="41">
        <f t="shared" si="58"/>
        <v>0.29999999999999716</v>
      </c>
      <c r="DD17" s="41">
        <f t="shared" si="59"/>
        <v>213.50000000000043</v>
      </c>
      <c r="DE17" s="41">
        <f t="shared" si="60"/>
        <v>17.999999999999829</v>
      </c>
      <c r="DF17" s="41">
        <f t="shared" si="61"/>
        <v>3.8000000000000043</v>
      </c>
      <c r="DG17" s="41">
        <f t="shared" si="62"/>
        <v>0.29999999999999716</v>
      </c>
      <c r="DH17" s="154">
        <f t="shared" si="63"/>
        <v>4.1999999999999993</v>
      </c>
      <c r="DI17" s="41">
        <f t="shared" si="64"/>
        <v>0.19999999999999929</v>
      </c>
      <c r="DJ17" s="41">
        <f t="shared" si="65"/>
        <v>256.19999999999993</v>
      </c>
      <c r="DK17" s="41">
        <f t="shared" si="66"/>
        <v>11.999999999999957</v>
      </c>
      <c r="DL17" s="41">
        <f t="shared" si="67"/>
        <v>4.3999999999999986</v>
      </c>
      <c r="DM17" s="41">
        <f t="shared" si="68"/>
        <v>0.19999999999999929</v>
      </c>
      <c r="DN17" s="154">
        <f t="shared" ref="DN17:DN22" si="82">((DR17-DS17)*$CC$16)/$CC$15</f>
        <v>3.5000000000000036</v>
      </c>
      <c r="DO17" s="41">
        <f t="shared" ref="DO17:DO22" si="83">(DS17*$CC$16)/$CC$15</f>
        <v>0.39999999999999858</v>
      </c>
      <c r="DP17" s="41">
        <f t="shared" ref="DP17:DP23" si="84">DN17*$CC$18</f>
        <v>213.50000000000023</v>
      </c>
      <c r="DQ17" s="41">
        <f t="shared" ref="DQ17:DQ23" si="85">DO17*$CC$19</f>
        <v>23.999999999999915</v>
      </c>
      <c r="DR17" s="41">
        <f t="shared" ref="DR17:DR25" si="86">V48-U48</f>
        <v>3.9000000000000021</v>
      </c>
      <c r="DS17" s="41">
        <f t="shared" ref="DS17:DS32" si="87">U48-T48</f>
        <v>0.39999999999999858</v>
      </c>
      <c r="DV17" s="41">
        <f>DJ17-DP17</f>
        <v>42.699999999999704</v>
      </c>
      <c r="DW17">
        <f t="shared" si="78"/>
        <v>30.500000000000426</v>
      </c>
      <c r="DX17">
        <f t="shared" si="79"/>
        <v>18.299999999999812</v>
      </c>
      <c r="DY17">
        <f t="shared" si="80"/>
        <v>12.200000000000585</v>
      </c>
      <c r="DZ17">
        <f t="shared" si="81"/>
        <v>20.333333333333609</v>
      </c>
    </row>
    <row r="18" spans="1:132" ht="16.5" thickTop="1" thickBot="1">
      <c r="A18" s="14">
        <v>44466</v>
      </c>
      <c r="B18" s="34">
        <v>24</v>
      </c>
      <c r="C18" s="34">
        <v>24.1</v>
      </c>
      <c r="D18" s="75">
        <v>29.2</v>
      </c>
      <c r="E18" s="103">
        <v>29.2</v>
      </c>
      <c r="F18" s="103">
        <v>29.6</v>
      </c>
      <c r="G18" s="133">
        <v>34.4</v>
      </c>
      <c r="H18" s="91">
        <v>34.4</v>
      </c>
      <c r="I18" s="91">
        <v>34.700000000000003</v>
      </c>
      <c r="J18" s="134">
        <v>39.200000000000003</v>
      </c>
      <c r="K18" s="95">
        <v>39.200000000000003</v>
      </c>
      <c r="L18" s="95">
        <v>39.5</v>
      </c>
      <c r="M18" s="135">
        <v>43.8</v>
      </c>
      <c r="N18" s="99">
        <v>43.8</v>
      </c>
      <c r="O18" s="99">
        <v>44.3</v>
      </c>
      <c r="P18" s="136">
        <v>48.4</v>
      </c>
      <c r="Q18" s="109"/>
      <c r="R18" s="109"/>
      <c r="Y18">
        <f t="shared" si="1"/>
        <v>509.99999999999977</v>
      </c>
      <c r="Z18">
        <f t="shared" si="2"/>
        <v>10.000000000000142</v>
      </c>
      <c r="AA18" s="4">
        <f t="shared" si="3"/>
        <v>479.99999999999972</v>
      </c>
      <c r="AB18" s="4">
        <f t="shared" si="4"/>
        <v>40.000000000000213</v>
      </c>
      <c r="AC18" s="1">
        <f t="shared" si="5"/>
        <v>450</v>
      </c>
      <c r="AD18" s="1">
        <f t="shared" si="6"/>
        <v>30.000000000000426</v>
      </c>
      <c r="AE18" s="2">
        <f t="shared" si="7"/>
        <v>429.99999999999972</v>
      </c>
      <c r="AF18" s="2">
        <f t="shared" si="8"/>
        <v>29.999999999999716</v>
      </c>
      <c r="AG18" s="3">
        <f t="shared" si="9"/>
        <v>410.00000000000011</v>
      </c>
      <c r="AH18" s="3">
        <f t="shared" si="10"/>
        <v>50</v>
      </c>
      <c r="AL18">
        <f t="shared" si="11"/>
        <v>428.39999999999981</v>
      </c>
      <c r="AM18">
        <f t="shared" si="12"/>
        <v>8.4000000000001194</v>
      </c>
      <c r="AN18">
        <f t="shared" si="13"/>
        <v>403.19999999999976</v>
      </c>
      <c r="AO18">
        <f t="shared" si="14"/>
        <v>33.600000000000179</v>
      </c>
      <c r="AP18">
        <f t="shared" si="15"/>
        <v>378</v>
      </c>
      <c r="AQ18">
        <f t="shared" si="16"/>
        <v>25.200000000000358</v>
      </c>
      <c r="AR18">
        <f t="shared" si="17"/>
        <v>361.19999999999976</v>
      </c>
      <c r="AS18">
        <f t="shared" si="18"/>
        <v>25.199999999999761</v>
      </c>
      <c r="AT18">
        <f t="shared" si="19"/>
        <v>344.40000000000009</v>
      </c>
      <c r="AU18">
        <f t="shared" si="20"/>
        <v>42</v>
      </c>
      <c r="AY18">
        <f t="shared" si="21"/>
        <v>25.20000000000006</v>
      </c>
      <c r="AZ18">
        <f t="shared" si="22"/>
        <v>16.800000000000239</v>
      </c>
      <c r="BA18">
        <f t="shared" si="23"/>
        <v>16.799999999999642</v>
      </c>
      <c r="BB18">
        <f t="shared" si="24"/>
        <v>33.599999999999881</v>
      </c>
      <c r="BC18">
        <f t="shared" si="25"/>
        <v>22.39999999999992</v>
      </c>
      <c r="BD18">
        <f t="shared" si="69"/>
        <v>-25.200000000000045</v>
      </c>
      <c r="BE18">
        <f t="shared" si="70"/>
        <v>-50.399999999999807</v>
      </c>
      <c r="BF18">
        <f t="shared" si="71"/>
        <v>-67.200000000000045</v>
      </c>
      <c r="BG18">
        <f t="shared" si="72"/>
        <v>-83.999999999999716</v>
      </c>
      <c r="BH18">
        <f t="shared" si="73"/>
        <v>-67.199999999999861</v>
      </c>
      <c r="BK18" s="77">
        <f t="shared" si="74"/>
        <v>306.0560999999999</v>
      </c>
      <c r="BL18" s="77">
        <f t="shared" si="75"/>
        <v>6.0011000000000854</v>
      </c>
      <c r="BM18" s="296">
        <f t="shared" si="26"/>
        <v>288.05279999999982</v>
      </c>
      <c r="BN18" s="296">
        <f t="shared" si="27"/>
        <v>24.004400000000128</v>
      </c>
      <c r="BO18" s="297">
        <f t="shared" si="28"/>
        <v>270.04950000000002</v>
      </c>
      <c r="BP18" s="297">
        <f t="shared" si="29"/>
        <v>18.003300000000255</v>
      </c>
      <c r="BQ18" s="298">
        <f t="shared" si="30"/>
        <v>258.04729999999984</v>
      </c>
      <c r="BR18" s="298">
        <f t="shared" si="31"/>
        <v>18.003299999999829</v>
      </c>
      <c r="BS18" s="299">
        <f t="shared" si="32"/>
        <v>246.0451000000001</v>
      </c>
      <c r="BT18" s="299">
        <f t="shared" si="33"/>
        <v>30.005500000000001</v>
      </c>
      <c r="BU18" s="77"/>
      <c r="BV18" s="77"/>
      <c r="BW18" s="77"/>
      <c r="BX18" s="77"/>
      <c r="BY18" s="77"/>
      <c r="CB18" t="s">
        <v>1795</v>
      </c>
      <c r="CC18">
        <f>(3*16)+12+1</f>
        <v>61</v>
      </c>
      <c r="CD18" s="12">
        <f t="shared" si="35"/>
        <v>4.9999999999999964</v>
      </c>
      <c r="CE18">
        <f t="shared" si="36"/>
        <v>0.10000000000000142</v>
      </c>
      <c r="CF18">
        <f t="shared" si="76"/>
        <v>304.99999999999977</v>
      </c>
      <c r="CG18">
        <f t="shared" si="77"/>
        <v>6.0000000000000853</v>
      </c>
      <c r="CH18">
        <f t="shared" si="37"/>
        <v>5.0999999999999979</v>
      </c>
      <c r="CI18">
        <f t="shared" si="38"/>
        <v>0.10000000000000142</v>
      </c>
      <c r="CJ18" s="12">
        <f t="shared" si="39"/>
        <v>4.399999999999995</v>
      </c>
      <c r="CK18">
        <f t="shared" si="40"/>
        <v>0.40000000000000213</v>
      </c>
      <c r="CL18">
        <f t="shared" si="41"/>
        <v>268.39999999999969</v>
      </c>
      <c r="CM18">
        <f t="shared" si="42"/>
        <v>24.000000000000128</v>
      </c>
      <c r="CN18">
        <f t="shared" si="43"/>
        <v>4.7999999999999972</v>
      </c>
      <c r="CO18">
        <f t="shared" si="44"/>
        <v>0.40000000000000213</v>
      </c>
      <c r="CP18" s="12">
        <f t="shared" si="45"/>
        <v>4.1999999999999957</v>
      </c>
      <c r="CQ18">
        <f t="shared" si="46"/>
        <v>0.30000000000000426</v>
      </c>
      <c r="CR18">
        <f t="shared" si="47"/>
        <v>256.19999999999976</v>
      </c>
      <c r="CS18">
        <f t="shared" si="48"/>
        <v>18.000000000000256</v>
      </c>
      <c r="CT18">
        <f t="shared" si="49"/>
        <v>4.5</v>
      </c>
      <c r="CU18">
        <f t="shared" si="50"/>
        <v>0.30000000000000426</v>
      </c>
      <c r="CV18" s="12">
        <f t="shared" si="51"/>
        <v>4</v>
      </c>
      <c r="CW18">
        <f t="shared" si="52"/>
        <v>0.29999999999999716</v>
      </c>
      <c r="CX18">
        <f t="shared" si="53"/>
        <v>244</v>
      </c>
      <c r="CY18">
        <f t="shared" si="54"/>
        <v>17.999999999999829</v>
      </c>
      <c r="CZ18">
        <f t="shared" si="55"/>
        <v>4.2999999999999972</v>
      </c>
      <c r="DA18">
        <f t="shared" si="56"/>
        <v>0.29999999999999716</v>
      </c>
      <c r="DB18" s="12">
        <f t="shared" si="57"/>
        <v>3.6000000000000014</v>
      </c>
      <c r="DC18">
        <f t="shared" si="58"/>
        <v>0.5</v>
      </c>
      <c r="DD18">
        <f t="shared" si="59"/>
        <v>219.60000000000008</v>
      </c>
      <c r="DE18">
        <f t="shared" si="60"/>
        <v>30</v>
      </c>
      <c r="DF18">
        <f t="shared" si="61"/>
        <v>4.1000000000000014</v>
      </c>
      <c r="DG18">
        <f t="shared" si="62"/>
        <v>0.5</v>
      </c>
      <c r="DH18" s="12">
        <f t="shared" si="63"/>
        <v>4</v>
      </c>
      <c r="DI18">
        <f t="shared" si="64"/>
        <v>0.29999999999999893</v>
      </c>
      <c r="DJ18">
        <f t="shared" si="65"/>
        <v>244</v>
      </c>
      <c r="DK18">
        <f t="shared" si="66"/>
        <v>17.999999999999936</v>
      </c>
      <c r="DL18">
        <f t="shared" si="67"/>
        <v>4.2999999999999989</v>
      </c>
      <c r="DM18">
        <f t="shared" si="68"/>
        <v>0.29999999999999893</v>
      </c>
      <c r="DN18" s="12">
        <f t="shared" si="82"/>
        <v>4.3000000000000025</v>
      </c>
      <c r="DO18">
        <f t="shared" si="83"/>
        <v>0.29999999999999893</v>
      </c>
      <c r="DP18">
        <f t="shared" si="84"/>
        <v>262.30000000000013</v>
      </c>
      <c r="DQ18">
        <f t="shared" si="85"/>
        <v>17.999999999999936</v>
      </c>
      <c r="DR18">
        <f t="shared" si="86"/>
        <v>4.6000000000000014</v>
      </c>
      <c r="DS18">
        <f t="shared" si="87"/>
        <v>0.29999999999999893</v>
      </c>
      <c r="DV18" s="41">
        <f t="shared" ref="DV18:DV34" si="88">DJ18-DP18</f>
        <v>-18.300000000000125</v>
      </c>
      <c r="DW18">
        <f t="shared" si="78"/>
        <v>-48.800000000000011</v>
      </c>
      <c r="DX18">
        <f t="shared" si="79"/>
        <v>-60.999999999999773</v>
      </c>
      <c r="DY18">
        <f t="shared" si="80"/>
        <v>-85.399999999999693</v>
      </c>
      <c r="DZ18">
        <f t="shared" si="81"/>
        <v>-65.066666666666492</v>
      </c>
    </row>
    <row r="19" spans="1:132" ht="16.5" thickTop="1" thickBot="1">
      <c r="A19" s="14">
        <v>44467</v>
      </c>
      <c r="B19" s="34">
        <v>27.1</v>
      </c>
      <c r="C19" s="34">
        <v>27.4</v>
      </c>
      <c r="D19" s="75">
        <v>31.5</v>
      </c>
      <c r="E19" s="103">
        <v>31.5</v>
      </c>
      <c r="F19" s="103">
        <v>32</v>
      </c>
      <c r="G19" s="133">
        <v>36.799999999999997</v>
      </c>
      <c r="H19" s="91">
        <v>36.799999999999997</v>
      </c>
      <c r="I19" s="91">
        <v>37.1</v>
      </c>
      <c r="J19" s="134">
        <v>41.7</v>
      </c>
      <c r="K19" s="95">
        <v>41.7</v>
      </c>
      <c r="L19" s="95">
        <v>42.1</v>
      </c>
      <c r="M19" s="135">
        <v>46.2</v>
      </c>
      <c r="N19" s="99">
        <v>46.2</v>
      </c>
      <c r="O19" s="99">
        <v>46.5</v>
      </c>
      <c r="P19" s="136">
        <v>50.7</v>
      </c>
      <c r="Q19" s="109"/>
      <c r="R19" s="109"/>
      <c r="Y19">
        <f t="shared" si="1"/>
        <v>410.00000000000011</v>
      </c>
      <c r="Z19">
        <f t="shared" si="2"/>
        <v>29.999999999999716</v>
      </c>
      <c r="AA19" s="4">
        <f t="shared" si="3"/>
        <v>479.99999999999972</v>
      </c>
      <c r="AB19" s="4">
        <f t="shared" si="4"/>
        <v>50</v>
      </c>
      <c r="AC19" s="1">
        <f t="shared" si="5"/>
        <v>460.00000000000011</v>
      </c>
      <c r="AD19" s="1">
        <f t="shared" si="6"/>
        <v>30.000000000000426</v>
      </c>
      <c r="AE19" s="2">
        <f t="shared" si="7"/>
        <v>410.00000000000011</v>
      </c>
      <c r="AF19" s="2">
        <f t="shared" si="8"/>
        <v>39.999999999999858</v>
      </c>
      <c r="AG19" s="3">
        <f t="shared" si="9"/>
        <v>420.00000000000028</v>
      </c>
      <c r="AH19" s="3">
        <f t="shared" si="10"/>
        <v>29.999999999999716</v>
      </c>
      <c r="AL19">
        <f t="shared" si="11"/>
        <v>344.40000000000009</v>
      </c>
      <c r="AM19">
        <f t="shared" si="12"/>
        <v>25.199999999999761</v>
      </c>
      <c r="AN19">
        <f t="shared" si="13"/>
        <v>403.19999999999976</v>
      </c>
      <c r="AO19">
        <f t="shared" si="14"/>
        <v>42</v>
      </c>
      <c r="AP19">
        <f t="shared" si="15"/>
        <v>386.40000000000009</v>
      </c>
      <c r="AQ19">
        <f t="shared" si="16"/>
        <v>25.200000000000358</v>
      </c>
      <c r="AR19">
        <f t="shared" si="17"/>
        <v>344.40000000000009</v>
      </c>
      <c r="AS19">
        <f t="shared" si="18"/>
        <v>33.599999999999881</v>
      </c>
      <c r="AT19">
        <f t="shared" si="19"/>
        <v>352.80000000000024</v>
      </c>
      <c r="AU19">
        <f t="shared" si="20"/>
        <v>25.199999999999761</v>
      </c>
      <c r="AY19">
        <f t="shared" si="21"/>
        <v>16.800000000000239</v>
      </c>
      <c r="AZ19">
        <f t="shared" si="22"/>
        <v>5.9685589803848416E-13</v>
      </c>
      <c r="BA19">
        <f t="shared" si="23"/>
        <v>8.4000000000001194</v>
      </c>
      <c r="BB19">
        <f t="shared" si="24"/>
        <v>0</v>
      </c>
      <c r="BC19">
        <f t="shared" si="25"/>
        <v>2.8000000000002387</v>
      </c>
      <c r="BD19">
        <f t="shared" si="69"/>
        <v>58.79999999999967</v>
      </c>
      <c r="BE19">
        <f t="shared" si="70"/>
        <v>42</v>
      </c>
      <c r="BF19">
        <f t="shared" si="71"/>
        <v>0</v>
      </c>
      <c r="BG19">
        <f t="shared" si="72"/>
        <v>8.4000000000001478</v>
      </c>
      <c r="BH19">
        <f t="shared" si="73"/>
        <v>16.80000000000005</v>
      </c>
      <c r="BK19" s="77">
        <f t="shared" si="74"/>
        <v>246.0451000000001</v>
      </c>
      <c r="BL19" s="77">
        <f t="shared" si="75"/>
        <v>18.003299999999829</v>
      </c>
      <c r="BM19" s="296">
        <f t="shared" si="26"/>
        <v>288.05279999999982</v>
      </c>
      <c r="BN19" s="296">
        <f t="shared" si="27"/>
        <v>30.005500000000001</v>
      </c>
      <c r="BO19" s="297">
        <f t="shared" si="28"/>
        <v>276.05060000000009</v>
      </c>
      <c r="BP19" s="297">
        <f t="shared" si="29"/>
        <v>18.003300000000255</v>
      </c>
      <c r="BQ19" s="298">
        <f t="shared" si="30"/>
        <v>246.0451000000001</v>
      </c>
      <c r="BR19" s="298">
        <f t="shared" si="31"/>
        <v>24.004399999999915</v>
      </c>
      <c r="BS19" s="299">
        <f t="shared" si="32"/>
        <v>252.04620000000017</v>
      </c>
      <c r="BT19" s="299">
        <f t="shared" si="33"/>
        <v>18.003299999999829</v>
      </c>
      <c r="BU19" s="77"/>
      <c r="BV19" s="77"/>
      <c r="BW19" s="77"/>
      <c r="BX19" s="77" t="s">
        <v>1791</v>
      </c>
      <c r="BY19" s="77"/>
      <c r="CB19" t="s">
        <v>1796</v>
      </c>
      <c r="CC19">
        <v>60</v>
      </c>
      <c r="CD19" s="12">
        <f t="shared" si="35"/>
        <v>3.8000000000000043</v>
      </c>
      <c r="CE19">
        <f t="shared" si="36"/>
        <v>0.29999999999999716</v>
      </c>
      <c r="CF19">
        <f t="shared" si="76"/>
        <v>231.80000000000027</v>
      </c>
      <c r="CG19">
        <f t="shared" si="77"/>
        <v>17.999999999999829</v>
      </c>
      <c r="CH19">
        <f t="shared" si="37"/>
        <v>4.1000000000000014</v>
      </c>
      <c r="CI19">
        <f t="shared" si="38"/>
        <v>0.29999999999999716</v>
      </c>
      <c r="CJ19" s="12">
        <f t="shared" si="39"/>
        <v>4.2999999999999972</v>
      </c>
      <c r="CK19">
        <f t="shared" si="40"/>
        <v>0.5</v>
      </c>
      <c r="CL19">
        <f t="shared" si="41"/>
        <v>262.29999999999984</v>
      </c>
      <c r="CM19">
        <f t="shared" si="42"/>
        <v>30</v>
      </c>
      <c r="CN19">
        <f t="shared" si="43"/>
        <v>4.7999999999999972</v>
      </c>
      <c r="CO19">
        <f t="shared" si="44"/>
        <v>0.5</v>
      </c>
      <c r="CP19" s="12">
        <f t="shared" si="45"/>
        <v>4.2999999999999972</v>
      </c>
      <c r="CQ19">
        <f t="shared" si="46"/>
        <v>0.30000000000000426</v>
      </c>
      <c r="CR19">
        <f t="shared" si="47"/>
        <v>262.29999999999984</v>
      </c>
      <c r="CS19">
        <f t="shared" si="48"/>
        <v>18.000000000000256</v>
      </c>
      <c r="CT19">
        <f t="shared" si="49"/>
        <v>4.6000000000000014</v>
      </c>
      <c r="CU19">
        <f t="shared" si="50"/>
        <v>0.30000000000000426</v>
      </c>
      <c r="CV19" s="12">
        <f t="shared" si="51"/>
        <v>3.7000000000000028</v>
      </c>
      <c r="CW19">
        <f t="shared" si="52"/>
        <v>0.39999999999999858</v>
      </c>
      <c r="CX19">
        <f t="shared" si="53"/>
        <v>225.70000000000016</v>
      </c>
      <c r="CY19">
        <f t="shared" si="54"/>
        <v>23.999999999999915</v>
      </c>
      <c r="CZ19">
        <f t="shared" si="55"/>
        <v>4.1000000000000014</v>
      </c>
      <c r="DA19">
        <f t="shared" si="56"/>
        <v>0.39999999999999858</v>
      </c>
      <c r="DB19" s="12">
        <f t="shared" si="57"/>
        <v>3.9000000000000057</v>
      </c>
      <c r="DC19">
        <f t="shared" si="58"/>
        <v>0.29999999999999716</v>
      </c>
      <c r="DD19">
        <f t="shared" si="59"/>
        <v>237.90000000000035</v>
      </c>
      <c r="DE19">
        <f t="shared" si="60"/>
        <v>17.999999999999829</v>
      </c>
      <c r="DF19">
        <f t="shared" si="61"/>
        <v>4.2000000000000028</v>
      </c>
      <c r="DG19">
        <f t="shared" si="62"/>
        <v>0.29999999999999716</v>
      </c>
      <c r="DH19" s="12">
        <f t="shared" si="63"/>
        <v>3.6000000000000014</v>
      </c>
      <c r="DI19">
        <f t="shared" si="64"/>
        <v>0.39999999999999858</v>
      </c>
      <c r="DJ19">
        <f t="shared" si="65"/>
        <v>219.60000000000008</v>
      </c>
      <c r="DK19">
        <f t="shared" si="66"/>
        <v>23.999999999999915</v>
      </c>
      <c r="DL19">
        <f t="shared" si="67"/>
        <v>4</v>
      </c>
      <c r="DM19">
        <f t="shared" si="68"/>
        <v>0.39999999999999858</v>
      </c>
      <c r="DN19" s="12">
        <f t="shared" si="82"/>
        <v>3.899999999999995</v>
      </c>
      <c r="DO19">
        <f t="shared" si="83"/>
        <v>0.30000000000000071</v>
      </c>
      <c r="DP19">
        <f t="shared" si="84"/>
        <v>237.89999999999969</v>
      </c>
      <c r="DQ19">
        <f t="shared" si="85"/>
        <v>18.000000000000043</v>
      </c>
      <c r="DR19">
        <f t="shared" si="86"/>
        <v>4.1999999999999957</v>
      </c>
      <c r="DS19">
        <f t="shared" si="87"/>
        <v>0.30000000000000071</v>
      </c>
      <c r="DV19" s="41">
        <f t="shared" si="88"/>
        <v>-18.299999999999613</v>
      </c>
      <c r="DW19">
        <f t="shared" si="78"/>
        <v>30.499999999999574</v>
      </c>
      <c r="DX19">
        <f t="shared" si="79"/>
        <v>-6.100000000000108</v>
      </c>
      <c r="DY19">
        <f t="shared" si="80"/>
        <v>6.1000000000000796</v>
      </c>
      <c r="DZ19">
        <f t="shared" si="81"/>
        <v>10.166666666666515</v>
      </c>
    </row>
    <row r="20" spans="1:132" ht="16.5" thickTop="1" thickBot="1">
      <c r="A20" s="14">
        <v>44468</v>
      </c>
      <c r="B20" s="34">
        <v>26.1</v>
      </c>
      <c r="C20" s="34">
        <v>26.5</v>
      </c>
      <c r="D20" s="75">
        <v>30.6</v>
      </c>
      <c r="E20" s="103">
        <v>30.6</v>
      </c>
      <c r="F20" s="103">
        <v>31.1</v>
      </c>
      <c r="G20" s="133">
        <v>35.1</v>
      </c>
      <c r="H20" s="91">
        <v>35.1</v>
      </c>
      <c r="I20" s="91">
        <v>35.5</v>
      </c>
      <c r="J20" s="134">
        <v>39.700000000000003</v>
      </c>
      <c r="K20" s="95">
        <v>39.700000000000003</v>
      </c>
      <c r="L20" s="95">
        <v>40.200000000000003</v>
      </c>
      <c r="M20" s="135">
        <v>44.5</v>
      </c>
      <c r="N20" s="99">
        <v>44.5</v>
      </c>
      <c r="O20" s="99">
        <v>44.8</v>
      </c>
      <c r="P20" s="136">
        <v>49.2</v>
      </c>
      <c r="Q20" s="109"/>
      <c r="R20" s="109"/>
      <c r="W20" s="34">
        <f>12.011+(16*3)</f>
        <v>60.010999999999996</v>
      </c>
      <c r="Y20">
        <f t="shared" si="1"/>
        <v>410.00000000000011</v>
      </c>
      <c r="Z20">
        <f t="shared" si="2"/>
        <v>39.999999999999858</v>
      </c>
      <c r="AA20" s="4">
        <f t="shared" si="3"/>
        <v>400</v>
      </c>
      <c r="AB20" s="4">
        <f t="shared" si="4"/>
        <v>50</v>
      </c>
      <c r="AC20" s="1">
        <f t="shared" si="5"/>
        <v>420.00000000000028</v>
      </c>
      <c r="AD20" s="1">
        <f t="shared" si="6"/>
        <v>39.999999999999858</v>
      </c>
      <c r="AE20" s="2">
        <f t="shared" si="7"/>
        <v>429.99999999999972</v>
      </c>
      <c r="AF20" s="2">
        <f t="shared" si="8"/>
        <v>50</v>
      </c>
      <c r="AG20" s="3">
        <f t="shared" si="9"/>
        <v>440.00000000000057</v>
      </c>
      <c r="AH20" s="3">
        <f t="shared" si="10"/>
        <v>29.999999999999716</v>
      </c>
      <c r="AL20">
        <f t="shared" si="11"/>
        <v>344.40000000000009</v>
      </c>
      <c r="AM20">
        <f t="shared" si="12"/>
        <v>33.599999999999881</v>
      </c>
      <c r="AN20">
        <f t="shared" si="13"/>
        <v>336</v>
      </c>
      <c r="AO20">
        <f t="shared" si="14"/>
        <v>42</v>
      </c>
      <c r="AP20">
        <f t="shared" si="15"/>
        <v>352.80000000000024</v>
      </c>
      <c r="AQ20">
        <f t="shared" si="16"/>
        <v>33.599999999999881</v>
      </c>
      <c r="AR20">
        <f t="shared" si="17"/>
        <v>361.19999999999976</v>
      </c>
      <c r="AS20">
        <f t="shared" si="18"/>
        <v>42</v>
      </c>
      <c r="AT20">
        <f t="shared" si="19"/>
        <v>369.60000000000048</v>
      </c>
      <c r="AU20">
        <f t="shared" si="20"/>
        <v>25.199999999999761</v>
      </c>
      <c r="AY20">
        <f t="shared" si="21"/>
        <v>8.4000000000001194</v>
      </c>
      <c r="AZ20">
        <f t="shared" si="22"/>
        <v>0</v>
      </c>
      <c r="BA20">
        <f t="shared" si="23"/>
        <v>8.4000000000001194</v>
      </c>
      <c r="BB20">
        <f t="shared" si="24"/>
        <v>-8.4000000000001194</v>
      </c>
      <c r="BC20">
        <f t="shared" si="25"/>
        <v>0</v>
      </c>
      <c r="BD20">
        <f t="shared" si="69"/>
        <v>-8.4000000000000909</v>
      </c>
      <c r="BE20">
        <f t="shared" si="70"/>
        <v>8.4000000000001478</v>
      </c>
      <c r="BF20">
        <f t="shared" si="71"/>
        <v>16.79999999999967</v>
      </c>
      <c r="BG20">
        <f t="shared" si="72"/>
        <v>25.200000000000387</v>
      </c>
      <c r="BH20">
        <f t="shared" si="73"/>
        <v>16.800000000000068</v>
      </c>
      <c r="BK20" s="77">
        <f t="shared" si="74"/>
        <v>246.0451000000001</v>
      </c>
      <c r="BL20" s="77">
        <f t="shared" si="75"/>
        <v>24.004399999999915</v>
      </c>
      <c r="BM20" s="296">
        <f t="shared" si="26"/>
        <v>240.04400000000001</v>
      </c>
      <c r="BN20" s="296">
        <f t="shared" si="27"/>
        <v>30.005500000000001</v>
      </c>
      <c r="BO20" s="297">
        <f t="shared" si="28"/>
        <v>252.04620000000017</v>
      </c>
      <c r="BP20" s="297">
        <f t="shared" si="29"/>
        <v>24.004399999999915</v>
      </c>
      <c r="BQ20" s="298">
        <f t="shared" si="30"/>
        <v>258.04729999999984</v>
      </c>
      <c r="BR20" s="298">
        <f t="shared" si="31"/>
        <v>30.005500000000001</v>
      </c>
      <c r="BS20" s="299">
        <f t="shared" si="32"/>
        <v>264.04840000000036</v>
      </c>
      <c r="BT20" s="299">
        <f t="shared" si="33"/>
        <v>18.003299999999829</v>
      </c>
      <c r="BU20" s="77"/>
      <c r="BV20" s="77"/>
      <c r="BW20" s="77"/>
      <c r="BX20" s="77" t="s">
        <v>1779</v>
      </c>
      <c r="BY20" s="77" t="s">
        <v>1792</v>
      </c>
      <c r="CD20" s="12">
        <f t="shared" si="35"/>
        <v>3.7000000000000028</v>
      </c>
      <c r="CE20">
        <f t="shared" si="36"/>
        <v>0.39999999999999858</v>
      </c>
      <c r="CF20">
        <f t="shared" si="76"/>
        <v>225.70000000000016</v>
      </c>
      <c r="CG20">
        <f t="shared" si="77"/>
        <v>23.999999999999915</v>
      </c>
      <c r="CH20">
        <f t="shared" si="37"/>
        <v>4.1000000000000014</v>
      </c>
      <c r="CI20">
        <f t="shared" si="38"/>
        <v>0.39999999999999858</v>
      </c>
      <c r="CJ20" s="12">
        <f t="shared" si="39"/>
        <v>3.5</v>
      </c>
      <c r="CK20">
        <f t="shared" si="40"/>
        <v>0.5</v>
      </c>
      <c r="CL20">
        <f t="shared" si="41"/>
        <v>213.5</v>
      </c>
      <c r="CM20">
        <f t="shared" si="42"/>
        <v>30</v>
      </c>
      <c r="CN20">
        <f t="shared" si="43"/>
        <v>4</v>
      </c>
      <c r="CO20">
        <f t="shared" si="44"/>
        <v>0.5</v>
      </c>
      <c r="CP20" s="12">
        <f t="shared" si="45"/>
        <v>3.8000000000000043</v>
      </c>
      <c r="CQ20">
        <f t="shared" si="46"/>
        <v>0.39999999999999858</v>
      </c>
      <c r="CR20">
        <f t="shared" si="47"/>
        <v>231.80000000000027</v>
      </c>
      <c r="CS20">
        <f t="shared" si="48"/>
        <v>23.999999999999915</v>
      </c>
      <c r="CT20">
        <f t="shared" si="49"/>
        <v>4.2000000000000028</v>
      </c>
      <c r="CU20">
        <f t="shared" si="50"/>
        <v>0.39999999999999858</v>
      </c>
      <c r="CV20" s="12">
        <f t="shared" si="51"/>
        <v>3.7999999999999972</v>
      </c>
      <c r="CW20">
        <f t="shared" si="52"/>
        <v>0.5</v>
      </c>
      <c r="CX20">
        <f t="shared" si="53"/>
        <v>231.79999999999984</v>
      </c>
      <c r="CY20">
        <f t="shared" si="54"/>
        <v>30</v>
      </c>
      <c r="CZ20">
        <f t="shared" si="55"/>
        <v>4.2999999999999972</v>
      </c>
      <c r="DA20">
        <f t="shared" si="56"/>
        <v>0.5</v>
      </c>
      <c r="DB20" s="12">
        <f t="shared" si="57"/>
        <v>4.1000000000000085</v>
      </c>
      <c r="DC20">
        <f t="shared" si="58"/>
        <v>0.29999999999999716</v>
      </c>
      <c r="DD20">
        <f t="shared" si="59"/>
        <v>250.10000000000053</v>
      </c>
      <c r="DE20">
        <f t="shared" si="60"/>
        <v>17.999999999999829</v>
      </c>
      <c r="DF20">
        <f t="shared" si="61"/>
        <v>4.4000000000000057</v>
      </c>
      <c r="DG20">
        <f t="shared" si="62"/>
        <v>0.29999999999999716</v>
      </c>
      <c r="DH20" s="12">
        <f t="shared" si="63"/>
        <v>3.6999999999999993</v>
      </c>
      <c r="DI20">
        <f t="shared" si="64"/>
        <v>0.30000000000000071</v>
      </c>
      <c r="DJ20">
        <f t="shared" si="65"/>
        <v>225.69999999999996</v>
      </c>
      <c r="DK20">
        <f t="shared" si="66"/>
        <v>18.000000000000043</v>
      </c>
      <c r="DL20">
        <f t="shared" si="67"/>
        <v>4</v>
      </c>
      <c r="DM20">
        <f t="shared" si="68"/>
        <v>0.30000000000000071</v>
      </c>
      <c r="DN20" s="12">
        <f t="shared" si="82"/>
        <v>3.2999999999999972</v>
      </c>
      <c r="DO20">
        <f t="shared" si="83"/>
        <v>0.30000000000000071</v>
      </c>
      <c r="DP20">
        <f t="shared" si="84"/>
        <v>201.29999999999984</v>
      </c>
      <c r="DQ20">
        <f t="shared" si="85"/>
        <v>18.000000000000043</v>
      </c>
      <c r="DR20">
        <f t="shared" si="86"/>
        <v>3.5999999999999979</v>
      </c>
      <c r="DS20">
        <f t="shared" si="87"/>
        <v>0.30000000000000071</v>
      </c>
      <c r="DV20" s="41">
        <f t="shared" si="88"/>
        <v>24.400000000000119</v>
      </c>
      <c r="DW20">
        <f t="shared" si="78"/>
        <v>6.100000000000108</v>
      </c>
      <c r="DX20">
        <f t="shared" si="79"/>
        <v>6.0999999999996817</v>
      </c>
      <c r="DY20">
        <f t="shared" si="80"/>
        <v>24.400000000000375</v>
      </c>
      <c r="DZ20">
        <f t="shared" si="81"/>
        <v>12.200000000000054</v>
      </c>
    </row>
    <row r="21" spans="1:132" ht="16.5" thickTop="1" thickBot="1">
      <c r="A21" s="14">
        <v>44470</v>
      </c>
      <c r="B21" s="34">
        <v>23.2</v>
      </c>
      <c r="C21" s="34">
        <v>23.4</v>
      </c>
      <c r="D21" s="75">
        <v>27.8</v>
      </c>
      <c r="E21" s="103">
        <v>27.8</v>
      </c>
      <c r="F21" s="103">
        <v>28.1</v>
      </c>
      <c r="G21" s="133">
        <v>32.6</v>
      </c>
      <c r="H21" s="91">
        <v>32.6</v>
      </c>
      <c r="I21" s="91">
        <v>32.9</v>
      </c>
      <c r="J21" s="134">
        <v>37.700000000000003</v>
      </c>
      <c r="K21" s="95">
        <v>37.700000000000003</v>
      </c>
      <c r="L21" s="95">
        <v>37.9</v>
      </c>
      <c r="M21" s="135">
        <v>42.2</v>
      </c>
      <c r="N21" s="99">
        <v>42.2</v>
      </c>
      <c r="O21" s="99">
        <v>42.7</v>
      </c>
      <c r="P21" s="136">
        <v>46.7</v>
      </c>
      <c r="Q21" s="109"/>
      <c r="R21" s="109"/>
      <c r="W21" s="34">
        <f>(11.4-11.15)*W20</f>
        <v>15.002749999999999</v>
      </c>
      <c r="Y21">
        <f t="shared" si="1"/>
        <v>440.00000000000023</v>
      </c>
      <c r="Z21">
        <f t="shared" si="2"/>
        <v>19.999999999999929</v>
      </c>
      <c r="AA21" s="4">
        <f t="shared" si="3"/>
        <v>450</v>
      </c>
      <c r="AB21" s="4">
        <f t="shared" si="4"/>
        <v>30.000000000000071</v>
      </c>
      <c r="AC21" s="1">
        <f t="shared" si="5"/>
        <v>480.00000000000045</v>
      </c>
      <c r="AD21" s="1">
        <f t="shared" si="6"/>
        <v>29.999999999999716</v>
      </c>
      <c r="AE21" s="2">
        <f t="shared" si="7"/>
        <v>430.00000000000045</v>
      </c>
      <c r="AF21" s="2">
        <f t="shared" si="8"/>
        <v>19.999999999999574</v>
      </c>
      <c r="AG21" s="3">
        <f t="shared" si="9"/>
        <v>400</v>
      </c>
      <c r="AH21" s="3">
        <f t="shared" si="10"/>
        <v>50</v>
      </c>
      <c r="AL21">
        <f t="shared" si="11"/>
        <v>369.60000000000019</v>
      </c>
      <c r="AM21">
        <f t="shared" si="12"/>
        <v>16.79999999999994</v>
      </c>
      <c r="AN21">
        <f t="shared" si="13"/>
        <v>378</v>
      </c>
      <c r="AO21">
        <f t="shared" si="14"/>
        <v>25.20000000000006</v>
      </c>
      <c r="AP21">
        <f t="shared" si="15"/>
        <v>403.20000000000039</v>
      </c>
      <c r="AQ21">
        <f t="shared" si="16"/>
        <v>25.199999999999761</v>
      </c>
      <c r="AR21">
        <f t="shared" si="17"/>
        <v>361.20000000000039</v>
      </c>
      <c r="AS21">
        <f t="shared" si="18"/>
        <v>16.799999999999642</v>
      </c>
      <c r="AT21">
        <f t="shared" si="19"/>
        <v>336</v>
      </c>
      <c r="AU21">
        <f t="shared" si="20"/>
        <v>42</v>
      </c>
      <c r="AY21">
        <f t="shared" si="21"/>
        <v>8.4000000000001194</v>
      </c>
      <c r="AZ21">
        <f t="shared" si="22"/>
        <v>8.3999999999998209</v>
      </c>
      <c r="BA21">
        <f t="shared" si="23"/>
        <v>-2.9842794901924208E-13</v>
      </c>
      <c r="BB21">
        <f t="shared" si="24"/>
        <v>25.20000000000006</v>
      </c>
      <c r="BC21">
        <f t="shared" si="25"/>
        <v>11.199999999999861</v>
      </c>
      <c r="BD21">
        <f t="shared" si="69"/>
        <v>8.3999999999998067</v>
      </c>
      <c r="BE21">
        <f t="shared" si="70"/>
        <v>33.600000000000193</v>
      </c>
      <c r="BF21">
        <f t="shared" si="71"/>
        <v>-8.3999999999998067</v>
      </c>
      <c r="BG21">
        <f t="shared" si="72"/>
        <v>-33.600000000000193</v>
      </c>
      <c r="BH21">
        <f t="shared" si="73"/>
        <v>-2.7999999999999354</v>
      </c>
      <c r="BK21" s="77">
        <f t="shared" si="74"/>
        <v>264.04840000000013</v>
      </c>
      <c r="BL21" s="77">
        <f t="shared" si="75"/>
        <v>12.002199999999958</v>
      </c>
      <c r="BM21" s="296">
        <f t="shared" si="26"/>
        <v>270.04950000000002</v>
      </c>
      <c r="BN21" s="296">
        <f t="shared" si="27"/>
        <v>18.003300000000042</v>
      </c>
      <c r="BO21" s="297">
        <f t="shared" si="28"/>
        <v>288.05280000000027</v>
      </c>
      <c r="BP21" s="297">
        <f t="shared" si="29"/>
        <v>18.003299999999829</v>
      </c>
      <c r="BQ21" s="298">
        <f t="shared" si="30"/>
        <v>258.04730000000029</v>
      </c>
      <c r="BR21" s="298">
        <f t="shared" si="31"/>
        <v>12.002199999999744</v>
      </c>
      <c r="BS21" s="299">
        <f t="shared" si="32"/>
        <v>240.04400000000001</v>
      </c>
      <c r="BT21" s="299">
        <f t="shared" si="33"/>
        <v>30.005500000000001</v>
      </c>
      <c r="BU21" s="77"/>
      <c r="BV21" s="77"/>
      <c r="BW21" s="77"/>
      <c r="BX21" s="77"/>
      <c r="BY21" s="77"/>
      <c r="CD21" s="12">
        <f t="shared" si="35"/>
        <v>4.2000000000000028</v>
      </c>
      <c r="CE21">
        <f t="shared" si="36"/>
        <v>0.19999999999999929</v>
      </c>
      <c r="CF21">
        <f t="shared" si="76"/>
        <v>256.20000000000016</v>
      </c>
      <c r="CG21">
        <f t="shared" si="77"/>
        <v>11.999999999999957</v>
      </c>
      <c r="CH21">
        <f t="shared" si="37"/>
        <v>4.4000000000000021</v>
      </c>
      <c r="CI21">
        <f t="shared" si="38"/>
        <v>0.19999999999999929</v>
      </c>
      <c r="CJ21" s="12">
        <f t="shared" si="39"/>
        <v>4.1999999999999993</v>
      </c>
      <c r="CK21">
        <f t="shared" si="40"/>
        <v>0.30000000000000071</v>
      </c>
      <c r="CL21">
        <f t="shared" si="41"/>
        <v>256.19999999999993</v>
      </c>
      <c r="CM21">
        <f t="shared" si="42"/>
        <v>18.000000000000043</v>
      </c>
      <c r="CN21">
        <f t="shared" si="43"/>
        <v>4.5</v>
      </c>
      <c r="CO21">
        <f t="shared" si="44"/>
        <v>0.30000000000000071</v>
      </c>
      <c r="CP21" s="12">
        <f t="shared" si="45"/>
        <v>4.5000000000000071</v>
      </c>
      <c r="CQ21">
        <f t="shared" si="46"/>
        <v>0.29999999999999716</v>
      </c>
      <c r="CR21">
        <f t="shared" si="47"/>
        <v>274.50000000000045</v>
      </c>
      <c r="CS21">
        <f t="shared" si="48"/>
        <v>17.999999999999829</v>
      </c>
      <c r="CT21">
        <f t="shared" si="49"/>
        <v>4.8000000000000043</v>
      </c>
      <c r="CU21">
        <f t="shared" si="50"/>
        <v>0.29999999999999716</v>
      </c>
      <c r="CV21" s="12">
        <f t="shared" si="51"/>
        <v>4.1000000000000085</v>
      </c>
      <c r="CW21">
        <f t="shared" si="52"/>
        <v>0.19999999999999574</v>
      </c>
      <c r="CX21">
        <f t="shared" si="53"/>
        <v>250.10000000000053</v>
      </c>
      <c r="CY21">
        <f t="shared" si="54"/>
        <v>11.999999999999744</v>
      </c>
      <c r="CZ21">
        <f t="shared" si="55"/>
        <v>4.3000000000000043</v>
      </c>
      <c r="DA21">
        <f t="shared" si="56"/>
        <v>0.19999999999999574</v>
      </c>
      <c r="DB21" s="12">
        <f t="shared" si="57"/>
        <v>3.5</v>
      </c>
      <c r="DC21">
        <f t="shared" si="58"/>
        <v>0.5</v>
      </c>
      <c r="DD21">
        <f t="shared" si="59"/>
        <v>213.5</v>
      </c>
      <c r="DE21">
        <f t="shared" si="60"/>
        <v>30</v>
      </c>
      <c r="DF21">
        <f t="shared" si="61"/>
        <v>4</v>
      </c>
      <c r="DG21">
        <f t="shared" si="62"/>
        <v>0.5</v>
      </c>
      <c r="DH21" s="12">
        <f t="shared" si="63"/>
        <v>3</v>
      </c>
      <c r="DI21">
        <f t="shared" si="64"/>
        <v>0.5</v>
      </c>
      <c r="DJ21">
        <f t="shared" si="65"/>
        <v>183</v>
      </c>
      <c r="DK21">
        <f t="shared" si="66"/>
        <v>30</v>
      </c>
      <c r="DL21">
        <f t="shared" si="67"/>
        <v>3.5</v>
      </c>
      <c r="DM21">
        <f t="shared" si="68"/>
        <v>0.5</v>
      </c>
      <c r="DN21" s="12">
        <f t="shared" si="82"/>
        <v>3.1000000000000014</v>
      </c>
      <c r="DO21">
        <f t="shared" si="83"/>
        <v>0.39999999999999858</v>
      </c>
      <c r="DP21">
        <f t="shared" si="84"/>
        <v>189.10000000000008</v>
      </c>
      <c r="DQ21">
        <f t="shared" si="85"/>
        <v>23.999999999999915</v>
      </c>
      <c r="DR21">
        <f t="shared" si="86"/>
        <v>3.5</v>
      </c>
      <c r="DS21">
        <f t="shared" si="87"/>
        <v>0.39999999999999858</v>
      </c>
      <c r="DV21" s="41">
        <f t="shared" si="88"/>
        <v>-6.1000000000000796</v>
      </c>
      <c r="DW21">
        <f t="shared" si="78"/>
        <v>18.300000000000296</v>
      </c>
      <c r="DX21">
        <f t="shared" si="79"/>
        <v>-6.0999999999996248</v>
      </c>
      <c r="DY21">
        <f t="shared" si="80"/>
        <v>-42.700000000000159</v>
      </c>
      <c r="DZ21">
        <f t="shared" si="81"/>
        <v>-10.166666666666496</v>
      </c>
    </row>
    <row r="22" spans="1:132" ht="16.5" thickTop="1" thickBot="1">
      <c r="A22" s="14">
        <v>44473</v>
      </c>
      <c r="B22" s="34">
        <v>24.7</v>
      </c>
      <c r="C22" s="34">
        <v>25.1</v>
      </c>
      <c r="D22" s="75">
        <v>29.7</v>
      </c>
      <c r="E22" s="103">
        <v>29.7</v>
      </c>
      <c r="F22" s="103">
        <v>30.2</v>
      </c>
      <c r="G22" s="133">
        <v>34.200000000000003</v>
      </c>
      <c r="H22" s="91">
        <v>34.200000000000003</v>
      </c>
      <c r="I22" s="91">
        <v>34.5</v>
      </c>
      <c r="J22" s="134">
        <v>38.9</v>
      </c>
      <c r="K22" s="95">
        <v>38.9</v>
      </c>
      <c r="L22" s="95">
        <v>39.1</v>
      </c>
      <c r="M22" s="135">
        <v>43.9</v>
      </c>
      <c r="N22" s="99">
        <v>43.9</v>
      </c>
      <c r="O22" s="99">
        <v>44.2</v>
      </c>
      <c r="P22" s="136">
        <v>48.4</v>
      </c>
      <c r="Q22" s="109"/>
      <c r="R22" s="109"/>
      <c r="Y22">
        <f t="shared" si="1"/>
        <v>459.99999999999977</v>
      </c>
      <c r="Z22">
        <f t="shared" si="2"/>
        <v>40.000000000000213</v>
      </c>
      <c r="AA22" s="4">
        <f t="shared" si="3"/>
        <v>400.00000000000034</v>
      </c>
      <c r="AB22" s="4">
        <f t="shared" si="4"/>
        <v>50</v>
      </c>
      <c r="AC22" s="1">
        <f t="shared" si="5"/>
        <v>439.99999999999989</v>
      </c>
      <c r="AD22" s="1">
        <f t="shared" si="6"/>
        <v>29.999999999999716</v>
      </c>
      <c r="AE22" s="2">
        <f t="shared" si="7"/>
        <v>479.99999999999972</v>
      </c>
      <c r="AF22" s="2">
        <f t="shared" si="8"/>
        <v>20.000000000000284</v>
      </c>
      <c r="AG22" s="3">
        <f t="shared" si="9"/>
        <v>419.99999999999955</v>
      </c>
      <c r="AH22" s="3">
        <f t="shared" si="10"/>
        <v>30.000000000000426</v>
      </c>
      <c r="AL22">
        <f t="shared" si="11"/>
        <v>386.39999999999981</v>
      </c>
      <c r="AM22">
        <f t="shared" si="12"/>
        <v>33.600000000000179</v>
      </c>
      <c r="AN22">
        <f t="shared" si="13"/>
        <v>336.00000000000028</v>
      </c>
      <c r="AO22">
        <f t="shared" si="14"/>
        <v>42</v>
      </c>
      <c r="AP22">
        <f t="shared" si="15"/>
        <v>369.59999999999991</v>
      </c>
      <c r="AQ22">
        <f t="shared" si="16"/>
        <v>25.199999999999761</v>
      </c>
      <c r="AR22">
        <f t="shared" si="17"/>
        <v>403.19999999999976</v>
      </c>
      <c r="AS22">
        <f t="shared" si="18"/>
        <v>16.800000000000239</v>
      </c>
      <c r="AT22">
        <f t="shared" si="19"/>
        <v>352.79999999999961</v>
      </c>
      <c r="AU22">
        <f t="shared" si="20"/>
        <v>25.200000000000358</v>
      </c>
      <c r="AY22">
        <f t="shared" si="21"/>
        <v>8.3999999999998209</v>
      </c>
      <c r="AZ22">
        <f t="shared" si="22"/>
        <v>-8.4000000000004178</v>
      </c>
      <c r="BA22">
        <f t="shared" si="23"/>
        <v>-16.79999999999994</v>
      </c>
      <c r="BB22">
        <f t="shared" si="24"/>
        <v>-8.3999999999998209</v>
      </c>
      <c r="BC22">
        <f t="shared" si="25"/>
        <v>-11.20000000000006</v>
      </c>
      <c r="BD22">
        <f t="shared" si="69"/>
        <v>-50.399999999999523</v>
      </c>
      <c r="BE22">
        <f t="shared" si="70"/>
        <v>-16.799999999999898</v>
      </c>
      <c r="BF22">
        <f t="shared" si="71"/>
        <v>16.799999999999955</v>
      </c>
      <c r="BG22">
        <f t="shared" si="72"/>
        <v>-33.600000000000193</v>
      </c>
      <c r="BH22">
        <f t="shared" si="73"/>
        <v>-11.200000000000045</v>
      </c>
      <c r="BK22" s="77">
        <f t="shared" si="74"/>
        <v>276.05059999999986</v>
      </c>
      <c r="BL22" s="77">
        <f t="shared" si="75"/>
        <v>24.004400000000128</v>
      </c>
      <c r="BM22" s="296">
        <f t="shared" si="26"/>
        <v>240.04400000000024</v>
      </c>
      <c r="BN22" s="296">
        <f t="shared" si="27"/>
        <v>30.005500000000001</v>
      </c>
      <c r="BO22" s="297">
        <f t="shared" si="28"/>
        <v>264.0483999999999</v>
      </c>
      <c r="BP22" s="297">
        <f t="shared" si="29"/>
        <v>18.003299999999829</v>
      </c>
      <c r="BQ22" s="298">
        <f t="shared" si="30"/>
        <v>288.05279999999982</v>
      </c>
      <c r="BR22" s="298">
        <f t="shared" si="31"/>
        <v>12.002200000000171</v>
      </c>
      <c r="BS22" s="299">
        <f t="shared" si="32"/>
        <v>252.04619999999974</v>
      </c>
      <c r="BT22" s="299">
        <f t="shared" si="33"/>
        <v>18.003300000000255</v>
      </c>
      <c r="BU22" s="77"/>
      <c r="BV22" s="77"/>
      <c r="BW22" s="77"/>
      <c r="BX22" s="77" t="s">
        <v>1781</v>
      </c>
      <c r="BY22" s="77" t="s">
        <v>1793</v>
      </c>
      <c r="CD22" s="12">
        <f t="shared" si="35"/>
        <v>4.1999999999999957</v>
      </c>
      <c r="CE22">
        <f t="shared" si="36"/>
        <v>0.40000000000000213</v>
      </c>
      <c r="CF22">
        <f t="shared" si="76"/>
        <v>256.19999999999976</v>
      </c>
      <c r="CG22">
        <f t="shared" si="77"/>
        <v>24.000000000000128</v>
      </c>
      <c r="CH22">
        <f t="shared" si="37"/>
        <v>4.5999999999999979</v>
      </c>
      <c r="CI22">
        <f t="shared" si="38"/>
        <v>0.40000000000000213</v>
      </c>
      <c r="CJ22" s="12">
        <f t="shared" si="39"/>
        <v>3.5000000000000036</v>
      </c>
      <c r="CK22">
        <f t="shared" si="40"/>
        <v>0.5</v>
      </c>
      <c r="CL22">
        <f t="shared" si="41"/>
        <v>213.50000000000023</v>
      </c>
      <c r="CM22">
        <f t="shared" si="42"/>
        <v>30</v>
      </c>
      <c r="CN22">
        <f t="shared" si="43"/>
        <v>4.0000000000000036</v>
      </c>
      <c r="CO22">
        <f t="shared" si="44"/>
        <v>0.5</v>
      </c>
      <c r="CP22" s="12">
        <f t="shared" si="45"/>
        <v>4.1000000000000014</v>
      </c>
      <c r="CQ22">
        <f t="shared" si="46"/>
        <v>0.29999999999999716</v>
      </c>
      <c r="CR22">
        <f t="shared" si="47"/>
        <v>250.10000000000008</v>
      </c>
      <c r="CS22">
        <f t="shared" si="48"/>
        <v>17.999999999999829</v>
      </c>
      <c r="CT22">
        <f t="shared" si="49"/>
        <v>4.3999999999999986</v>
      </c>
      <c r="CU22">
        <f t="shared" si="50"/>
        <v>0.29999999999999716</v>
      </c>
      <c r="CV22" s="12">
        <f t="shared" si="51"/>
        <v>4.5999999999999943</v>
      </c>
      <c r="CW22">
        <f t="shared" si="52"/>
        <v>0.20000000000000284</v>
      </c>
      <c r="CX22">
        <f t="shared" si="53"/>
        <v>280.59999999999968</v>
      </c>
      <c r="CY22">
        <f t="shared" si="54"/>
        <v>12.000000000000171</v>
      </c>
      <c r="CZ22">
        <f t="shared" si="55"/>
        <v>4.7999999999999972</v>
      </c>
      <c r="DA22">
        <f t="shared" si="56"/>
        <v>0.20000000000000284</v>
      </c>
      <c r="DB22" s="12">
        <f t="shared" si="57"/>
        <v>3.8999999999999915</v>
      </c>
      <c r="DC22">
        <f t="shared" si="58"/>
        <v>0.30000000000000426</v>
      </c>
      <c r="DD22">
        <f t="shared" si="59"/>
        <v>237.89999999999947</v>
      </c>
      <c r="DE22">
        <f t="shared" si="60"/>
        <v>18.000000000000256</v>
      </c>
      <c r="DF22">
        <f t="shared" si="61"/>
        <v>4.1999999999999957</v>
      </c>
      <c r="DG22">
        <f t="shared" si="62"/>
        <v>0.30000000000000426</v>
      </c>
      <c r="DH22" s="12">
        <f t="shared" si="63"/>
        <v>3</v>
      </c>
      <c r="DI22">
        <f t="shared" si="64"/>
        <v>0.19999999999999929</v>
      </c>
      <c r="DJ22">
        <f t="shared" si="65"/>
        <v>183</v>
      </c>
      <c r="DK22">
        <f t="shared" si="66"/>
        <v>11.999999999999957</v>
      </c>
      <c r="DL22">
        <f t="shared" si="67"/>
        <v>3.1999999999999993</v>
      </c>
      <c r="DM22">
        <f t="shared" si="68"/>
        <v>0.19999999999999929</v>
      </c>
      <c r="DN22" s="12">
        <f t="shared" si="82"/>
        <v>3.8000000000000007</v>
      </c>
      <c r="DO22">
        <f t="shared" si="83"/>
        <v>0.19999999999999929</v>
      </c>
      <c r="DP22">
        <f t="shared" si="84"/>
        <v>231.80000000000004</v>
      </c>
      <c r="DQ22">
        <f t="shared" si="85"/>
        <v>11.999999999999957</v>
      </c>
      <c r="DR22">
        <f t="shared" si="86"/>
        <v>4</v>
      </c>
      <c r="DS22">
        <f t="shared" si="87"/>
        <v>0.19999999999999929</v>
      </c>
      <c r="DU22" t="e">
        <f>AVERAGE(DV17:DV31)</f>
        <v>#VALUE!</v>
      </c>
      <c r="DV22" s="41">
        <f t="shared" si="88"/>
        <v>-48.80000000000004</v>
      </c>
      <c r="DW22">
        <f t="shared" si="78"/>
        <v>-6.0999999999996817</v>
      </c>
      <c r="DX22">
        <f t="shared" si="79"/>
        <v>24.39999999999992</v>
      </c>
      <c r="DY22">
        <f t="shared" si="80"/>
        <v>-18.300000000000296</v>
      </c>
      <c r="DZ22">
        <f t="shared" si="81"/>
        <v>-1.8947806286936004E-14</v>
      </c>
    </row>
    <row r="23" spans="1:132" ht="16.5" thickTop="1" thickBot="1">
      <c r="A23" s="14">
        <v>44475</v>
      </c>
      <c r="B23" s="34">
        <v>25</v>
      </c>
      <c r="C23" s="34">
        <v>25.1</v>
      </c>
      <c r="D23" s="75">
        <v>30.1</v>
      </c>
      <c r="E23" s="103">
        <v>30.1</v>
      </c>
      <c r="F23" s="103">
        <v>30.6</v>
      </c>
      <c r="G23" s="133">
        <v>35.5</v>
      </c>
      <c r="H23" s="91">
        <v>35.5</v>
      </c>
      <c r="I23" s="91">
        <v>35.799999999999997</v>
      </c>
      <c r="J23" s="134">
        <v>40.9</v>
      </c>
      <c r="K23" s="95">
        <v>40.9</v>
      </c>
      <c r="L23" s="95">
        <v>41.2</v>
      </c>
      <c r="M23" s="135">
        <v>45.7</v>
      </c>
      <c r="N23" s="99">
        <v>45.7</v>
      </c>
      <c r="O23" s="99">
        <v>45.9</v>
      </c>
      <c r="P23" s="136">
        <v>50.4</v>
      </c>
      <c r="Q23" s="109"/>
      <c r="R23" s="109"/>
      <c r="Y23">
        <f t="shared" si="1"/>
        <v>500</v>
      </c>
      <c r="Z23">
        <f t="shared" si="2"/>
        <v>10.000000000000142</v>
      </c>
      <c r="AA23" s="4">
        <f t="shared" si="3"/>
        <v>489.99999999999989</v>
      </c>
      <c r="AB23" s="4">
        <f t="shared" si="4"/>
        <v>50</v>
      </c>
      <c r="AC23" s="1">
        <f t="shared" si="5"/>
        <v>510.00000000000011</v>
      </c>
      <c r="AD23" s="1">
        <f t="shared" si="6"/>
        <v>29.999999999999716</v>
      </c>
      <c r="AE23" s="2">
        <f t="shared" si="7"/>
        <v>450</v>
      </c>
      <c r="AF23" s="2">
        <f t="shared" si="8"/>
        <v>30.000000000000426</v>
      </c>
      <c r="AG23" s="3">
        <f t="shared" si="9"/>
        <v>450</v>
      </c>
      <c r="AH23" s="3">
        <f t="shared" si="10"/>
        <v>19.999999999999574</v>
      </c>
      <c r="AL23">
        <f t="shared" si="11"/>
        <v>420</v>
      </c>
      <c r="AM23">
        <f t="shared" si="12"/>
        <v>8.4000000000001194</v>
      </c>
      <c r="AN23">
        <f t="shared" si="13"/>
        <v>411.59999999999991</v>
      </c>
      <c r="AO23">
        <f t="shared" si="14"/>
        <v>42</v>
      </c>
      <c r="AP23">
        <f t="shared" si="15"/>
        <v>428.40000000000009</v>
      </c>
      <c r="AQ23">
        <f t="shared" si="16"/>
        <v>25.199999999999761</v>
      </c>
      <c r="AR23">
        <f t="shared" si="17"/>
        <v>378</v>
      </c>
      <c r="AS23">
        <f t="shared" si="18"/>
        <v>25.200000000000358</v>
      </c>
      <c r="AT23">
        <f t="shared" si="19"/>
        <v>378</v>
      </c>
      <c r="AU23">
        <f t="shared" si="20"/>
        <v>16.799999999999642</v>
      </c>
      <c r="AY23">
        <f t="shared" si="21"/>
        <v>33.599999999999881</v>
      </c>
      <c r="AZ23">
        <f t="shared" si="22"/>
        <v>16.799999999999642</v>
      </c>
      <c r="BA23">
        <f t="shared" si="23"/>
        <v>16.800000000000239</v>
      </c>
      <c r="BB23">
        <f t="shared" si="24"/>
        <v>8.3999999999995225</v>
      </c>
      <c r="BC23">
        <f t="shared" si="25"/>
        <v>13.999999999999801</v>
      </c>
      <c r="BD23">
        <f t="shared" si="69"/>
        <v>-8.4000000000000909</v>
      </c>
      <c r="BE23">
        <f t="shared" si="70"/>
        <v>8.4000000000000909</v>
      </c>
      <c r="BF23">
        <f t="shared" si="71"/>
        <v>-42</v>
      </c>
      <c r="BG23">
        <f t="shared" si="72"/>
        <v>-42</v>
      </c>
      <c r="BH23">
        <f t="shared" si="73"/>
        <v>-25.199999999999971</v>
      </c>
      <c r="BK23" s="77">
        <f t="shared" si="74"/>
        <v>300.05500000000001</v>
      </c>
      <c r="BL23" s="77">
        <f t="shared" si="75"/>
        <v>6.0011000000000854</v>
      </c>
      <c r="BM23" s="296">
        <f t="shared" si="26"/>
        <v>294.05389999999994</v>
      </c>
      <c r="BN23" s="296">
        <f t="shared" si="27"/>
        <v>30.005500000000001</v>
      </c>
      <c r="BO23" s="297">
        <f t="shared" si="28"/>
        <v>306.05610000000007</v>
      </c>
      <c r="BP23" s="297">
        <f t="shared" si="29"/>
        <v>18.003299999999829</v>
      </c>
      <c r="BQ23" s="298">
        <f t="shared" si="30"/>
        <v>270.04950000000002</v>
      </c>
      <c r="BR23" s="298">
        <f t="shared" si="31"/>
        <v>18.003300000000255</v>
      </c>
      <c r="BS23" s="299">
        <f t="shared" si="32"/>
        <v>270.04950000000002</v>
      </c>
      <c r="BT23" s="299">
        <f t="shared" si="33"/>
        <v>12.002199999999744</v>
      </c>
      <c r="BU23" s="77"/>
      <c r="BV23" s="77"/>
      <c r="BW23" s="77"/>
      <c r="BX23" s="77"/>
      <c r="BY23" s="77"/>
      <c r="CD23" s="12">
        <f t="shared" si="35"/>
        <v>4.8999999999999986</v>
      </c>
      <c r="CE23">
        <f t="shared" si="36"/>
        <v>0.10000000000000142</v>
      </c>
      <c r="CF23">
        <f t="shared" si="76"/>
        <v>298.89999999999992</v>
      </c>
      <c r="CG23">
        <f t="shared" si="77"/>
        <v>6.0000000000000853</v>
      </c>
      <c r="CH23">
        <f t="shared" si="37"/>
        <v>5</v>
      </c>
      <c r="CI23">
        <f t="shared" si="38"/>
        <v>0.10000000000000142</v>
      </c>
      <c r="CJ23" s="12">
        <f t="shared" si="39"/>
        <v>4.3999999999999986</v>
      </c>
      <c r="CK23">
        <f t="shared" si="40"/>
        <v>0.5</v>
      </c>
      <c r="CL23">
        <f t="shared" si="41"/>
        <v>268.39999999999992</v>
      </c>
      <c r="CM23">
        <f t="shared" si="42"/>
        <v>30</v>
      </c>
      <c r="CN23">
        <f t="shared" si="43"/>
        <v>4.8999999999999986</v>
      </c>
      <c r="CO23">
        <f t="shared" si="44"/>
        <v>0.5</v>
      </c>
      <c r="CP23" s="12">
        <f t="shared" si="45"/>
        <v>4.8000000000000043</v>
      </c>
      <c r="CQ23">
        <f t="shared" si="46"/>
        <v>0.29999999999999716</v>
      </c>
      <c r="CR23">
        <f t="shared" si="47"/>
        <v>292.80000000000024</v>
      </c>
      <c r="CS23">
        <f t="shared" si="48"/>
        <v>17.999999999999829</v>
      </c>
      <c r="CT23">
        <f t="shared" si="49"/>
        <v>5.1000000000000014</v>
      </c>
      <c r="CU23">
        <f t="shared" si="50"/>
        <v>0.29999999999999716</v>
      </c>
      <c r="CV23" s="12">
        <f t="shared" si="51"/>
        <v>4.1999999999999957</v>
      </c>
      <c r="CW23">
        <f t="shared" si="52"/>
        <v>0.30000000000000426</v>
      </c>
      <c r="CX23">
        <f t="shared" si="53"/>
        <v>256.19999999999976</v>
      </c>
      <c r="CY23">
        <f t="shared" si="54"/>
        <v>18.000000000000256</v>
      </c>
      <c r="CZ23">
        <f t="shared" si="55"/>
        <v>4.5</v>
      </c>
      <c r="DA23">
        <f t="shared" si="56"/>
        <v>0.30000000000000426</v>
      </c>
      <c r="DB23" s="12">
        <f t="shared" si="57"/>
        <v>4.3000000000000043</v>
      </c>
      <c r="DC23">
        <f t="shared" si="58"/>
        <v>0.19999999999999574</v>
      </c>
      <c r="DD23">
        <f t="shared" si="59"/>
        <v>262.30000000000024</v>
      </c>
      <c r="DE23">
        <f t="shared" si="60"/>
        <v>11.999999999999744</v>
      </c>
      <c r="DF23">
        <f t="shared" si="61"/>
        <v>4.5</v>
      </c>
      <c r="DG23">
        <f t="shared" si="62"/>
        <v>0.19999999999999574</v>
      </c>
      <c r="DH23" s="500">
        <f>(((((DL23-DM23)*0.06)/20)*1000)*$CC$16)/$CC$15</f>
        <v>1.8000000000000038</v>
      </c>
      <c r="DI23" s="266">
        <f>((((DM23*0.06)/20)*1000)*$CC$16)/$CC$15</f>
        <v>0.29999999999999355</v>
      </c>
      <c r="DJ23" s="266">
        <f t="shared" si="65"/>
        <v>109.80000000000024</v>
      </c>
      <c r="DK23" s="266">
        <f t="shared" si="66"/>
        <v>17.999999999999613</v>
      </c>
      <c r="DL23" s="266">
        <f>S54-R54</f>
        <v>0.69999999999999929</v>
      </c>
      <c r="DM23" s="266">
        <f t="shared" si="68"/>
        <v>9.9999999999997868E-2</v>
      </c>
      <c r="DN23" s="500">
        <f>(((((DR23-DS23)*0.06)/20)*1000)*$CC$16)/$CC$15</f>
        <v>4.5</v>
      </c>
      <c r="DO23" s="266">
        <f>((((DS23*0.06)/20)*1000)*$CC$16)/$CC$15</f>
        <v>0</v>
      </c>
      <c r="DP23">
        <f t="shared" si="84"/>
        <v>274.5</v>
      </c>
      <c r="DQ23">
        <f t="shared" si="85"/>
        <v>0</v>
      </c>
      <c r="DR23">
        <f t="shared" si="86"/>
        <v>1.5</v>
      </c>
      <c r="DS23">
        <f t="shared" si="87"/>
        <v>0</v>
      </c>
      <c r="DV23" s="41" t="s">
        <v>182</v>
      </c>
      <c r="DW23">
        <f t="shared" si="78"/>
        <v>-6.0999999999996817</v>
      </c>
      <c r="DX23">
        <f t="shared" si="79"/>
        <v>-42.700000000000159</v>
      </c>
      <c r="DY23">
        <f t="shared" si="80"/>
        <v>-36.599999999999682</v>
      </c>
      <c r="DZ23">
        <f t="shared" si="81"/>
        <v>-28.466666666666509</v>
      </c>
    </row>
    <row r="24" spans="1:132" ht="16.5" thickTop="1" thickBot="1">
      <c r="A24" s="14">
        <v>44477</v>
      </c>
      <c r="B24" s="34">
        <v>24</v>
      </c>
      <c r="C24" s="34">
        <v>24.5</v>
      </c>
      <c r="D24" s="75">
        <v>29.3</v>
      </c>
      <c r="E24" s="103">
        <v>29.3</v>
      </c>
      <c r="F24" s="103">
        <v>29.7</v>
      </c>
      <c r="G24" s="133">
        <v>34.299999999999997</v>
      </c>
      <c r="H24" s="91">
        <v>34.299999999999997</v>
      </c>
      <c r="I24" s="91">
        <v>34.6</v>
      </c>
      <c r="J24" s="134">
        <v>38.799999999999997</v>
      </c>
      <c r="K24" s="95">
        <v>38.799999999999997</v>
      </c>
      <c r="L24" s="95">
        <v>39</v>
      </c>
      <c r="M24" s="135">
        <v>43.6</v>
      </c>
      <c r="N24" s="99">
        <v>43.6</v>
      </c>
      <c r="O24" s="99">
        <v>44</v>
      </c>
      <c r="P24" s="136">
        <v>48.3</v>
      </c>
      <c r="Q24" s="109"/>
      <c r="R24" s="109"/>
      <c r="Y24">
        <f t="shared" si="1"/>
        <v>480.00000000000006</v>
      </c>
      <c r="Z24">
        <f t="shared" si="2"/>
        <v>50</v>
      </c>
      <c r="AA24" s="4">
        <f t="shared" si="3"/>
        <v>459.99999999999977</v>
      </c>
      <c r="AB24" s="4">
        <f t="shared" si="4"/>
        <v>39.999999999999858</v>
      </c>
      <c r="AC24" s="1">
        <f t="shared" si="5"/>
        <v>419.99999999999955</v>
      </c>
      <c r="AD24" s="1">
        <f t="shared" si="6"/>
        <v>30.000000000000426</v>
      </c>
      <c r="AE24" s="2">
        <f t="shared" si="7"/>
        <v>460.00000000000011</v>
      </c>
      <c r="AF24" s="2">
        <f t="shared" si="8"/>
        <v>20.000000000000284</v>
      </c>
      <c r="AG24" s="3">
        <f t="shared" si="9"/>
        <v>429.99999999999972</v>
      </c>
      <c r="AH24" s="3">
        <f t="shared" si="10"/>
        <v>39.999999999999858</v>
      </c>
      <c r="AL24">
        <f t="shared" si="11"/>
        <v>403.20000000000005</v>
      </c>
      <c r="AM24">
        <f t="shared" si="12"/>
        <v>42</v>
      </c>
      <c r="AN24">
        <f t="shared" si="13"/>
        <v>386.39999999999981</v>
      </c>
      <c r="AO24">
        <f t="shared" si="14"/>
        <v>33.599999999999881</v>
      </c>
      <c r="AP24">
        <f t="shared" si="15"/>
        <v>352.79999999999961</v>
      </c>
      <c r="AQ24">
        <f t="shared" si="16"/>
        <v>25.200000000000358</v>
      </c>
      <c r="AR24">
        <f t="shared" si="17"/>
        <v>386.40000000000009</v>
      </c>
      <c r="AS24">
        <f t="shared" si="18"/>
        <v>16.800000000000239</v>
      </c>
      <c r="AT24">
        <f t="shared" si="19"/>
        <v>361.19999999999976</v>
      </c>
      <c r="AU24">
        <f t="shared" si="20"/>
        <v>33.599999999999881</v>
      </c>
      <c r="AY24">
        <f t="shared" si="21"/>
        <v>-8.4000000000001194</v>
      </c>
      <c r="AZ24">
        <f t="shared" si="22"/>
        <v>-16.799999999999642</v>
      </c>
      <c r="BA24">
        <f t="shared" si="23"/>
        <v>-25.199999999999761</v>
      </c>
      <c r="BB24">
        <f t="shared" si="24"/>
        <v>-8.4000000000001194</v>
      </c>
      <c r="BC24">
        <f t="shared" si="25"/>
        <v>-16.799999999999841</v>
      </c>
      <c r="BD24">
        <f t="shared" si="69"/>
        <v>-16.800000000000239</v>
      </c>
      <c r="BE24">
        <f t="shared" si="70"/>
        <v>-50.400000000000432</v>
      </c>
      <c r="BF24">
        <f t="shared" si="71"/>
        <v>-16.799999999999955</v>
      </c>
      <c r="BG24">
        <f t="shared" si="72"/>
        <v>-42.000000000000284</v>
      </c>
      <c r="BH24">
        <f t="shared" si="73"/>
        <v>-36.400000000000226</v>
      </c>
      <c r="BK24" s="77">
        <f t="shared" si="74"/>
        <v>288.05280000000005</v>
      </c>
      <c r="BL24" s="77">
        <f t="shared" si="75"/>
        <v>30.005500000000001</v>
      </c>
      <c r="BM24" s="296">
        <f t="shared" si="26"/>
        <v>276.05059999999986</v>
      </c>
      <c r="BN24" s="296">
        <f t="shared" si="27"/>
        <v>24.004399999999915</v>
      </c>
      <c r="BO24" s="297">
        <f t="shared" si="28"/>
        <v>252.04619999999974</v>
      </c>
      <c r="BP24" s="297">
        <f t="shared" si="29"/>
        <v>18.003300000000255</v>
      </c>
      <c r="BQ24" s="298">
        <f t="shared" si="30"/>
        <v>276.05060000000009</v>
      </c>
      <c r="BR24" s="298">
        <f t="shared" si="31"/>
        <v>12.002200000000171</v>
      </c>
      <c r="BS24" s="299">
        <f t="shared" si="32"/>
        <v>258.04729999999984</v>
      </c>
      <c r="BT24" s="299">
        <f t="shared" si="33"/>
        <v>24.004399999999915</v>
      </c>
      <c r="BU24" s="77"/>
      <c r="BV24" s="77"/>
      <c r="BW24" s="77"/>
      <c r="BX24" s="77"/>
      <c r="BY24" s="77" t="s">
        <v>1798</v>
      </c>
      <c r="CD24" s="12">
        <f t="shared" si="35"/>
        <v>4.3000000000000007</v>
      </c>
      <c r="CE24">
        <f t="shared" si="36"/>
        <v>0.5</v>
      </c>
      <c r="CF24">
        <f t="shared" si="76"/>
        <v>262.30000000000007</v>
      </c>
      <c r="CG24">
        <f t="shared" si="77"/>
        <v>30</v>
      </c>
      <c r="CH24">
        <f t="shared" si="37"/>
        <v>4.8000000000000007</v>
      </c>
      <c r="CI24">
        <f t="shared" si="38"/>
        <v>0.5</v>
      </c>
      <c r="CJ24" s="12">
        <f t="shared" si="39"/>
        <v>4.1999999999999993</v>
      </c>
      <c r="CK24">
        <f t="shared" si="40"/>
        <v>0.39999999999999858</v>
      </c>
      <c r="CL24">
        <f t="shared" si="41"/>
        <v>256.19999999999993</v>
      </c>
      <c r="CM24">
        <f t="shared" si="42"/>
        <v>23.999999999999915</v>
      </c>
      <c r="CN24">
        <f t="shared" si="43"/>
        <v>4.5999999999999979</v>
      </c>
      <c r="CO24">
        <f t="shared" si="44"/>
        <v>0.39999999999999858</v>
      </c>
      <c r="CP24" s="12">
        <f t="shared" si="45"/>
        <v>3.8999999999999915</v>
      </c>
      <c r="CQ24">
        <f t="shared" si="46"/>
        <v>0.30000000000000426</v>
      </c>
      <c r="CR24">
        <f t="shared" si="47"/>
        <v>237.89999999999947</v>
      </c>
      <c r="CS24">
        <f t="shared" si="48"/>
        <v>18.000000000000256</v>
      </c>
      <c r="CT24">
        <f t="shared" si="49"/>
        <v>4.1999999999999957</v>
      </c>
      <c r="CU24">
        <f t="shared" si="50"/>
        <v>0.30000000000000426</v>
      </c>
      <c r="CV24" s="12">
        <f t="shared" si="51"/>
        <v>4.3999999999999986</v>
      </c>
      <c r="CW24">
        <f t="shared" si="52"/>
        <v>0.20000000000000284</v>
      </c>
      <c r="CX24">
        <f t="shared" si="53"/>
        <v>268.39999999999992</v>
      </c>
      <c r="CY24">
        <f t="shared" si="54"/>
        <v>12.000000000000171</v>
      </c>
      <c r="CZ24">
        <f t="shared" si="55"/>
        <v>4.6000000000000014</v>
      </c>
      <c r="DA24">
        <f t="shared" si="56"/>
        <v>0.20000000000000284</v>
      </c>
      <c r="DB24" s="12">
        <f t="shared" si="57"/>
        <v>3.8999999999999986</v>
      </c>
      <c r="DC24">
        <f t="shared" si="58"/>
        <v>0.39999999999999858</v>
      </c>
      <c r="DD24">
        <f t="shared" si="59"/>
        <v>237.89999999999992</v>
      </c>
      <c r="DE24">
        <f t="shared" si="60"/>
        <v>23.999999999999915</v>
      </c>
      <c r="DF24">
        <f t="shared" si="61"/>
        <v>4.2999999999999972</v>
      </c>
      <c r="DG24">
        <f t="shared" si="62"/>
        <v>0.39999999999999858</v>
      </c>
      <c r="DH24" s="500">
        <f t="shared" ref="DH24:DH34" si="89">(((((DL24-DM24)*0.06)/20)*1000)*$CC$16)/$CC$15</f>
        <v>2.4000000000000123</v>
      </c>
      <c r="DI24" s="266">
        <f t="shared" ref="DI24:DI34" si="90">((((DM24*0.06)/20)*1000)*$CC$16)/$CC$15</f>
        <v>0.29999999999999355</v>
      </c>
      <c r="DJ24">
        <f t="shared" si="65"/>
        <v>146.40000000000074</v>
      </c>
      <c r="DK24">
        <f t="shared" si="66"/>
        <v>17.999999999999613</v>
      </c>
      <c r="DL24">
        <f t="shared" si="67"/>
        <v>0.90000000000000213</v>
      </c>
      <c r="DM24">
        <f t="shared" si="68"/>
        <v>9.9999999999997868E-2</v>
      </c>
      <c r="DN24" s="500" t="s">
        <v>182</v>
      </c>
      <c r="DO24" s="266" t="s">
        <v>182</v>
      </c>
      <c r="DP24" t="s">
        <v>182</v>
      </c>
      <c r="DQ24" t="s">
        <v>182</v>
      </c>
      <c r="DR24">
        <f t="shared" si="86"/>
        <v>0.70000000000000284</v>
      </c>
      <c r="DS24">
        <f t="shared" si="87"/>
        <v>9.9999999999997868E-2</v>
      </c>
      <c r="DV24" s="41" t="e">
        <f t="shared" si="88"/>
        <v>#VALUE!</v>
      </c>
      <c r="DW24">
        <f t="shared" si="78"/>
        <v>-24.400000000000603</v>
      </c>
      <c r="DX24">
        <f t="shared" si="79"/>
        <v>6.0999999999998522</v>
      </c>
      <c r="DY24">
        <f t="shared" si="80"/>
        <v>-24.400000000000148</v>
      </c>
      <c r="DZ24">
        <f t="shared" si="81"/>
        <v>-14.233333333333633</v>
      </c>
      <c r="EA24">
        <f>AVERAGE(DZ18:DZ32)</f>
        <v>-10.031111111111075</v>
      </c>
      <c r="EB24" t="s">
        <v>1847</v>
      </c>
    </row>
    <row r="25" spans="1:132" ht="16.5" thickTop="1" thickBot="1">
      <c r="A25" s="14">
        <v>44480</v>
      </c>
      <c r="B25" s="34">
        <v>26.8</v>
      </c>
      <c r="C25" s="34">
        <v>27</v>
      </c>
      <c r="D25" s="75">
        <v>31.4</v>
      </c>
      <c r="E25" s="103">
        <v>31.4</v>
      </c>
      <c r="F25" s="103">
        <v>31.7</v>
      </c>
      <c r="G25" s="133">
        <v>36.200000000000003</v>
      </c>
      <c r="H25" s="91">
        <v>36.200000000000003</v>
      </c>
      <c r="I25" s="91">
        <v>36.6</v>
      </c>
      <c r="J25" s="134">
        <v>40.700000000000003</v>
      </c>
      <c r="K25" s="95">
        <v>40.700000000000003</v>
      </c>
      <c r="L25" s="95">
        <v>41</v>
      </c>
      <c r="M25" s="135">
        <v>45</v>
      </c>
      <c r="N25" s="99">
        <v>45</v>
      </c>
      <c r="O25" s="99">
        <v>45.4</v>
      </c>
      <c r="P25" s="136">
        <v>49.7</v>
      </c>
      <c r="Q25" s="109"/>
      <c r="R25" s="109"/>
      <c r="Y25">
        <f t="shared" si="1"/>
        <v>439.99999999999989</v>
      </c>
      <c r="Z25">
        <f t="shared" si="2"/>
        <v>19.999999999999929</v>
      </c>
      <c r="AA25" s="4">
        <f t="shared" si="3"/>
        <v>450.00000000000034</v>
      </c>
      <c r="AB25" s="4">
        <f t="shared" si="4"/>
        <v>30.000000000000071</v>
      </c>
      <c r="AC25" s="1">
        <f t="shared" si="5"/>
        <v>410.00000000000011</v>
      </c>
      <c r="AD25" s="1">
        <f t="shared" si="6"/>
        <v>39.999999999999858</v>
      </c>
      <c r="AE25" s="2">
        <f t="shared" si="7"/>
        <v>400</v>
      </c>
      <c r="AF25" s="2">
        <f t="shared" si="8"/>
        <v>29.999999999999716</v>
      </c>
      <c r="AG25" s="3">
        <f t="shared" si="9"/>
        <v>430.00000000000045</v>
      </c>
      <c r="AH25" s="3">
        <f t="shared" si="10"/>
        <v>39.999999999999858</v>
      </c>
      <c r="AL25">
        <f t="shared" si="11"/>
        <v>369.59999999999991</v>
      </c>
      <c r="AM25">
        <f t="shared" si="12"/>
        <v>16.79999999999994</v>
      </c>
      <c r="AN25">
        <f t="shared" si="13"/>
        <v>378.00000000000028</v>
      </c>
      <c r="AO25">
        <f t="shared" si="14"/>
        <v>25.20000000000006</v>
      </c>
      <c r="AP25">
        <f t="shared" si="15"/>
        <v>344.40000000000009</v>
      </c>
      <c r="AQ25">
        <f t="shared" si="16"/>
        <v>33.599999999999881</v>
      </c>
      <c r="AR25">
        <f t="shared" si="17"/>
        <v>336</v>
      </c>
      <c r="AS25">
        <f t="shared" si="18"/>
        <v>25.199999999999761</v>
      </c>
      <c r="AT25">
        <f t="shared" si="19"/>
        <v>361.20000000000039</v>
      </c>
      <c r="AU25">
        <f t="shared" si="20"/>
        <v>33.599999999999881</v>
      </c>
      <c r="AY25">
        <f t="shared" si="21"/>
        <v>8.4000000000001194</v>
      </c>
      <c r="AZ25">
        <f t="shared" si="22"/>
        <v>16.79999999999994</v>
      </c>
      <c r="BA25">
        <f t="shared" si="23"/>
        <v>8.3999999999998209</v>
      </c>
      <c r="BB25">
        <f t="shared" si="24"/>
        <v>16.79999999999994</v>
      </c>
      <c r="BC25">
        <f t="shared" si="25"/>
        <v>13.999999999999901</v>
      </c>
      <c r="BD25">
        <f t="shared" si="69"/>
        <v>8.4000000000003752</v>
      </c>
      <c r="BE25">
        <f t="shared" si="70"/>
        <v>-25.199999999999818</v>
      </c>
      <c r="BF25">
        <f t="shared" si="71"/>
        <v>-33.599999999999909</v>
      </c>
      <c r="BG25">
        <f t="shared" si="72"/>
        <v>-8.3999999999995225</v>
      </c>
      <c r="BH25">
        <f t="shared" si="73"/>
        <v>-22.39999999999975</v>
      </c>
      <c r="BK25" s="77">
        <f t="shared" si="74"/>
        <v>264.0483999999999</v>
      </c>
      <c r="BL25" s="77">
        <f t="shared" si="75"/>
        <v>12.002199999999958</v>
      </c>
      <c r="BM25" s="296">
        <f t="shared" si="26"/>
        <v>270.04950000000025</v>
      </c>
      <c r="BN25" s="296">
        <f t="shared" si="27"/>
        <v>18.003300000000042</v>
      </c>
      <c r="BO25" s="297">
        <f t="shared" si="28"/>
        <v>246.0451000000001</v>
      </c>
      <c r="BP25" s="297">
        <f t="shared" si="29"/>
        <v>24.004399999999915</v>
      </c>
      <c r="BQ25" s="298">
        <f t="shared" si="30"/>
        <v>240.04400000000001</v>
      </c>
      <c r="BR25" s="298">
        <f t="shared" si="31"/>
        <v>18.003299999999829</v>
      </c>
      <c r="BS25" s="299">
        <f t="shared" si="32"/>
        <v>258.04730000000029</v>
      </c>
      <c r="BT25" s="299">
        <f t="shared" si="33"/>
        <v>24.004399999999915</v>
      </c>
      <c r="BU25" s="77"/>
      <c r="BV25" s="77"/>
      <c r="BW25" s="77"/>
      <c r="BX25" s="77"/>
      <c r="BY25" s="77"/>
      <c r="CD25" s="12">
        <f t="shared" si="35"/>
        <v>4.1999999999999993</v>
      </c>
      <c r="CE25">
        <f t="shared" si="36"/>
        <v>0.19999999999999929</v>
      </c>
      <c r="CF25">
        <f t="shared" si="76"/>
        <v>256.19999999999993</v>
      </c>
      <c r="CG25">
        <f t="shared" si="77"/>
        <v>11.999999999999957</v>
      </c>
      <c r="CH25">
        <f t="shared" si="37"/>
        <v>4.3999999999999986</v>
      </c>
      <c r="CI25">
        <f t="shared" si="38"/>
        <v>0.19999999999999929</v>
      </c>
      <c r="CJ25" s="12">
        <f t="shared" si="39"/>
        <v>4.2000000000000028</v>
      </c>
      <c r="CK25">
        <f t="shared" si="40"/>
        <v>0.30000000000000071</v>
      </c>
      <c r="CL25">
        <f t="shared" si="41"/>
        <v>256.20000000000016</v>
      </c>
      <c r="CM25">
        <f t="shared" si="42"/>
        <v>18.000000000000043</v>
      </c>
      <c r="CN25">
        <f t="shared" si="43"/>
        <v>4.5000000000000036</v>
      </c>
      <c r="CO25">
        <f t="shared" si="44"/>
        <v>0.30000000000000071</v>
      </c>
      <c r="CP25" s="12">
        <f t="shared" si="45"/>
        <v>3.7000000000000028</v>
      </c>
      <c r="CQ25">
        <f t="shared" si="46"/>
        <v>0.39999999999999858</v>
      </c>
      <c r="CR25">
        <f t="shared" si="47"/>
        <v>225.70000000000016</v>
      </c>
      <c r="CS25">
        <f t="shared" si="48"/>
        <v>23.999999999999915</v>
      </c>
      <c r="CT25">
        <f t="shared" si="49"/>
        <v>4.1000000000000014</v>
      </c>
      <c r="CU25">
        <f t="shared" si="50"/>
        <v>0.39999999999999858</v>
      </c>
      <c r="CV25" s="12">
        <f t="shared" si="51"/>
        <v>3.7000000000000028</v>
      </c>
      <c r="CW25">
        <f t="shared" si="52"/>
        <v>0.29999999999999716</v>
      </c>
      <c r="CX25">
        <f t="shared" si="53"/>
        <v>225.70000000000016</v>
      </c>
      <c r="CY25">
        <f t="shared" si="54"/>
        <v>17.999999999999829</v>
      </c>
      <c r="CZ25">
        <f t="shared" si="55"/>
        <v>4</v>
      </c>
      <c r="DA25">
        <f t="shared" si="56"/>
        <v>0.29999999999999716</v>
      </c>
      <c r="DB25" s="12">
        <f t="shared" si="57"/>
        <v>3.9000000000000057</v>
      </c>
      <c r="DC25">
        <f t="shared" si="58"/>
        <v>0.39999999999999858</v>
      </c>
      <c r="DD25">
        <f t="shared" si="59"/>
        <v>237.90000000000035</v>
      </c>
      <c r="DE25">
        <f t="shared" si="60"/>
        <v>23.999999999999915</v>
      </c>
      <c r="DF25">
        <f t="shared" si="61"/>
        <v>4.3000000000000043</v>
      </c>
      <c r="DG25">
        <f t="shared" si="62"/>
        <v>0.39999999999999858</v>
      </c>
      <c r="DH25" s="500">
        <f t="shared" si="89"/>
        <v>4.2000000000000064</v>
      </c>
      <c r="DI25" s="266">
        <f t="shared" si="90"/>
        <v>0.29999999999999355</v>
      </c>
      <c r="DJ25">
        <f t="shared" si="65"/>
        <v>256.20000000000039</v>
      </c>
      <c r="DK25">
        <f t="shared" si="66"/>
        <v>17.999999999999613</v>
      </c>
      <c r="DL25">
        <f t="shared" si="67"/>
        <v>1.5</v>
      </c>
      <c r="DM25">
        <f t="shared" si="68"/>
        <v>9.9999999999997868E-2</v>
      </c>
      <c r="DN25" s="500">
        <f t="shared" ref="DN25:DN32" si="91">(((((DR25-DS25)*0.06)/20)*1000)*$CC$16)/$CC$15</f>
        <v>4.7999999999999936</v>
      </c>
      <c r="DO25" s="266">
        <f t="shared" ref="DO25:DO34" si="92">((((DS25*0.06)/20)*1000)*$CC$16)/$CC$15</f>
        <v>0.30000000000000426</v>
      </c>
      <c r="DP25">
        <f>DN25*$CC$18</f>
        <v>292.79999999999961</v>
      </c>
      <c r="DQ25">
        <f>DO25*$CC$19</f>
        <v>18.000000000000256</v>
      </c>
      <c r="DR25">
        <f t="shared" si="86"/>
        <v>1.6999999999999993</v>
      </c>
      <c r="DS25">
        <f t="shared" si="87"/>
        <v>0.10000000000000142</v>
      </c>
      <c r="DV25" s="41">
        <f t="shared" si="88"/>
        <v>-36.599999999999227</v>
      </c>
      <c r="DW25">
        <f t="shared" si="78"/>
        <v>-30.499999999999773</v>
      </c>
      <c r="DX25">
        <f t="shared" si="79"/>
        <v>-30.499999999999773</v>
      </c>
      <c r="DY25">
        <f t="shared" si="80"/>
        <v>-18.299999999999585</v>
      </c>
      <c r="DZ25">
        <f t="shared" si="81"/>
        <v>-26.433333333333042</v>
      </c>
    </row>
    <row r="26" spans="1:132" ht="16.5" thickTop="1" thickBot="1">
      <c r="A26" s="14">
        <v>44482</v>
      </c>
      <c r="B26" s="34">
        <v>25.1</v>
      </c>
      <c r="C26" s="34">
        <v>25.2</v>
      </c>
      <c r="D26" s="75">
        <v>28.7</v>
      </c>
      <c r="E26" s="103">
        <v>28.7</v>
      </c>
      <c r="F26" s="103">
        <v>29</v>
      </c>
      <c r="G26" s="133">
        <v>32.5</v>
      </c>
      <c r="H26" s="91">
        <v>32.5</v>
      </c>
      <c r="I26" s="91">
        <v>32.799999999999997</v>
      </c>
      <c r="J26" s="134">
        <v>36.700000000000003</v>
      </c>
      <c r="K26" s="95">
        <v>36.700000000000003</v>
      </c>
      <c r="L26" s="95">
        <v>36.9</v>
      </c>
      <c r="M26" s="135">
        <v>41</v>
      </c>
      <c r="N26" s="99">
        <v>41</v>
      </c>
      <c r="O26" s="99">
        <v>41.3</v>
      </c>
      <c r="P26" s="136">
        <v>45.2</v>
      </c>
      <c r="Q26" s="109"/>
      <c r="R26" s="109"/>
      <c r="Y26">
        <f t="shared" si="1"/>
        <v>350</v>
      </c>
      <c r="Z26">
        <f t="shared" si="2"/>
        <v>9.9999999999997868</v>
      </c>
      <c r="AA26" s="4">
        <f t="shared" si="3"/>
        <v>350</v>
      </c>
      <c r="AB26" s="4">
        <f t="shared" si="4"/>
        <v>30.000000000000071</v>
      </c>
      <c r="AC26" s="1">
        <f t="shared" si="5"/>
        <v>390.00000000000057</v>
      </c>
      <c r="AD26" s="1">
        <f t="shared" si="6"/>
        <v>29.999999999999716</v>
      </c>
      <c r="AE26" s="2">
        <f t="shared" si="7"/>
        <v>410.00000000000011</v>
      </c>
      <c r="AF26" s="2">
        <f t="shared" si="8"/>
        <v>19.999999999999574</v>
      </c>
      <c r="AG26" s="3">
        <f t="shared" si="9"/>
        <v>390.00000000000057</v>
      </c>
      <c r="AH26" s="3">
        <f t="shared" si="10"/>
        <v>29.999999999999716</v>
      </c>
      <c r="AL26">
        <f t="shared" si="11"/>
        <v>294</v>
      </c>
      <c r="AM26">
        <f t="shared" si="12"/>
        <v>8.3999999999998209</v>
      </c>
      <c r="AN26">
        <f t="shared" si="13"/>
        <v>294</v>
      </c>
      <c r="AO26">
        <f t="shared" si="14"/>
        <v>25.20000000000006</v>
      </c>
      <c r="AP26">
        <f t="shared" si="15"/>
        <v>327.60000000000048</v>
      </c>
      <c r="AQ26">
        <f t="shared" si="16"/>
        <v>25.199999999999761</v>
      </c>
      <c r="AR26">
        <f t="shared" si="17"/>
        <v>344.40000000000009</v>
      </c>
      <c r="AS26">
        <f t="shared" si="18"/>
        <v>16.799999999999642</v>
      </c>
      <c r="AT26">
        <f t="shared" si="19"/>
        <v>327.60000000000048</v>
      </c>
      <c r="AU26">
        <f t="shared" si="20"/>
        <v>25.199999999999761</v>
      </c>
      <c r="AY26">
        <f t="shared" si="21"/>
        <v>16.800000000000239</v>
      </c>
      <c r="AZ26">
        <f t="shared" si="22"/>
        <v>16.79999999999994</v>
      </c>
      <c r="BA26">
        <f t="shared" si="23"/>
        <v>8.3999999999998209</v>
      </c>
      <c r="BB26">
        <f t="shared" si="24"/>
        <v>16.79999999999994</v>
      </c>
      <c r="BC26">
        <f t="shared" si="25"/>
        <v>13.999999999999901</v>
      </c>
      <c r="BD26">
        <f t="shared" si="69"/>
        <v>0</v>
      </c>
      <c r="BE26">
        <f t="shared" si="70"/>
        <v>33.600000000000477</v>
      </c>
      <c r="BF26">
        <f t="shared" si="71"/>
        <v>50.400000000000091</v>
      </c>
      <c r="BG26">
        <f t="shared" si="72"/>
        <v>33.600000000000477</v>
      </c>
      <c r="BH26">
        <f t="shared" si="73"/>
        <v>39.200000000000351</v>
      </c>
      <c r="BK26" s="77">
        <f t="shared" si="74"/>
        <v>210.0385</v>
      </c>
      <c r="BL26" s="77">
        <f t="shared" si="75"/>
        <v>6.0010999999998722</v>
      </c>
      <c r="BM26" s="296">
        <f t="shared" si="26"/>
        <v>210.0385</v>
      </c>
      <c r="BN26" s="296">
        <f t="shared" si="27"/>
        <v>18.003300000000042</v>
      </c>
      <c r="BO26" s="297">
        <f t="shared" si="28"/>
        <v>234.04290000000034</v>
      </c>
      <c r="BP26" s="297">
        <f t="shared" si="29"/>
        <v>18.003299999999829</v>
      </c>
      <c r="BQ26" s="298">
        <f t="shared" si="30"/>
        <v>246.0451000000001</v>
      </c>
      <c r="BR26" s="298">
        <f t="shared" si="31"/>
        <v>12.002199999999744</v>
      </c>
      <c r="BS26" s="299">
        <f t="shared" si="32"/>
        <v>234.04290000000034</v>
      </c>
      <c r="BT26" s="299">
        <f t="shared" si="33"/>
        <v>18.003299999999829</v>
      </c>
      <c r="BU26" s="77"/>
      <c r="BV26" s="77"/>
      <c r="BW26" s="77"/>
      <c r="BX26" s="77"/>
      <c r="BY26" s="77"/>
      <c r="CD26" s="12">
        <f t="shared" si="35"/>
        <v>3.4000000000000021</v>
      </c>
      <c r="CE26">
        <f t="shared" si="36"/>
        <v>9.9999999999997868E-2</v>
      </c>
      <c r="CF26">
        <f t="shared" si="76"/>
        <v>207.40000000000012</v>
      </c>
      <c r="CG26">
        <f t="shared" si="77"/>
        <v>5.9999999999998721</v>
      </c>
      <c r="CH26">
        <f t="shared" si="37"/>
        <v>3.5</v>
      </c>
      <c r="CI26">
        <f t="shared" si="38"/>
        <v>9.9999999999997868E-2</v>
      </c>
      <c r="CJ26" s="12">
        <f t="shared" si="39"/>
        <v>3.1999999999999993</v>
      </c>
      <c r="CK26">
        <f t="shared" si="40"/>
        <v>0.30000000000000071</v>
      </c>
      <c r="CL26">
        <f t="shared" si="41"/>
        <v>195.19999999999996</v>
      </c>
      <c r="CM26">
        <f t="shared" si="42"/>
        <v>18.000000000000043</v>
      </c>
      <c r="CN26">
        <f t="shared" si="43"/>
        <v>3.5</v>
      </c>
      <c r="CO26">
        <f t="shared" si="44"/>
        <v>0.30000000000000071</v>
      </c>
      <c r="CP26" s="12">
        <f t="shared" si="45"/>
        <v>3.6000000000000085</v>
      </c>
      <c r="CQ26">
        <f t="shared" si="46"/>
        <v>0.29999999999999716</v>
      </c>
      <c r="CR26">
        <f t="shared" si="47"/>
        <v>219.60000000000053</v>
      </c>
      <c r="CS26">
        <f t="shared" si="48"/>
        <v>17.999999999999829</v>
      </c>
      <c r="CT26">
        <f t="shared" si="49"/>
        <v>3.9000000000000057</v>
      </c>
      <c r="CU26">
        <f t="shared" si="50"/>
        <v>0.29999999999999716</v>
      </c>
      <c r="CV26" s="12">
        <f t="shared" si="51"/>
        <v>3.9000000000000057</v>
      </c>
      <c r="CW26">
        <f t="shared" si="52"/>
        <v>0.19999999999999574</v>
      </c>
      <c r="CX26">
        <f t="shared" si="53"/>
        <v>237.90000000000035</v>
      </c>
      <c r="CY26">
        <f t="shared" si="54"/>
        <v>11.999999999999744</v>
      </c>
      <c r="CZ26">
        <f t="shared" si="55"/>
        <v>4.1000000000000014</v>
      </c>
      <c r="DA26">
        <f t="shared" si="56"/>
        <v>0.19999999999999574</v>
      </c>
      <c r="DB26" s="12">
        <f t="shared" si="57"/>
        <v>3.6000000000000085</v>
      </c>
      <c r="DC26">
        <f t="shared" si="58"/>
        <v>0.29999999999999716</v>
      </c>
      <c r="DD26">
        <f t="shared" si="59"/>
        <v>219.60000000000053</v>
      </c>
      <c r="DE26">
        <f t="shared" si="60"/>
        <v>17.999999999999829</v>
      </c>
      <c r="DF26">
        <f t="shared" si="61"/>
        <v>3.9000000000000057</v>
      </c>
      <c r="DG26">
        <f t="shared" si="62"/>
        <v>0.29999999999999716</v>
      </c>
      <c r="DH26" s="500">
        <f t="shared" si="89"/>
        <v>2.0999999999999979</v>
      </c>
      <c r="DI26" s="266">
        <f t="shared" si="90"/>
        <v>0.90000000000000191</v>
      </c>
      <c r="DJ26">
        <f t="shared" si="65"/>
        <v>128.09999999999988</v>
      </c>
      <c r="DK26">
        <f t="shared" si="66"/>
        <v>54.000000000000114</v>
      </c>
      <c r="DL26">
        <f t="shared" si="67"/>
        <v>1</v>
      </c>
      <c r="DM26">
        <f t="shared" si="68"/>
        <v>0.30000000000000071</v>
      </c>
      <c r="DN26" s="500" t="s">
        <v>182</v>
      </c>
      <c r="DO26" s="266">
        <f t="shared" si="92"/>
        <v>0.89999999999999125</v>
      </c>
      <c r="DP26" t="s">
        <v>182</v>
      </c>
      <c r="DQ26">
        <f>DO26*$CC$19</f>
        <v>53.999999999999474</v>
      </c>
      <c r="DR26" t="s">
        <v>182</v>
      </c>
      <c r="DS26">
        <f t="shared" si="87"/>
        <v>0.29999999999999716</v>
      </c>
      <c r="DV26" s="41" t="s">
        <v>182</v>
      </c>
      <c r="DW26">
        <f t="shared" si="78"/>
        <v>12.200000000000415</v>
      </c>
      <c r="DX26">
        <f t="shared" si="79"/>
        <v>30.500000000000227</v>
      </c>
      <c r="DY26">
        <f t="shared" si="80"/>
        <v>12.200000000000415</v>
      </c>
      <c r="DZ26">
        <f t="shared" si="81"/>
        <v>18.300000000000352</v>
      </c>
    </row>
    <row r="27" spans="1:132" ht="16.5" thickTop="1" thickBot="1">
      <c r="A27" s="14">
        <v>44483</v>
      </c>
      <c r="B27" s="34">
        <v>21.5</v>
      </c>
      <c r="C27" s="34">
        <v>21.5</v>
      </c>
      <c r="D27" s="75">
        <v>26.1</v>
      </c>
      <c r="E27" s="103">
        <v>26.1</v>
      </c>
      <c r="F27" s="103">
        <v>26.3</v>
      </c>
      <c r="G27" s="133">
        <v>30.9</v>
      </c>
      <c r="H27" s="91">
        <v>30.9</v>
      </c>
      <c r="I27" s="91">
        <v>31</v>
      </c>
      <c r="J27" s="134">
        <v>35.6</v>
      </c>
      <c r="K27" s="95">
        <v>35.6</v>
      </c>
      <c r="L27" s="95">
        <v>35.6</v>
      </c>
      <c r="M27" s="135">
        <v>40.299999999999997</v>
      </c>
      <c r="N27" s="99">
        <v>40.299999999999997</v>
      </c>
      <c r="O27" s="99">
        <v>40.5</v>
      </c>
      <c r="P27" s="136">
        <v>45</v>
      </c>
      <c r="Q27" s="109"/>
      <c r="R27" s="109"/>
      <c r="Y27">
        <f t="shared" si="1"/>
        <v>460.00000000000011</v>
      </c>
      <c r="Z27">
        <f t="shared" si="2"/>
        <v>0</v>
      </c>
      <c r="AA27" s="4">
        <f t="shared" si="3"/>
        <v>459.99999999999977</v>
      </c>
      <c r="AB27" s="4">
        <f t="shared" si="4"/>
        <v>19.999999999999929</v>
      </c>
      <c r="AC27" s="1">
        <f t="shared" si="5"/>
        <v>460.00000000000011</v>
      </c>
      <c r="AD27" s="1">
        <f t="shared" si="6"/>
        <v>10.000000000000142</v>
      </c>
      <c r="AE27" s="2">
        <f t="shared" si="7"/>
        <v>469.99999999999955</v>
      </c>
      <c r="AF27" s="2">
        <f t="shared" si="8"/>
        <v>0</v>
      </c>
      <c r="AG27" s="3">
        <f t="shared" si="9"/>
        <v>450</v>
      </c>
      <c r="AH27" s="3">
        <f t="shared" si="10"/>
        <v>20.000000000000284</v>
      </c>
      <c r="AL27">
        <f t="shared" si="11"/>
        <v>386.40000000000009</v>
      </c>
      <c r="AM27">
        <f t="shared" si="12"/>
        <v>0</v>
      </c>
      <c r="AN27">
        <f t="shared" si="13"/>
        <v>386.39999999999981</v>
      </c>
      <c r="AO27">
        <f t="shared" si="14"/>
        <v>16.79999999999994</v>
      </c>
      <c r="AP27">
        <f t="shared" si="15"/>
        <v>386.40000000000009</v>
      </c>
      <c r="AQ27">
        <f t="shared" si="16"/>
        <v>8.4000000000001194</v>
      </c>
      <c r="AR27">
        <f t="shared" si="17"/>
        <v>394.79999999999961</v>
      </c>
      <c r="AS27">
        <f t="shared" si="18"/>
        <v>0</v>
      </c>
      <c r="AT27">
        <f t="shared" si="19"/>
        <v>378</v>
      </c>
      <c r="AU27">
        <f t="shared" si="20"/>
        <v>16.800000000000239</v>
      </c>
      <c r="AY27">
        <f t="shared" si="21"/>
        <v>16.79999999999994</v>
      </c>
      <c r="AZ27">
        <f t="shared" si="22"/>
        <v>8.4000000000001194</v>
      </c>
      <c r="BA27">
        <f t="shared" si="23"/>
        <v>0</v>
      </c>
      <c r="BB27">
        <f t="shared" si="24"/>
        <v>16.800000000000239</v>
      </c>
      <c r="BC27">
        <f t="shared" si="25"/>
        <v>8.4000000000001194</v>
      </c>
      <c r="BD27">
        <f t="shared" si="69"/>
        <v>0</v>
      </c>
      <c r="BE27">
        <f t="shared" si="70"/>
        <v>0</v>
      </c>
      <c r="BF27">
        <f t="shared" si="71"/>
        <v>8.3999999999995225</v>
      </c>
      <c r="BG27">
        <f t="shared" si="72"/>
        <v>-8.4000000000000909</v>
      </c>
      <c r="BH27">
        <f t="shared" si="73"/>
        <v>-1.8947806286936006E-13</v>
      </c>
      <c r="BK27" s="77">
        <f t="shared" si="74"/>
        <v>276.05060000000009</v>
      </c>
      <c r="BL27" s="77">
        <f t="shared" si="75"/>
        <v>0</v>
      </c>
      <c r="BM27" s="296">
        <f t="shared" si="26"/>
        <v>276.05059999999986</v>
      </c>
      <c r="BN27" s="296">
        <f t="shared" si="27"/>
        <v>12.002199999999958</v>
      </c>
      <c r="BO27" s="297">
        <f t="shared" si="28"/>
        <v>276.05060000000009</v>
      </c>
      <c r="BP27" s="297">
        <f t="shared" si="29"/>
        <v>6.0011000000000854</v>
      </c>
      <c r="BQ27" s="298">
        <f t="shared" si="30"/>
        <v>282.05169999999976</v>
      </c>
      <c r="BR27" s="298">
        <f t="shared" si="31"/>
        <v>0</v>
      </c>
      <c r="BS27" s="299">
        <f t="shared" si="32"/>
        <v>270.04950000000002</v>
      </c>
      <c r="BT27" s="299">
        <f t="shared" si="33"/>
        <v>12.002200000000171</v>
      </c>
      <c r="BU27" s="77"/>
      <c r="BV27" s="77"/>
      <c r="BW27" s="77"/>
      <c r="BX27" s="77"/>
      <c r="BY27" s="77"/>
      <c r="CD27" s="12">
        <f t="shared" si="35"/>
        <v>4.6000000000000014</v>
      </c>
      <c r="CE27">
        <f t="shared" si="36"/>
        <v>0</v>
      </c>
      <c r="CF27">
        <f t="shared" si="76"/>
        <v>280.60000000000008</v>
      </c>
      <c r="CG27">
        <f t="shared" si="77"/>
        <v>0</v>
      </c>
      <c r="CH27">
        <f t="shared" si="37"/>
        <v>4.6000000000000014</v>
      </c>
      <c r="CI27">
        <f t="shared" si="38"/>
        <v>0</v>
      </c>
      <c r="CJ27" s="12">
        <f t="shared" si="39"/>
        <v>4.3999999999999986</v>
      </c>
      <c r="CK27">
        <f t="shared" si="40"/>
        <v>0.19999999999999929</v>
      </c>
      <c r="CL27">
        <f t="shared" si="41"/>
        <v>268.39999999999992</v>
      </c>
      <c r="CM27">
        <f t="shared" si="42"/>
        <v>11.999999999999957</v>
      </c>
      <c r="CN27">
        <f t="shared" si="43"/>
        <v>4.5999999999999979</v>
      </c>
      <c r="CO27">
        <f t="shared" si="44"/>
        <v>0.19999999999999929</v>
      </c>
      <c r="CP27" s="12">
        <f t="shared" si="45"/>
        <v>4.5</v>
      </c>
      <c r="CQ27">
        <f t="shared" si="46"/>
        <v>0.10000000000000142</v>
      </c>
      <c r="CR27">
        <f t="shared" si="47"/>
        <v>274.5</v>
      </c>
      <c r="CS27">
        <f t="shared" si="48"/>
        <v>6.0000000000000853</v>
      </c>
      <c r="CT27">
        <f t="shared" si="49"/>
        <v>4.6000000000000014</v>
      </c>
      <c r="CU27">
        <f t="shared" si="50"/>
        <v>0.10000000000000142</v>
      </c>
      <c r="CV27" s="12">
        <f t="shared" si="51"/>
        <v>4.6999999999999957</v>
      </c>
      <c r="CW27">
        <f t="shared" si="52"/>
        <v>0</v>
      </c>
      <c r="CX27">
        <f t="shared" si="53"/>
        <v>286.69999999999976</v>
      </c>
      <c r="CY27">
        <f t="shared" si="54"/>
        <v>0</v>
      </c>
      <c r="CZ27">
        <f t="shared" si="55"/>
        <v>4.6999999999999957</v>
      </c>
      <c r="DA27">
        <f t="shared" si="56"/>
        <v>0</v>
      </c>
      <c r="DB27" s="12">
        <f t="shared" si="57"/>
        <v>4.2999999999999972</v>
      </c>
      <c r="DC27">
        <f t="shared" si="58"/>
        <v>0.20000000000000284</v>
      </c>
      <c r="DD27">
        <f t="shared" si="59"/>
        <v>262.29999999999984</v>
      </c>
      <c r="DE27">
        <f t="shared" si="60"/>
        <v>12.000000000000171</v>
      </c>
      <c r="DF27">
        <f t="shared" si="61"/>
        <v>4.5</v>
      </c>
      <c r="DG27">
        <f t="shared" si="62"/>
        <v>0.20000000000000284</v>
      </c>
      <c r="DH27" s="500">
        <f t="shared" si="89"/>
        <v>4.1999999999999984</v>
      </c>
      <c r="DI27" s="266">
        <f t="shared" si="90"/>
        <v>0.30000000000000154</v>
      </c>
      <c r="DJ27">
        <f t="shared" si="65"/>
        <v>256.19999999999987</v>
      </c>
      <c r="DK27">
        <f t="shared" si="66"/>
        <v>18.000000000000092</v>
      </c>
      <c r="DL27">
        <f t="shared" si="67"/>
        <v>1.5</v>
      </c>
      <c r="DM27">
        <f t="shared" si="68"/>
        <v>0.10000000000000053</v>
      </c>
      <c r="DN27" s="500">
        <f t="shared" si="91"/>
        <v>3.8999999999999964</v>
      </c>
      <c r="DO27" s="266">
        <f t="shared" si="92"/>
        <v>0.90000000000000191</v>
      </c>
      <c r="DP27">
        <f>DN27*$CC$18</f>
        <v>237.89999999999978</v>
      </c>
      <c r="DQ27">
        <f>DO27*$CC$19</f>
        <v>54.000000000000114</v>
      </c>
      <c r="DR27">
        <f t="shared" ref="DR27:DR32" si="93">V58-U58</f>
        <v>1.5999999999999996</v>
      </c>
      <c r="DS27">
        <f t="shared" si="87"/>
        <v>0.30000000000000071</v>
      </c>
      <c r="DV27" s="41">
        <f t="shared" si="88"/>
        <v>18.300000000000097</v>
      </c>
      <c r="DW27">
        <f t="shared" si="78"/>
        <v>-6.1000000000000796</v>
      </c>
      <c r="DX27">
        <f t="shared" si="79"/>
        <v>6.0999999999996817</v>
      </c>
      <c r="DY27">
        <f t="shared" si="80"/>
        <v>-18.300000000000239</v>
      </c>
      <c r="DZ27">
        <f t="shared" si="81"/>
        <v>-6.1000000000002119</v>
      </c>
    </row>
    <row r="28" spans="1:132" ht="16.5" thickTop="1" thickBot="1">
      <c r="A28" s="14">
        <v>44487</v>
      </c>
      <c r="B28" s="34">
        <v>20.100000000000001</v>
      </c>
      <c r="C28" s="34">
        <v>20.100000000000001</v>
      </c>
      <c r="D28" s="75">
        <v>24.8</v>
      </c>
      <c r="E28" s="103">
        <v>24.8</v>
      </c>
      <c r="F28" s="103">
        <v>25</v>
      </c>
      <c r="G28" s="133">
        <v>29.1</v>
      </c>
      <c r="H28" s="91">
        <v>29.1</v>
      </c>
      <c r="I28" s="91">
        <v>29.1</v>
      </c>
      <c r="J28" s="134">
        <v>34.200000000000003</v>
      </c>
      <c r="K28" s="95">
        <v>34.200000000000003</v>
      </c>
      <c r="L28" s="95">
        <v>34.4</v>
      </c>
      <c r="M28" s="135">
        <v>38.9</v>
      </c>
      <c r="N28" s="99">
        <v>38.9</v>
      </c>
      <c r="O28" s="99">
        <v>39</v>
      </c>
      <c r="P28" s="136">
        <v>43.2</v>
      </c>
      <c r="Q28" s="109"/>
      <c r="R28" s="109"/>
      <c r="Y28">
        <f t="shared" si="1"/>
        <v>469.99999999999994</v>
      </c>
      <c r="Z28">
        <f t="shared" si="2"/>
        <v>0</v>
      </c>
      <c r="AA28" s="4">
        <f t="shared" si="3"/>
        <v>410.00000000000011</v>
      </c>
      <c r="AB28" s="4">
        <f t="shared" si="4"/>
        <v>19.999999999999929</v>
      </c>
      <c r="AC28" s="1">
        <f t="shared" si="5"/>
        <v>510.00000000000011</v>
      </c>
      <c r="AD28" s="1">
        <f t="shared" si="6"/>
        <v>0</v>
      </c>
      <c r="AE28" s="2">
        <f t="shared" si="7"/>
        <v>450</v>
      </c>
      <c r="AF28" s="2">
        <f t="shared" si="8"/>
        <v>19.999999999999574</v>
      </c>
      <c r="AG28" s="3">
        <f t="shared" si="9"/>
        <v>420.00000000000028</v>
      </c>
      <c r="AH28" s="3">
        <f t="shared" si="10"/>
        <v>10.000000000000142</v>
      </c>
      <c r="AL28">
        <f t="shared" si="11"/>
        <v>394.79999999999995</v>
      </c>
      <c r="AM28">
        <f t="shared" si="12"/>
        <v>0</v>
      </c>
      <c r="AN28">
        <f t="shared" si="13"/>
        <v>344.40000000000009</v>
      </c>
      <c r="AO28">
        <f t="shared" si="14"/>
        <v>16.79999999999994</v>
      </c>
      <c r="AP28">
        <f t="shared" si="15"/>
        <v>428.40000000000009</v>
      </c>
      <c r="AQ28">
        <f t="shared" si="16"/>
        <v>0</v>
      </c>
      <c r="AR28">
        <f t="shared" si="17"/>
        <v>378</v>
      </c>
      <c r="AS28">
        <f t="shared" si="18"/>
        <v>16.799999999999642</v>
      </c>
      <c r="AT28">
        <f t="shared" si="19"/>
        <v>352.80000000000024</v>
      </c>
      <c r="AU28">
        <f t="shared" si="20"/>
        <v>8.4000000000001194</v>
      </c>
      <c r="AY28">
        <f t="shared" si="21"/>
        <v>16.79999999999994</v>
      </c>
      <c r="AZ28">
        <f t="shared" si="22"/>
        <v>0</v>
      </c>
      <c r="BA28">
        <f t="shared" si="23"/>
        <v>16.799999999999642</v>
      </c>
      <c r="BB28">
        <f t="shared" si="24"/>
        <v>8.4000000000001194</v>
      </c>
      <c r="BC28">
        <f t="shared" si="25"/>
        <v>8.3999999999999204</v>
      </c>
      <c r="BD28">
        <f t="shared" si="69"/>
        <v>-50.399999999999864</v>
      </c>
      <c r="BE28">
        <f t="shared" si="70"/>
        <v>33.600000000000136</v>
      </c>
      <c r="BF28">
        <f t="shared" si="71"/>
        <v>-16.799999999999955</v>
      </c>
      <c r="BG28">
        <f t="shared" si="72"/>
        <v>-41.999999999999716</v>
      </c>
      <c r="BH28">
        <f t="shared" si="73"/>
        <v>-8.399999999999844</v>
      </c>
      <c r="BK28" s="77">
        <f t="shared" si="74"/>
        <v>282.05169999999998</v>
      </c>
      <c r="BL28" s="77">
        <f t="shared" si="75"/>
        <v>0</v>
      </c>
      <c r="BM28" s="296">
        <f t="shared" si="26"/>
        <v>246.0451000000001</v>
      </c>
      <c r="BN28" s="296">
        <f t="shared" si="27"/>
        <v>12.002199999999958</v>
      </c>
      <c r="BO28" s="297">
        <f t="shared" si="28"/>
        <v>306.05610000000007</v>
      </c>
      <c r="BP28" s="297">
        <f t="shared" si="29"/>
        <v>0</v>
      </c>
      <c r="BQ28" s="298">
        <f t="shared" si="30"/>
        <v>270.04950000000002</v>
      </c>
      <c r="BR28" s="298">
        <f t="shared" si="31"/>
        <v>12.002199999999744</v>
      </c>
      <c r="BS28" s="299">
        <f t="shared" si="32"/>
        <v>252.04620000000017</v>
      </c>
      <c r="BT28" s="299">
        <f t="shared" si="33"/>
        <v>6.0011000000000854</v>
      </c>
      <c r="BU28" s="77"/>
      <c r="BV28" s="77"/>
      <c r="BW28" s="77"/>
      <c r="BX28" s="77"/>
      <c r="BY28" s="77"/>
      <c r="CD28" s="12">
        <f t="shared" si="35"/>
        <v>4.6999999999999993</v>
      </c>
      <c r="CE28">
        <f t="shared" si="36"/>
        <v>0</v>
      </c>
      <c r="CF28">
        <f t="shared" si="76"/>
        <v>286.69999999999993</v>
      </c>
      <c r="CG28">
        <f t="shared" si="77"/>
        <v>0</v>
      </c>
      <c r="CH28">
        <f t="shared" si="37"/>
        <v>4.6999999999999993</v>
      </c>
      <c r="CI28">
        <f t="shared" si="38"/>
        <v>0</v>
      </c>
      <c r="CJ28" s="12">
        <f t="shared" si="39"/>
        <v>3.9000000000000021</v>
      </c>
      <c r="CK28">
        <f t="shared" si="40"/>
        <v>0.19999999999999929</v>
      </c>
      <c r="CL28">
        <f t="shared" si="41"/>
        <v>237.90000000000012</v>
      </c>
      <c r="CM28">
        <f t="shared" si="42"/>
        <v>11.999999999999957</v>
      </c>
      <c r="CN28">
        <f t="shared" si="43"/>
        <v>4.1000000000000014</v>
      </c>
      <c r="CO28">
        <f t="shared" si="44"/>
        <v>0.19999999999999929</v>
      </c>
      <c r="CP28" s="12">
        <f t="shared" si="45"/>
        <v>5.1000000000000014</v>
      </c>
      <c r="CQ28">
        <f t="shared" si="46"/>
        <v>0</v>
      </c>
      <c r="CR28">
        <f t="shared" si="47"/>
        <v>311.10000000000008</v>
      </c>
      <c r="CS28">
        <f t="shared" si="48"/>
        <v>0</v>
      </c>
      <c r="CT28">
        <f t="shared" si="49"/>
        <v>5.1000000000000014</v>
      </c>
      <c r="CU28">
        <f t="shared" si="50"/>
        <v>0</v>
      </c>
      <c r="CV28" s="12">
        <f t="shared" si="51"/>
        <v>4.3000000000000043</v>
      </c>
      <c r="CW28">
        <f t="shared" si="52"/>
        <v>0.19999999999999574</v>
      </c>
      <c r="CX28">
        <f t="shared" si="53"/>
        <v>262.30000000000024</v>
      </c>
      <c r="CY28">
        <f t="shared" si="54"/>
        <v>11.999999999999744</v>
      </c>
      <c r="CZ28">
        <f t="shared" si="55"/>
        <v>4.5</v>
      </c>
      <c r="DA28">
        <f t="shared" si="56"/>
        <v>0.19999999999999574</v>
      </c>
      <c r="DB28" s="12">
        <f t="shared" si="57"/>
        <v>4.1000000000000014</v>
      </c>
      <c r="DC28">
        <f t="shared" si="58"/>
        <v>0.10000000000000142</v>
      </c>
      <c r="DD28">
        <f t="shared" si="59"/>
        <v>250.10000000000008</v>
      </c>
      <c r="DE28">
        <f t="shared" si="60"/>
        <v>6.0000000000000853</v>
      </c>
      <c r="DF28">
        <f t="shared" si="61"/>
        <v>4.2000000000000028</v>
      </c>
      <c r="DG28">
        <f t="shared" si="62"/>
        <v>0.10000000000000142</v>
      </c>
      <c r="DH28" s="500">
        <f t="shared" si="89"/>
        <v>2.0999999999999979</v>
      </c>
      <c r="DI28" s="266">
        <f t="shared" si="90"/>
        <v>0.59999999999999787</v>
      </c>
      <c r="DJ28">
        <f t="shared" si="65"/>
        <v>128.09999999999988</v>
      </c>
      <c r="DK28">
        <f t="shared" si="66"/>
        <v>35.999999999999872</v>
      </c>
      <c r="DL28">
        <f t="shared" si="67"/>
        <v>0.89999999999999858</v>
      </c>
      <c r="DM28">
        <f t="shared" si="68"/>
        <v>0.19999999999999929</v>
      </c>
      <c r="DN28" s="500" t="s">
        <v>182</v>
      </c>
      <c r="DO28" s="266" t="s">
        <v>182</v>
      </c>
      <c r="DP28" t="s">
        <v>182</v>
      </c>
      <c r="DQ28" t="s">
        <v>182</v>
      </c>
      <c r="DR28">
        <f t="shared" si="93"/>
        <v>0.60000000000000142</v>
      </c>
      <c r="DS28">
        <f t="shared" si="87"/>
        <v>0.39999999999999858</v>
      </c>
      <c r="DV28" s="41" t="e">
        <f t="shared" si="88"/>
        <v>#VALUE!</v>
      </c>
      <c r="DW28">
        <f t="shared" si="78"/>
        <v>24.400000000000148</v>
      </c>
      <c r="DX28">
        <f t="shared" si="79"/>
        <v>-24.399999999999693</v>
      </c>
      <c r="DY28">
        <f t="shared" si="80"/>
        <v>-36.599999999999852</v>
      </c>
      <c r="DZ28">
        <f t="shared" si="81"/>
        <v>-12.199999999999799</v>
      </c>
    </row>
    <row r="29" spans="1:132" ht="16.5" thickTop="1" thickBot="1">
      <c r="A29" s="14">
        <v>44489</v>
      </c>
      <c r="B29" s="34">
        <v>20.5</v>
      </c>
      <c r="C29" s="34">
        <v>20.6</v>
      </c>
      <c r="D29" s="66">
        <v>24.9</v>
      </c>
      <c r="E29" s="103">
        <v>24.9</v>
      </c>
      <c r="F29" s="103">
        <v>25.2</v>
      </c>
      <c r="G29" s="133">
        <v>29.6</v>
      </c>
      <c r="H29" s="91">
        <v>29.6</v>
      </c>
      <c r="I29" s="91">
        <v>29.7</v>
      </c>
      <c r="J29" s="134">
        <v>34.5</v>
      </c>
      <c r="K29" s="95">
        <v>34.5</v>
      </c>
      <c r="L29" s="95">
        <v>34.700000000000003</v>
      </c>
      <c r="M29" s="135">
        <v>39.299999999999997</v>
      </c>
      <c r="N29" s="99">
        <v>39.299999999999997</v>
      </c>
      <c r="O29" s="99">
        <v>39.799999999999997</v>
      </c>
      <c r="P29" s="136">
        <v>44</v>
      </c>
      <c r="Y29">
        <f t="shared" si="1"/>
        <v>429.99999999999972</v>
      </c>
      <c r="Z29">
        <f t="shared" si="2"/>
        <v>10.000000000000142</v>
      </c>
      <c r="AA29" s="4">
        <f t="shared" si="3"/>
        <v>440.00000000000023</v>
      </c>
      <c r="AB29" s="4">
        <f t="shared" si="4"/>
        <v>30.000000000000071</v>
      </c>
      <c r="AC29" s="1">
        <f t="shared" si="5"/>
        <v>480.00000000000006</v>
      </c>
      <c r="AD29" s="1">
        <f t="shared" si="6"/>
        <v>9.9999999999997868</v>
      </c>
      <c r="AE29" s="2">
        <f t="shared" si="7"/>
        <v>459.99999999999943</v>
      </c>
      <c r="AF29" s="2">
        <f t="shared" si="8"/>
        <v>20.000000000000284</v>
      </c>
      <c r="AG29" s="3">
        <f t="shared" si="9"/>
        <v>420.00000000000028</v>
      </c>
      <c r="AH29" s="3">
        <f t="shared" si="10"/>
        <v>50</v>
      </c>
      <c r="AL29">
        <f t="shared" si="11"/>
        <v>361.19999999999976</v>
      </c>
      <c r="AM29">
        <f t="shared" si="12"/>
        <v>8.4000000000001194</v>
      </c>
      <c r="AN29">
        <f t="shared" si="13"/>
        <v>369.60000000000019</v>
      </c>
      <c r="AO29">
        <f t="shared" si="14"/>
        <v>25.20000000000006</v>
      </c>
      <c r="AP29">
        <f t="shared" si="15"/>
        <v>403.20000000000005</v>
      </c>
      <c r="AQ29">
        <f t="shared" si="16"/>
        <v>8.3999999999998209</v>
      </c>
      <c r="AR29">
        <f t="shared" si="17"/>
        <v>386.39999999999952</v>
      </c>
      <c r="AS29">
        <f t="shared" si="18"/>
        <v>16.800000000000239</v>
      </c>
      <c r="AT29">
        <f t="shared" si="19"/>
        <v>352.80000000000024</v>
      </c>
      <c r="AU29">
        <f t="shared" si="20"/>
        <v>42</v>
      </c>
      <c r="AY29">
        <f t="shared" si="21"/>
        <v>16.79999999999994</v>
      </c>
      <c r="AZ29">
        <f t="shared" si="22"/>
        <v>-2.9842794901924208E-13</v>
      </c>
      <c r="BA29">
        <f t="shared" si="23"/>
        <v>8.4000000000001194</v>
      </c>
      <c r="BB29">
        <f t="shared" si="24"/>
        <v>33.599999999999881</v>
      </c>
      <c r="BC29">
        <f t="shared" si="25"/>
        <v>13.999999999999901</v>
      </c>
      <c r="BD29">
        <f t="shared" si="69"/>
        <v>8.400000000000432</v>
      </c>
      <c r="BE29">
        <f t="shared" si="70"/>
        <v>42.000000000000284</v>
      </c>
      <c r="BF29">
        <f t="shared" si="71"/>
        <v>25.199999999999761</v>
      </c>
      <c r="BG29">
        <f t="shared" si="72"/>
        <v>-8.3999999999995225</v>
      </c>
      <c r="BH29">
        <f t="shared" si="73"/>
        <v>19.600000000000176</v>
      </c>
      <c r="BK29" s="77">
        <f t="shared" si="74"/>
        <v>258.04729999999984</v>
      </c>
      <c r="BL29" s="77">
        <f t="shared" si="75"/>
        <v>6.0011000000000854</v>
      </c>
      <c r="BM29" s="296">
        <f t="shared" si="26"/>
        <v>264.04840000000013</v>
      </c>
      <c r="BN29" s="296">
        <f t="shared" si="27"/>
        <v>18.003300000000042</v>
      </c>
      <c r="BO29" s="297">
        <f t="shared" si="28"/>
        <v>288.05280000000005</v>
      </c>
      <c r="BP29" s="297">
        <f t="shared" si="29"/>
        <v>6.0010999999998722</v>
      </c>
      <c r="BQ29" s="298">
        <f t="shared" si="30"/>
        <v>276.05059999999969</v>
      </c>
      <c r="BR29" s="298">
        <f t="shared" si="31"/>
        <v>12.002200000000171</v>
      </c>
      <c r="BS29" s="299">
        <f t="shared" si="32"/>
        <v>252.04620000000017</v>
      </c>
      <c r="BT29" s="299">
        <f t="shared" si="33"/>
        <v>30.005500000000001</v>
      </c>
      <c r="BU29" s="77"/>
      <c r="BV29" s="77"/>
      <c r="BW29" s="77"/>
      <c r="BX29" s="77"/>
      <c r="CD29" s="12">
        <f t="shared" si="35"/>
        <v>4.1999999999999957</v>
      </c>
      <c r="CE29">
        <f t="shared" si="36"/>
        <v>0.10000000000000142</v>
      </c>
      <c r="CF29">
        <f t="shared" si="76"/>
        <v>256.19999999999976</v>
      </c>
      <c r="CG29">
        <f t="shared" si="77"/>
        <v>6.0000000000000853</v>
      </c>
      <c r="CH29">
        <f t="shared" si="37"/>
        <v>4.2999999999999972</v>
      </c>
      <c r="CI29">
        <f t="shared" si="38"/>
        <v>0.10000000000000142</v>
      </c>
      <c r="CJ29" s="12">
        <f t="shared" si="39"/>
        <v>4.1000000000000014</v>
      </c>
      <c r="CK29">
        <f t="shared" si="40"/>
        <v>0.30000000000000071</v>
      </c>
      <c r="CL29">
        <f t="shared" si="41"/>
        <v>250.10000000000008</v>
      </c>
      <c r="CM29">
        <f t="shared" si="42"/>
        <v>18.000000000000043</v>
      </c>
      <c r="CN29">
        <f t="shared" si="43"/>
        <v>4.4000000000000021</v>
      </c>
      <c r="CO29">
        <f t="shared" si="44"/>
        <v>0.30000000000000071</v>
      </c>
      <c r="CP29" s="12">
        <f t="shared" si="45"/>
        <v>4.7000000000000028</v>
      </c>
      <c r="CQ29">
        <f t="shared" si="46"/>
        <v>9.9999999999997868E-2</v>
      </c>
      <c r="CR29">
        <f t="shared" si="47"/>
        <v>286.70000000000016</v>
      </c>
      <c r="CS29">
        <f t="shared" si="48"/>
        <v>5.9999999999998721</v>
      </c>
      <c r="CT29">
        <f t="shared" si="49"/>
        <v>4.8000000000000007</v>
      </c>
      <c r="CU29">
        <f t="shared" si="50"/>
        <v>9.9999999999997868E-2</v>
      </c>
      <c r="CV29" s="12">
        <f t="shared" si="51"/>
        <v>4.3999999999999915</v>
      </c>
      <c r="CW29">
        <f t="shared" si="52"/>
        <v>0.20000000000000284</v>
      </c>
      <c r="CX29">
        <f t="shared" si="53"/>
        <v>268.39999999999947</v>
      </c>
      <c r="CY29">
        <f t="shared" si="54"/>
        <v>12.000000000000171</v>
      </c>
      <c r="CZ29">
        <f t="shared" si="55"/>
        <v>4.5999999999999943</v>
      </c>
      <c r="DA29">
        <f t="shared" si="56"/>
        <v>0.20000000000000284</v>
      </c>
      <c r="DB29" s="12">
        <f t="shared" si="57"/>
        <v>3.7000000000000028</v>
      </c>
      <c r="DC29">
        <f t="shared" si="58"/>
        <v>0.5</v>
      </c>
      <c r="DD29">
        <f t="shared" si="59"/>
        <v>225.70000000000016</v>
      </c>
      <c r="DE29">
        <f t="shared" si="60"/>
        <v>30</v>
      </c>
      <c r="DF29">
        <f t="shared" si="61"/>
        <v>4.2000000000000028</v>
      </c>
      <c r="DG29">
        <f t="shared" si="62"/>
        <v>0.5</v>
      </c>
      <c r="DH29" s="500">
        <f t="shared" si="89"/>
        <v>3.6000000000000076</v>
      </c>
      <c r="DI29" s="266">
        <f t="shared" si="90"/>
        <v>0.89999999999999125</v>
      </c>
      <c r="DJ29">
        <f t="shared" si="65"/>
        <v>219.60000000000048</v>
      </c>
      <c r="DK29">
        <f t="shared" si="66"/>
        <v>53.999999999999474</v>
      </c>
      <c r="DL29">
        <f t="shared" si="67"/>
        <v>1.5</v>
      </c>
      <c r="DM29">
        <f t="shared" si="68"/>
        <v>0.29999999999999716</v>
      </c>
      <c r="DN29" s="500">
        <f t="shared" si="91"/>
        <v>3.6000000000000076</v>
      </c>
      <c r="DO29" s="266">
        <f t="shared" si="92"/>
        <v>0.59999999999999787</v>
      </c>
      <c r="DP29">
        <f>DN29*$CC$18</f>
        <v>219.60000000000048</v>
      </c>
      <c r="DQ29">
        <f>DO29*$CC$19</f>
        <v>35.999999999999872</v>
      </c>
      <c r="DR29">
        <f t="shared" si="93"/>
        <v>1.4000000000000021</v>
      </c>
      <c r="DS29">
        <f t="shared" si="87"/>
        <v>0.19999999999999929</v>
      </c>
      <c r="DV29" s="41">
        <f t="shared" si="88"/>
        <v>0</v>
      </c>
      <c r="DW29">
        <f t="shared" si="78"/>
        <v>30.500000000000398</v>
      </c>
      <c r="DX29">
        <f t="shared" si="79"/>
        <v>12.199999999999704</v>
      </c>
      <c r="DY29">
        <f t="shared" si="80"/>
        <v>-30.499999999999602</v>
      </c>
      <c r="DZ29">
        <f t="shared" si="81"/>
        <v>4.0666666666668334</v>
      </c>
    </row>
    <row r="30" spans="1:132" ht="16.5" thickTop="1" thickBot="1">
      <c r="A30" s="14">
        <v>44490</v>
      </c>
      <c r="B30" s="34">
        <v>23.9</v>
      </c>
      <c r="C30" s="34">
        <v>24.1</v>
      </c>
      <c r="D30" s="66">
        <v>26.9</v>
      </c>
      <c r="E30" s="103">
        <v>26.9</v>
      </c>
      <c r="F30" s="103">
        <v>27.1</v>
      </c>
      <c r="G30" s="133">
        <v>30.3</v>
      </c>
      <c r="H30" s="91">
        <v>30.3</v>
      </c>
      <c r="I30" s="91">
        <v>30.5</v>
      </c>
      <c r="J30" s="134">
        <v>33.5</v>
      </c>
      <c r="K30" s="95">
        <v>33.5</v>
      </c>
      <c r="L30" s="95">
        <v>33.6</v>
      </c>
      <c r="M30" s="135">
        <v>36.799999999999997</v>
      </c>
      <c r="N30" s="99">
        <v>36.799999999999997</v>
      </c>
      <c r="O30" s="99">
        <v>37.1</v>
      </c>
      <c r="P30" s="136">
        <v>40.299999999999997</v>
      </c>
      <c r="Y30">
        <f t="shared" si="1"/>
        <v>279.99999999999972</v>
      </c>
      <c r="Z30">
        <f t="shared" si="2"/>
        <v>20.000000000000284</v>
      </c>
      <c r="AA30" s="4">
        <f t="shared" si="3"/>
        <v>319.99999999999994</v>
      </c>
      <c r="AB30" s="4">
        <f t="shared" si="4"/>
        <v>20.000000000000284</v>
      </c>
      <c r="AC30" s="1">
        <f t="shared" si="5"/>
        <v>300</v>
      </c>
      <c r="AD30" s="1">
        <f t="shared" si="6"/>
        <v>19.999999999999929</v>
      </c>
      <c r="AE30" s="2">
        <f t="shared" si="7"/>
        <v>319.99999999999955</v>
      </c>
      <c r="AF30" s="2">
        <f t="shared" si="8"/>
        <v>10.000000000000142</v>
      </c>
      <c r="AG30" s="3">
        <f t="shared" si="9"/>
        <v>319.99999999999955</v>
      </c>
      <c r="AH30" s="3">
        <f t="shared" si="10"/>
        <v>30.000000000000426</v>
      </c>
      <c r="AL30">
        <f t="shared" si="11"/>
        <v>235.19999999999976</v>
      </c>
      <c r="AM30">
        <f t="shared" si="12"/>
        <v>16.800000000000239</v>
      </c>
      <c r="AN30">
        <f t="shared" si="13"/>
        <v>268.79999999999995</v>
      </c>
      <c r="AO30">
        <f t="shared" si="14"/>
        <v>16.800000000000239</v>
      </c>
      <c r="AP30">
        <f t="shared" si="15"/>
        <v>252</v>
      </c>
      <c r="AQ30">
        <f t="shared" si="16"/>
        <v>16.79999999999994</v>
      </c>
      <c r="AR30">
        <f t="shared" si="17"/>
        <v>268.79999999999961</v>
      </c>
      <c r="AS30">
        <f t="shared" si="18"/>
        <v>8.4000000000001194</v>
      </c>
      <c r="AT30">
        <f t="shared" si="19"/>
        <v>268.79999999999961</v>
      </c>
      <c r="AU30">
        <f t="shared" si="20"/>
        <v>25.200000000000358</v>
      </c>
      <c r="AY30">
        <f t="shared" si="21"/>
        <v>0</v>
      </c>
      <c r="AZ30">
        <f t="shared" si="22"/>
        <v>-2.9842794901924208E-13</v>
      </c>
      <c r="BA30">
        <f t="shared" si="23"/>
        <v>-8.4000000000001194</v>
      </c>
      <c r="BB30">
        <f t="shared" si="24"/>
        <v>8.4000000000001194</v>
      </c>
      <c r="BC30">
        <f t="shared" si="25"/>
        <v>-9.9475983006414026E-14</v>
      </c>
      <c r="BD30">
        <f t="shared" si="69"/>
        <v>33.600000000000193</v>
      </c>
      <c r="BE30">
        <f t="shared" si="70"/>
        <v>16.800000000000239</v>
      </c>
      <c r="BF30">
        <f t="shared" si="71"/>
        <v>33.599999999999852</v>
      </c>
      <c r="BG30">
        <f t="shared" si="72"/>
        <v>33.599999999999852</v>
      </c>
      <c r="BH30">
        <f t="shared" si="73"/>
        <v>27.999999999999982</v>
      </c>
      <c r="BK30" s="77">
        <f t="shared" si="74"/>
        <v>168.03079999999983</v>
      </c>
      <c r="BL30" s="77">
        <f t="shared" si="75"/>
        <v>12.002200000000171</v>
      </c>
      <c r="BM30" s="296">
        <f t="shared" si="26"/>
        <v>192.03519999999997</v>
      </c>
      <c r="BN30" s="296">
        <f t="shared" si="27"/>
        <v>12.002200000000171</v>
      </c>
      <c r="BO30" s="297">
        <f t="shared" si="28"/>
        <v>180.03300000000002</v>
      </c>
      <c r="BP30" s="297">
        <f t="shared" si="29"/>
        <v>12.002199999999958</v>
      </c>
      <c r="BQ30" s="298">
        <f t="shared" si="30"/>
        <v>192.03519999999975</v>
      </c>
      <c r="BR30" s="298">
        <f t="shared" si="31"/>
        <v>6.0011000000000854</v>
      </c>
      <c r="BS30" s="299">
        <f t="shared" si="32"/>
        <v>192.03519999999975</v>
      </c>
      <c r="BT30" s="299">
        <f t="shared" si="33"/>
        <v>18.003300000000255</v>
      </c>
      <c r="BU30" s="77"/>
      <c r="BV30" s="77"/>
      <c r="BW30" s="77"/>
      <c r="BX30" s="77"/>
      <c r="CD30" s="12">
        <f t="shared" si="35"/>
        <v>2.5999999999999943</v>
      </c>
      <c r="CE30">
        <f t="shared" si="36"/>
        <v>0.20000000000000284</v>
      </c>
      <c r="CF30">
        <f t="shared" si="76"/>
        <v>158.59999999999965</v>
      </c>
      <c r="CG30">
        <f t="shared" si="77"/>
        <v>12.000000000000171</v>
      </c>
      <c r="CH30">
        <f t="shared" si="37"/>
        <v>2.7999999999999972</v>
      </c>
      <c r="CI30">
        <f t="shared" si="38"/>
        <v>0.20000000000000284</v>
      </c>
      <c r="CJ30" s="12">
        <f t="shared" si="39"/>
        <v>2.9999999999999964</v>
      </c>
      <c r="CK30">
        <f t="shared" si="40"/>
        <v>0.20000000000000284</v>
      </c>
      <c r="CL30">
        <f t="shared" si="41"/>
        <v>182.99999999999977</v>
      </c>
      <c r="CM30">
        <f t="shared" si="42"/>
        <v>12.000000000000171</v>
      </c>
      <c r="CN30">
        <f t="shared" si="43"/>
        <v>3.1999999999999993</v>
      </c>
      <c r="CO30">
        <f t="shared" si="44"/>
        <v>0.20000000000000284</v>
      </c>
      <c r="CP30" s="12">
        <f t="shared" si="45"/>
        <v>2.8000000000000007</v>
      </c>
      <c r="CQ30">
        <f t="shared" si="46"/>
        <v>0.19999999999999929</v>
      </c>
      <c r="CR30">
        <f t="shared" si="47"/>
        <v>170.80000000000004</v>
      </c>
      <c r="CS30">
        <f t="shared" si="48"/>
        <v>11.999999999999957</v>
      </c>
      <c r="CT30">
        <f t="shared" si="49"/>
        <v>3</v>
      </c>
      <c r="CU30">
        <f t="shared" si="50"/>
        <v>0.19999999999999929</v>
      </c>
      <c r="CV30" s="12">
        <f t="shared" si="51"/>
        <v>3.0999999999999943</v>
      </c>
      <c r="CW30">
        <f t="shared" si="52"/>
        <v>0.10000000000000142</v>
      </c>
      <c r="CX30">
        <f t="shared" si="53"/>
        <v>189.09999999999965</v>
      </c>
      <c r="CY30">
        <f t="shared" si="54"/>
        <v>6.0000000000000853</v>
      </c>
      <c r="CZ30">
        <f t="shared" si="55"/>
        <v>3.1999999999999957</v>
      </c>
      <c r="DA30">
        <f t="shared" si="56"/>
        <v>0.10000000000000142</v>
      </c>
      <c r="DB30" s="12">
        <f t="shared" si="57"/>
        <v>2.8999999999999915</v>
      </c>
      <c r="DC30">
        <f t="shared" si="58"/>
        <v>0.30000000000000426</v>
      </c>
      <c r="DD30">
        <f t="shared" si="59"/>
        <v>176.89999999999947</v>
      </c>
      <c r="DE30">
        <f t="shared" si="60"/>
        <v>18.000000000000256</v>
      </c>
      <c r="DF30">
        <f t="shared" si="61"/>
        <v>3.1999999999999957</v>
      </c>
      <c r="DG30">
        <f t="shared" si="62"/>
        <v>0.30000000000000426</v>
      </c>
      <c r="DH30" s="500">
        <f t="shared" si="89"/>
        <v>2.0999999999999872</v>
      </c>
      <c r="DI30" s="266">
        <f t="shared" si="90"/>
        <v>0.60000000000000853</v>
      </c>
      <c r="DJ30">
        <f t="shared" si="65"/>
        <v>128.09999999999923</v>
      </c>
      <c r="DK30">
        <f t="shared" si="66"/>
        <v>36.000000000000512</v>
      </c>
      <c r="DL30">
        <f t="shared" si="67"/>
        <v>0.89999999999999858</v>
      </c>
      <c r="DM30">
        <f t="shared" si="68"/>
        <v>0.20000000000000284</v>
      </c>
      <c r="DN30" s="500">
        <f t="shared" si="91"/>
        <v>2.3999999999999915</v>
      </c>
      <c r="DO30" s="266">
        <f t="shared" si="92"/>
        <v>0.30000000000000426</v>
      </c>
      <c r="DP30">
        <f>DN30*$CC$18</f>
        <v>146.39999999999947</v>
      </c>
      <c r="DQ30">
        <f>DO30*$CC$19</f>
        <v>18.000000000000256</v>
      </c>
      <c r="DR30">
        <f t="shared" si="93"/>
        <v>0.89999999999999858</v>
      </c>
      <c r="DS30">
        <f t="shared" si="87"/>
        <v>0.10000000000000142</v>
      </c>
      <c r="DV30" s="41">
        <f t="shared" si="88"/>
        <v>-18.300000000000239</v>
      </c>
      <c r="DW30">
        <f t="shared" si="78"/>
        <v>12.200000000000387</v>
      </c>
      <c r="DX30">
        <f t="shared" si="79"/>
        <v>30.5</v>
      </c>
      <c r="DY30">
        <f t="shared" si="80"/>
        <v>18.299999999999812</v>
      </c>
      <c r="DZ30">
        <f t="shared" si="81"/>
        <v>20.3333333333334</v>
      </c>
    </row>
    <row r="31" spans="1:132" ht="16.5" thickTop="1" thickBot="1">
      <c r="A31" s="14">
        <v>44491</v>
      </c>
      <c r="B31" s="34">
        <v>24.8</v>
      </c>
      <c r="C31" s="34">
        <v>24.8</v>
      </c>
      <c r="D31" s="66">
        <v>28.3</v>
      </c>
      <c r="E31" s="103">
        <v>28.3</v>
      </c>
      <c r="F31" s="103">
        <v>28.5</v>
      </c>
      <c r="G31" s="133">
        <v>31.7</v>
      </c>
      <c r="H31" s="91">
        <v>31.7</v>
      </c>
      <c r="I31" s="91">
        <v>31.9</v>
      </c>
      <c r="J31" s="134">
        <v>35.4</v>
      </c>
      <c r="K31" s="95">
        <v>35.4</v>
      </c>
      <c r="L31" s="95">
        <v>35.6</v>
      </c>
      <c r="M31" s="135">
        <v>38.799999999999997</v>
      </c>
      <c r="N31" s="99">
        <v>38.799999999999997</v>
      </c>
      <c r="O31" s="99">
        <v>39</v>
      </c>
      <c r="P31" s="136">
        <v>42.3</v>
      </c>
      <c r="Y31">
        <f t="shared" si="1"/>
        <v>350</v>
      </c>
      <c r="Z31">
        <f t="shared" si="2"/>
        <v>0</v>
      </c>
      <c r="AA31" s="4">
        <f t="shared" si="3"/>
        <v>319.99999999999994</v>
      </c>
      <c r="AB31" s="4">
        <f t="shared" si="4"/>
        <v>19.999999999999929</v>
      </c>
      <c r="AC31" s="1">
        <f t="shared" si="5"/>
        <v>350</v>
      </c>
      <c r="AD31" s="1">
        <f t="shared" si="6"/>
        <v>19.999999999999929</v>
      </c>
      <c r="AE31" s="2">
        <f t="shared" si="7"/>
        <v>319.99999999999955</v>
      </c>
      <c r="AF31" s="2">
        <f t="shared" si="8"/>
        <v>20.000000000000284</v>
      </c>
      <c r="AG31" s="3">
        <f t="shared" si="9"/>
        <v>329.99999999999972</v>
      </c>
      <c r="AH31" s="3">
        <f t="shared" si="10"/>
        <v>20.000000000000284</v>
      </c>
      <c r="AL31">
        <f t="shared" si="11"/>
        <v>294</v>
      </c>
      <c r="AM31">
        <f t="shared" si="12"/>
        <v>0</v>
      </c>
      <c r="AN31">
        <f t="shared" si="13"/>
        <v>268.79999999999995</v>
      </c>
      <c r="AO31">
        <f t="shared" si="14"/>
        <v>16.79999999999994</v>
      </c>
      <c r="AP31">
        <f t="shared" si="15"/>
        <v>294</v>
      </c>
      <c r="AQ31">
        <f t="shared" si="16"/>
        <v>16.79999999999994</v>
      </c>
      <c r="AR31">
        <f t="shared" si="17"/>
        <v>268.79999999999961</v>
      </c>
      <c r="AS31">
        <f t="shared" si="18"/>
        <v>16.800000000000239</v>
      </c>
      <c r="AT31">
        <f t="shared" si="19"/>
        <v>277.19999999999976</v>
      </c>
      <c r="AU31">
        <f t="shared" si="20"/>
        <v>16.800000000000239</v>
      </c>
      <c r="AY31">
        <f t="shared" si="21"/>
        <v>16.79999999999994</v>
      </c>
      <c r="AZ31">
        <f t="shared" si="22"/>
        <v>16.79999999999994</v>
      </c>
      <c r="BA31">
        <f t="shared" si="23"/>
        <v>16.800000000000239</v>
      </c>
      <c r="BB31">
        <f t="shared" si="24"/>
        <v>16.800000000000239</v>
      </c>
      <c r="BC31">
        <f t="shared" si="25"/>
        <v>16.800000000000139</v>
      </c>
      <c r="BD31">
        <f t="shared" si="69"/>
        <v>-25.200000000000045</v>
      </c>
      <c r="BE31">
        <f t="shared" si="70"/>
        <v>0</v>
      </c>
      <c r="BF31">
        <f t="shared" si="71"/>
        <v>-25.200000000000387</v>
      </c>
      <c r="BG31">
        <f t="shared" si="72"/>
        <v>-16.800000000000239</v>
      </c>
      <c r="BH31">
        <f t="shared" si="73"/>
        <v>-14.000000000000208</v>
      </c>
      <c r="BK31" s="77">
        <f t="shared" si="74"/>
        <v>210.0385</v>
      </c>
      <c r="BL31" s="77">
        <f t="shared" si="75"/>
        <v>0</v>
      </c>
      <c r="BM31" s="296">
        <f t="shared" si="26"/>
        <v>192.03519999999997</v>
      </c>
      <c r="BN31" s="296">
        <f t="shared" si="27"/>
        <v>12.002199999999958</v>
      </c>
      <c r="BO31" s="297">
        <f t="shared" si="28"/>
        <v>210.0385</v>
      </c>
      <c r="BP31" s="297">
        <f t="shared" si="29"/>
        <v>12.002199999999958</v>
      </c>
      <c r="BQ31" s="298">
        <f t="shared" si="30"/>
        <v>192.03519999999975</v>
      </c>
      <c r="BR31" s="298">
        <f t="shared" si="31"/>
        <v>12.002200000000171</v>
      </c>
      <c r="BS31" s="299">
        <f t="shared" si="32"/>
        <v>198.03629999999984</v>
      </c>
      <c r="BT31" s="299">
        <f t="shared" si="33"/>
        <v>12.002200000000171</v>
      </c>
      <c r="BU31" s="77"/>
      <c r="BV31" s="77"/>
      <c r="BW31" s="77"/>
      <c r="BX31" s="77"/>
      <c r="CD31" s="12">
        <f t="shared" si="35"/>
        <v>3.5</v>
      </c>
      <c r="CE31">
        <f t="shared" si="36"/>
        <v>0</v>
      </c>
      <c r="CF31">
        <f t="shared" si="76"/>
        <v>213.5</v>
      </c>
      <c r="CG31">
        <f t="shared" si="77"/>
        <v>0</v>
      </c>
      <c r="CH31">
        <f t="shared" si="37"/>
        <v>3.5</v>
      </c>
      <c r="CI31">
        <f t="shared" si="38"/>
        <v>0</v>
      </c>
      <c r="CJ31" s="12">
        <f t="shared" si="39"/>
        <v>3</v>
      </c>
      <c r="CK31">
        <f t="shared" si="40"/>
        <v>0.19999999999999929</v>
      </c>
      <c r="CL31">
        <f t="shared" si="41"/>
        <v>183</v>
      </c>
      <c r="CM31">
        <f t="shared" si="42"/>
        <v>11.999999999999957</v>
      </c>
      <c r="CN31">
        <f t="shared" si="43"/>
        <v>3.1999999999999993</v>
      </c>
      <c r="CO31">
        <f t="shared" si="44"/>
        <v>0.19999999999999929</v>
      </c>
      <c r="CP31" s="12">
        <f t="shared" si="45"/>
        <v>3.3000000000000007</v>
      </c>
      <c r="CQ31">
        <f t="shared" si="46"/>
        <v>0.19999999999999929</v>
      </c>
      <c r="CR31">
        <f t="shared" si="47"/>
        <v>201.30000000000004</v>
      </c>
      <c r="CS31">
        <f t="shared" si="48"/>
        <v>11.999999999999957</v>
      </c>
      <c r="CT31">
        <f t="shared" si="49"/>
        <v>3.5</v>
      </c>
      <c r="CU31">
        <f t="shared" si="50"/>
        <v>0.19999999999999929</v>
      </c>
      <c r="CV31" s="12">
        <f t="shared" si="51"/>
        <v>2.9999999999999929</v>
      </c>
      <c r="CW31">
        <f t="shared" si="52"/>
        <v>0.20000000000000284</v>
      </c>
      <c r="CX31">
        <f t="shared" si="53"/>
        <v>182.99999999999957</v>
      </c>
      <c r="CY31">
        <f t="shared" si="54"/>
        <v>12.000000000000171</v>
      </c>
      <c r="CZ31">
        <f t="shared" si="55"/>
        <v>3.1999999999999957</v>
      </c>
      <c r="DA31">
        <f t="shared" si="56"/>
        <v>0.20000000000000284</v>
      </c>
      <c r="DB31" s="12">
        <f t="shared" si="57"/>
        <v>3.0999999999999943</v>
      </c>
      <c r="DC31">
        <f t="shared" si="58"/>
        <v>0.20000000000000284</v>
      </c>
      <c r="DD31">
        <f t="shared" si="59"/>
        <v>189.09999999999965</v>
      </c>
      <c r="DE31">
        <f t="shared" si="60"/>
        <v>12.000000000000171</v>
      </c>
      <c r="DF31">
        <f t="shared" si="61"/>
        <v>3.2999999999999972</v>
      </c>
      <c r="DG31">
        <f t="shared" si="62"/>
        <v>0.20000000000000284</v>
      </c>
      <c r="DH31" s="500">
        <f t="shared" si="89"/>
        <v>2.0999999999999979</v>
      </c>
      <c r="DI31" s="266">
        <f t="shared" si="90"/>
        <v>0</v>
      </c>
      <c r="DJ31">
        <f t="shared" si="65"/>
        <v>128.09999999999988</v>
      </c>
      <c r="DK31">
        <f t="shared" si="66"/>
        <v>0</v>
      </c>
      <c r="DL31">
        <f t="shared" si="67"/>
        <v>0.69999999999999929</v>
      </c>
      <c r="DM31">
        <f t="shared" si="68"/>
        <v>0</v>
      </c>
      <c r="DN31" s="500">
        <f t="shared" si="91"/>
        <v>3</v>
      </c>
      <c r="DO31" s="266">
        <f t="shared" si="92"/>
        <v>0</v>
      </c>
      <c r="DP31">
        <f>DN31*$CC$18</f>
        <v>183</v>
      </c>
      <c r="DQ31">
        <f>DO31*$CC$19</f>
        <v>0</v>
      </c>
      <c r="DR31">
        <f t="shared" si="93"/>
        <v>1</v>
      </c>
      <c r="DS31">
        <f t="shared" si="87"/>
        <v>0</v>
      </c>
      <c r="DV31" s="41">
        <f t="shared" si="88"/>
        <v>-54.900000000000119</v>
      </c>
      <c r="DW31">
        <f t="shared" si="78"/>
        <v>-12.19999999999996</v>
      </c>
      <c r="DX31">
        <f t="shared" si="79"/>
        <v>-30.500000000000426</v>
      </c>
      <c r="DY31">
        <f t="shared" si="80"/>
        <v>-24.400000000000347</v>
      </c>
      <c r="DZ31">
        <f t="shared" si="81"/>
        <v>-22.366666666666912</v>
      </c>
    </row>
    <row r="32" spans="1:132" ht="16.5" thickTop="1" thickBot="1">
      <c r="A32" s="14">
        <v>44494</v>
      </c>
      <c r="B32" s="34">
        <v>25.5</v>
      </c>
      <c r="C32" s="34">
        <v>25.6</v>
      </c>
      <c r="D32" s="66">
        <v>29.5</v>
      </c>
      <c r="E32" s="103">
        <v>29.5</v>
      </c>
      <c r="F32" s="103">
        <v>29.7</v>
      </c>
      <c r="G32" s="133">
        <v>33.4</v>
      </c>
      <c r="H32" s="91">
        <v>33.4</v>
      </c>
      <c r="I32" s="91">
        <v>33.6</v>
      </c>
      <c r="J32" s="134">
        <v>37</v>
      </c>
      <c r="K32" s="95">
        <v>37</v>
      </c>
      <c r="L32" s="95">
        <v>37.1</v>
      </c>
      <c r="M32" s="135">
        <v>40.799999999999997</v>
      </c>
      <c r="N32" s="99">
        <v>40.799999999999997</v>
      </c>
      <c r="O32" s="99">
        <v>41</v>
      </c>
      <c r="P32" s="136">
        <v>44.3</v>
      </c>
      <c r="Y32">
        <f t="shared" si="1"/>
        <v>389.99999999999989</v>
      </c>
      <c r="Z32">
        <f t="shared" si="2"/>
        <v>10.000000000000142</v>
      </c>
      <c r="AA32" s="4">
        <f t="shared" si="3"/>
        <v>369.99999999999994</v>
      </c>
      <c r="AB32" s="4">
        <f t="shared" si="4"/>
        <v>19.999999999999929</v>
      </c>
      <c r="AC32" s="1">
        <f t="shared" si="5"/>
        <v>339.99999999999989</v>
      </c>
      <c r="AD32" s="1">
        <f t="shared" si="6"/>
        <v>20.000000000000284</v>
      </c>
      <c r="AE32" s="2">
        <f t="shared" si="7"/>
        <v>369.99999999999955</v>
      </c>
      <c r="AF32" s="2">
        <f t="shared" si="8"/>
        <v>10.000000000000142</v>
      </c>
      <c r="AG32" s="3">
        <f t="shared" si="9"/>
        <v>329.99999999999972</v>
      </c>
      <c r="AH32" s="3">
        <f t="shared" si="10"/>
        <v>20.000000000000284</v>
      </c>
      <c r="AL32">
        <f t="shared" si="11"/>
        <v>327.59999999999991</v>
      </c>
      <c r="AM32">
        <f t="shared" si="12"/>
        <v>8.4000000000001194</v>
      </c>
      <c r="AN32">
        <f t="shared" si="13"/>
        <v>310.79999999999995</v>
      </c>
      <c r="AO32">
        <f t="shared" si="14"/>
        <v>16.79999999999994</v>
      </c>
      <c r="AP32">
        <f t="shared" si="15"/>
        <v>285.59999999999991</v>
      </c>
      <c r="AQ32">
        <f t="shared" si="16"/>
        <v>16.800000000000239</v>
      </c>
      <c r="AR32">
        <f t="shared" si="17"/>
        <v>310.79999999999961</v>
      </c>
      <c r="AS32">
        <f t="shared" si="18"/>
        <v>8.4000000000001194</v>
      </c>
      <c r="AT32">
        <f t="shared" si="19"/>
        <v>277.19999999999976</v>
      </c>
      <c r="AU32">
        <f t="shared" si="20"/>
        <v>16.800000000000239</v>
      </c>
      <c r="AY32">
        <f t="shared" si="21"/>
        <v>8.3999999999998209</v>
      </c>
      <c r="AZ32">
        <f t="shared" si="22"/>
        <v>8.4000000000001194</v>
      </c>
      <c r="BA32">
        <f t="shared" si="23"/>
        <v>0</v>
      </c>
      <c r="BB32">
        <f t="shared" si="24"/>
        <v>8.4000000000001194</v>
      </c>
      <c r="BC32">
        <f t="shared" si="25"/>
        <v>5.6000000000000796</v>
      </c>
      <c r="BD32">
        <f t="shared" si="69"/>
        <v>-16.799999999999955</v>
      </c>
      <c r="BE32">
        <f t="shared" si="70"/>
        <v>-42</v>
      </c>
      <c r="BF32">
        <f t="shared" si="71"/>
        <v>-16.800000000000296</v>
      </c>
      <c r="BG32">
        <f t="shared" si="72"/>
        <v>-50.400000000000148</v>
      </c>
      <c r="BH32">
        <f t="shared" si="73"/>
        <v>-36.400000000000148</v>
      </c>
      <c r="BK32" s="77">
        <f t="shared" si="74"/>
        <v>234.04289999999992</v>
      </c>
      <c r="BL32" s="77">
        <f t="shared" si="75"/>
        <v>6.0011000000000854</v>
      </c>
      <c r="BM32" s="296">
        <f t="shared" si="26"/>
        <v>222.04069999999996</v>
      </c>
      <c r="BN32" s="296">
        <f t="shared" si="27"/>
        <v>12.002199999999958</v>
      </c>
      <c r="BO32" s="297">
        <f t="shared" si="28"/>
        <v>204.03739999999993</v>
      </c>
      <c r="BP32" s="297">
        <f t="shared" si="29"/>
        <v>12.002200000000171</v>
      </c>
      <c r="BQ32" s="298">
        <f t="shared" si="30"/>
        <v>222.04069999999976</v>
      </c>
      <c r="BR32" s="298">
        <f t="shared" si="31"/>
        <v>6.0011000000000854</v>
      </c>
      <c r="BS32" s="299">
        <f t="shared" si="32"/>
        <v>198.03629999999984</v>
      </c>
      <c r="BT32" s="299">
        <f t="shared" si="33"/>
        <v>12.002200000000171</v>
      </c>
      <c r="BU32" s="77"/>
      <c r="BV32" s="77"/>
      <c r="BW32" s="77"/>
      <c r="BX32" s="77"/>
      <c r="CD32" s="12">
        <f t="shared" si="35"/>
        <v>3.7999999999999972</v>
      </c>
      <c r="CE32">
        <f t="shared" si="36"/>
        <v>0.10000000000000142</v>
      </c>
      <c r="CF32">
        <f t="shared" si="76"/>
        <v>231.79999999999984</v>
      </c>
      <c r="CG32">
        <f t="shared" si="77"/>
        <v>6.0000000000000853</v>
      </c>
      <c r="CH32">
        <f t="shared" si="37"/>
        <v>3.8999999999999986</v>
      </c>
      <c r="CI32">
        <f t="shared" si="38"/>
        <v>0.10000000000000142</v>
      </c>
      <c r="CJ32" s="12">
        <f t="shared" si="39"/>
        <v>3.5</v>
      </c>
      <c r="CK32">
        <f t="shared" si="40"/>
        <v>0.19999999999999929</v>
      </c>
      <c r="CL32">
        <f t="shared" si="41"/>
        <v>213.5</v>
      </c>
      <c r="CM32">
        <f t="shared" si="42"/>
        <v>11.999999999999957</v>
      </c>
      <c r="CN32">
        <f t="shared" si="43"/>
        <v>3.6999999999999993</v>
      </c>
      <c r="CO32">
        <f t="shared" si="44"/>
        <v>0.19999999999999929</v>
      </c>
      <c r="CP32" s="12">
        <f t="shared" si="45"/>
        <v>3.1999999999999957</v>
      </c>
      <c r="CQ32">
        <f t="shared" si="46"/>
        <v>0.20000000000000284</v>
      </c>
      <c r="CR32">
        <f t="shared" si="47"/>
        <v>195.19999999999973</v>
      </c>
      <c r="CS32">
        <f t="shared" si="48"/>
        <v>12.000000000000171</v>
      </c>
      <c r="CT32">
        <f t="shared" si="49"/>
        <v>3.3999999999999986</v>
      </c>
      <c r="CU32">
        <f t="shared" si="50"/>
        <v>0.20000000000000284</v>
      </c>
      <c r="CV32" s="12">
        <f t="shared" si="51"/>
        <v>3.5999999999999943</v>
      </c>
      <c r="CW32">
        <f t="shared" si="52"/>
        <v>0.10000000000000142</v>
      </c>
      <c r="CX32">
        <f t="shared" si="53"/>
        <v>219.59999999999965</v>
      </c>
      <c r="CY32">
        <f t="shared" si="54"/>
        <v>6.0000000000000853</v>
      </c>
      <c r="CZ32">
        <f t="shared" si="55"/>
        <v>3.6999999999999957</v>
      </c>
      <c r="DA32">
        <f t="shared" si="56"/>
        <v>0.10000000000000142</v>
      </c>
      <c r="DB32" s="12">
        <f t="shared" si="57"/>
        <v>3.0999999999999943</v>
      </c>
      <c r="DC32">
        <f t="shared" si="58"/>
        <v>0.20000000000000284</v>
      </c>
      <c r="DD32">
        <f t="shared" si="59"/>
        <v>189.09999999999965</v>
      </c>
      <c r="DE32">
        <f t="shared" si="60"/>
        <v>12.000000000000171</v>
      </c>
      <c r="DF32">
        <f t="shared" si="61"/>
        <v>3.2999999999999972</v>
      </c>
      <c r="DG32">
        <f t="shared" si="62"/>
        <v>0.20000000000000284</v>
      </c>
      <c r="DH32" s="500">
        <f>(((DL32-DM32)*$CC$16)/$CC$15)</f>
        <v>2.9000000000000004</v>
      </c>
      <c r="DI32" s="266">
        <f>(DM32*$CC$16)/$CC$15</f>
        <v>9.9999999999999645E-2</v>
      </c>
      <c r="DJ32">
        <f t="shared" si="65"/>
        <v>176.90000000000003</v>
      </c>
      <c r="DK32">
        <f t="shared" si="66"/>
        <v>5.9999999999999787</v>
      </c>
      <c r="DL32">
        <f t="shared" si="67"/>
        <v>3</v>
      </c>
      <c r="DM32">
        <f t="shared" si="68"/>
        <v>9.9999999999999645E-2</v>
      </c>
      <c r="DN32" s="500">
        <f t="shared" si="91"/>
        <v>6.2999999999999954</v>
      </c>
      <c r="DO32" s="266">
        <f t="shared" si="92"/>
        <v>0.60000000000000053</v>
      </c>
      <c r="DP32">
        <f>DN32*$CC$18</f>
        <v>384.29999999999973</v>
      </c>
      <c r="DQ32">
        <f>DO32*$CC$19</f>
        <v>36.000000000000028</v>
      </c>
      <c r="DR32">
        <f t="shared" si="93"/>
        <v>2.2999999999999989</v>
      </c>
      <c r="DS32">
        <f t="shared" si="87"/>
        <v>0.20000000000000018</v>
      </c>
      <c r="DV32" s="41">
        <f t="shared" si="88"/>
        <v>-207.39999999999969</v>
      </c>
      <c r="DW32">
        <f t="shared" si="78"/>
        <v>-36.600000000000108</v>
      </c>
      <c r="DX32">
        <f t="shared" si="79"/>
        <v>-12.200000000000188</v>
      </c>
      <c r="DY32">
        <f t="shared" si="80"/>
        <v>-42.700000000000188</v>
      </c>
      <c r="DZ32">
        <f t="shared" si="81"/>
        <v>-30.50000000000016</v>
      </c>
    </row>
    <row r="33" spans="1:132" s="619" customFormat="1" ht="16.5" thickTop="1" thickBot="1">
      <c r="A33" s="618">
        <v>44503</v>
      </c>
      <c r="B33" s="619" t="s">
        <v>182</v>
      </c>
      <c r="C33" s="619" t="s">
        <v>182</v>
      </c>
      <c r="D33" s="620" t="s">
        <v>182</v>
      </c>
      <c r="E33" s="621" t="s">
        <v>182</v>
      </c>
      <c r="F33" s="621" t="s">
        <v>182</v>
      </c>
      <c r="G33" s="622" t="s">
        <v>182</v>
      </c>
      <c r="H33" s="623" t="s">
        <v>182</v>
      </c>
      <c r="I33" s="623" t="s">
        <v>182</v>
      </c>
      <c r="J33" s="624" t="s">
        <v>182</v>
      </c>
      <c r="K33" s="625" t="s">
        <v>182</v>
      </c>
      <c r="L33" s="625" t="s">
        <v>182</v>
      </c>
      <c r="M33" s="626" t="s">
        <v>182</v>
      </c>
      <c r="N33" s="627" t="s">
        <v>182</v>
      </c>
      <c r="O33" s="627" t="s">
        <v>182</v>
      </c>
      <c r="P33" s="628" t="s">
        <v>182</v>
      </c>
      <c r="Q33" s="629"/>
      <c r="R33" s="629"/>
      <c r="S33" s="630"/>
      <c r="T33" s="631"/>
      <c r="U33" s="631"/>
      <c r="V33" s="631"/>
      <c r="W33" s="631"/>
      <c r="Y33" s="619" t="e">
        <f t="shared" ref="Y33:Y36" si="94">(D33-C33)*100</f>
        <v>#VALUE!</v>
      </c>
      <c r="Z33" s="619" t="e">
        <f t="shared" ref="Z33:Z36" si="95">(C33-B33)*100</f>
        <v>#VALUE!</v>
      </c>
      <c r="AA33" s="621" t="e">
        <f t="shared" ref="AA33:AA36" si="96">(G33-F33)*100</f>
        <v>#VALUE!</v>
      </c>
      <c r="AB33" s="621" t="e">
        <f t="shared" ref="AB33:AB36" si="97">(F33-E33)*100</f>
        <v>#VALUE!</v>
      </c>
      <c r="AC33" s="623" t="e">
        <f t="shared" ref="AC33:AC36" si="98">(J33-I33)*100</f>
        <v>#VALUE!</v>
      </c>
      <c r="AD33" s="623" t="e">
        <f t="shared" ref="AD33:AD36" si="99">(I33-H33)*100</f>
        <v>#VALUE!</v>
      </c>
      <c r="AE33" s="625" t="e">
        <f t="shared" ref="AE33:AE36" si="100">(M33-L33)*100</f>
        <v>#VALUE!</v>
      </c>
      <c r="AF33" s="625" t="e">
        <f t="shared" ref="AF33:AF36" si="101">(L33-K33)*100</f>
        <v>#VALUE!</v>
      </c>
      <c r="AG33" s="627" t="e">
        <f t="shared" ref="AG33:AG36" si="102">(P33-O33)*100</f>
        <v>#VALUE!</v>
      </c>
      <c r="AH33" s="627" t="e">
        <f t="shared" ref="AH33:AH36" si="103">(O33-N33)*100</f>
        <v>#VALUE!</v>
      </c>
      <c r="AI33" s="629"/>
      <c r="AJ33" s="629"/>
      <c r="AL33" s="619" t="e">
        <f t="shared" ref="AL33:AL36" si="104">(Y33/100)*84</f>
        <v>#VALUE!</v>
      </c>
      <c r="AM33" s="619" t="e">
        <f t="shared" ref="AM33:AM36" si="105">(Z33/100)*84</f>
        <v>#VALUE!</v>
      </c>
      <c r="AN33" s="619" t="e">
        <f t="shared" ref="AN33:AN36" si="106">(AA33/100)*84</f>
        <v>#VALUE!</v>
      </c>
      <c r="AO33" s="619" t="e">
        <f t="shared" ref="AO33:AO36" si="107">(AB33/100)*84</f>
        <v>#VALUE!</v>
      </c>
      <c r="AP33" s="619" t="e">
        <f t="shared" ref="AP33:AP36" si="108">(AC33/100)*84</f>
        <v>#VALUE!</v>
      </c>
      <c r="AQ33" s="619" t="e">
        <f t="shared" ref="AQ33:AQ36" si="109">(AD33/100)*84</f>
        <v>#VALUE!</v>
      </c>
      <c r="AR33" s="619" t="e">
        <f t="shared" ref="AR33:AR36" si="110">(AE33/100)*84</f>
        <v>#VALUE!</v>
      </c>
      <c r="AS33" s="619" t="e">
        <f t="shared" ref="AS33:AS36" si="111">(AF33/100)*84</f>
        <v>#VALUE!</v>
      </c>
      <c r="AT33" s="619" t="e">
        <f t="shared" ref="AT33:AT36" si="112">(AG33/100)*84</f>
        <v>#VALUE!</v>
      </c>
      <c r="AU33" s="619" t="e">
        <f t="shared" ref="AU33:AU36" si="113">(AH33/100)*84</f>
        <v>#VALUE!</v>
      </c>
      <c r="BD33" s="619" t="s">
        <v>182</v>
      </c>
      <c r="BE33" s="619" t="s">
        <v>182</v>
      </c>
      <c r="BF33" s="619" t="s">
        <v>182</v>
      </c>
      <c r="BG33" s="619" t="s">
        <v>182</v>
      </c>
      <c r="BH33" s="619" t="s">
        <v>182</v>
      </c>
      <c r="BK33" s="632" t="s">
        <v>182</v>
      </c>
      <c r="BL33" s="632" t="s">
        <v>182</v>
      </c>
      <c r="BM33" s="633" t="s">
        <v>182</v>
      </c>
      <c r="BN33" s="633" t="s">
        <v>182</v>
      </c>
      <c r="BO33" s="634" t="s">
        <v>182</v>
      </c>
      <c r="BP33" s="634" t="s">
        <v>182</v>
      </c>
      <c r="BQ33" s="635" t="s">
        <v>182</v>
      </c>
      <c r="BR33" s="635" t="s">
        <v>182</v>
      </c>
      <c r="BS33" s="636" t="s">
        <v>182</v>
      </c>
      <c r="BT33" s="636" t="s">
        <v>182</v>
      </c>
      <c r="BU33" s="632"/>
      <c r="BV33" s="632"/>
      <c r="BW33" s="632"/>
      <c r="BX33" s="632"/>
      <c r="CD33" s="191" t="e">
        <f>((CH33-CI33)*$CC$16)/$CC$15</f>
        <v>#VALUE!</v>
      </c>
      <c r="CE33" s="619" t="e">
        <f t="shared" si="36"/>
        <v>#VALUE!</v>
      </c>
      <c r="CF33" s="619" t="s">
        <v>182</v>
      </c>
      <c r="CG33" s="619" t="s">
        <v>182</v>
      </c>
      <c r="CH33" s="619" t="s">
        <v>182</v>
      </c>
      <c r="CI33" s="619" t="s">
        <v>182</v>
      </c>
      <c r="CJ33" s="619" t="s">
        <v>182</v>
      </c>
      <c r="CK33" s="619" t="s">
        <v>182</v>
      </c>
      <c r="CL33" s="619" t="s">
        <v>182</v>
      </c>
      <c r="CM33" s="619" t="s">
        <v>182</v>
      </c>
      <c r="CN33" s="619" t="s">
        <v>182</v>
      </c>
      <c r="CO33" s="619" t="s">
        <v>182</v>
      </c>
      <c r="CP33" s="619" t="s">
        <v>182</v>
      </c>
      <c r="CQ33" s="619" t="s">
        <v>182</v>
      </c>
      <c r="CR33" s="619" t="s">
        <v>182</v>
      </c>
      <c r="CS33" s="619" t="s">
        <v>182</v>
      </c>
      <c r="CT33" s="619" t="s">
        <v>182</v>
      </c>
      <c r="CU33" s="619" t="s">
        <v>182</v>
      </c>
      <c r="CV33" s="619" t="s">
        <v>182</v>
      </c>
      <c r="CW33" s="619" t="s">
        <v>182</v>
      </c>
      <c r="CX33" s="619" t="s">
        <v>182</v>
      </c>
      <c r="CY33" s="619" t="s">
        <v>182</v>
      </c>
      <c r="CZ33" s="619" t="s">
        <v>182</v>
      </c>
      <c r="DA33" s="619" t="s">
        <v>182</v>
      </c>
      <c r="DB33" s="619" t="s">
        <v>182</v>
      </c>
      <c r="DC33" s="619" t="s">
        <v>182</v>
      </c>
      <c r="DD33" s="619" t="s">
        <v>182</v>
      </c>
      <c r="DE33" s="619" t="s">
        <v>182</v>
      </c>
      <c r="DF33" s="619" t="s">
        <v>182</v>
      </c>
      <c r="DG33" s="619" t="s">
        <v>182</v>
      </c>
      <c r="DH33" s="619" t="s">
        <v>182</v>
      </c>
      <c r="DI33" s="619" t="s">
        <v>182</v>
      </c>
      <c r="DJ33" s="619" t="s">
        <v>182</v>
      </c>
      <c r="DK33" s="619" t="s">
        <v>182</v>
      </c>
      <c r="DL33" s="619" t="s">
        <v>182</v>
      </c>
      <c r="DM33" s="619" t="s">
        <v>182</v>
      </c>
      <c r="DN33" s="619" t="s">
        <v>182</v>
      </c>
      <c r="DO33" s="619" t="s">
        <v>182</v>
      </c>
      <c r="DP33" s="619" t="s">
        <v>182</v>
      </c>
      <c r="DQ33" s="619" t="s">
        <v>182</v>
      </c>
      <c r="DR33" s="619" t="s">
        <v>182</v>
      </c>
      <c r="DS33" s="619" t="s">
        <v>182</v>
      </c>
      <c r="DV33" s="41" t="e">
        <f t="shared" si="88"/>
        <v>#VALUE!</v>
      </c>
      <c r="DW33" t="s">
        <v>182</v>
      </c>
      <c r="DX33" t="s">
        <v>182</v>
      </c>
      <c r="DY33" t="s">
        <v>182</v>
      </c>
      <c r="DZ33" t="s">
        <v>182</v>
      </c>
    </row>
    <row r="34" spans="1:132" ht="16.5" thickTop="1" thickBot="1">
      <c r="A34" s="14">
        <v>44504</v>
      </c>
      <c r="B34">
        <v>28.7</v>
      </c>
      <c r="C34">
        <v>28.7</v>
      </c>
      <c r="D34" s="66">
        <v>31</v>
      </c>
      <c r="E34" s="103">
        <v>31</v>
      </c>
      <c r="F34" s="103">
        <v>32</v>
      </c>
      <c r="G34" s="133">
        <v>44.5</v>
      </c>
      <c r="H34" s="91">
        <v>0.9</v>
      </c>
      <c r="I34" s="91">
        <v>2.2000000000000002</v>
      </c>
      <c r="J34" s="134">
        <v>17.8</v>
      </c>
      <c r="K34" s="95">
        <v>17.8</v>
      </c>
      <c r="L34" s="95">
        <v>19.399999999999999</v>
      </c>
      <c r="M34" s="135">
        <v>26.7</v>
      </c>
      <c r="N34" s="99">
        <v>26.7</v>
      </c>
      <c r="O34" s="99">
        <v>28.1</v>
      </c>
      <c r="P34" s="136">
        <v>35.6</v>
      </c>
      <c r="Q34" s="109">
        <v>35.6</v>
      </c>
      <c r="R34" s="109">
        <v>35.700000000000003</v>
      </c>
      <c r="S34" s="137">
        <v>39.799999999999997</v>
      </c>
      <c r="Y34">
        <f t="shared" si="94"/>
        <v>230.00000000000006</v>
      </c>
      <c r="Z34">
        <f t="shared" si="95"/>
        <v>0</v>
      </c>
      <c r="AA34" s="4">
        <f t="shared" si="96"/>
        <v>1250</v>
      </c>
      <c r="AB34" s="4">
        <f t="shared" si="97"/>
        <v>100</v>
      </c>
      <c r="AC34" s="1">
        <f t="shared" si="98"/>
        <v>1560.0000000000002</v>
      </c>
      <c r="AD34" s="1">
        <f t="shared" si="99"/>
        <v>130.00000000000003</v>
      </c>
      <c r="AE34" s="2">
        <f t="shared" si="100"/>
        <v>730.00000000000011</v>
      </c>
      <c r="AF34" s="2">
        <f t="shared" si="101"/>
        <v>159.99999999999977</v>
      </c>
      <c r="AG34" s="3">
        <f t="shared" si="102"/>
        <v>750</v>
      </c>
      <c r="AH34" s="3">
        <f t="shared" si="103"/>
        <v>140.00000000000023</v>
      </c>
      <c r="AI34" s="72">
        <f>($S34-$R34)*100</f>
        <v>409.99999999999943</v>
      </c>
      <c r="AJ34" s="72">
        <f>($R34-$Q34)*100</f>
        <v>10.000000000000142</v>
      </c>
      <c r="AL34">
        <f t="shared" si="104"/>
        <v>193.20000000000005</v>
      </c>
      <c r="AM34">
        <f t="shared" si="105"/>
        <v>0</v>
      </c>
      <c r="AN34">
        <f t="shared" si="106"/>
        <v>1050</v>
      </c>
      <c r="AO34">
        <f t="shared" si="107"/>
        <v>84</v>
      </c>
      <c r="AP34">
        <f t="shared" si="108"/>
        <v>1310.4000000000001</v>
      </c>
      <c r="AQ34">
        <f t="shared" si="109"/>
        <v>109.20000000000002</v>
      </c>
      <c r="AR34">
        <f t="shared" si="110"/>
        <v>613.20000000000005</v>
      </c>
      <c r="AS34">
        <f t="shared" si="111"/>
        <v>134.39999999999981</v>
      </c>
      <c r="AT34">
        <f t="shared" si="112"/>
        <v>630</v>
      </c>
      <c r="AU34">
        <f t="shared" si="113"/>
        <v>117.60000000000019</v>
      </c>
      <c r="AV34">
        <f>(AI34/100)*84</f>
        <v>344.39999999999952</v>
      </c>
      <c r="AW34">
        <f>(AJ34/100)*84</f>
        <v>8.4000000000001194</v>
      </c>
      <c r="BD34">
        <f t="shared" si="69"/>
        <v>856.8</v>
      </c>
      <c r="BE34">
        <f t="shared" si="70"/>
        <v>1117.2</v>
      </c>
      <c r="BF34">
        <f t="shared" si="71"/>
        <v>420</v>
      </c>
      <c r="BG34">
        <f t="shared" si="72"/>
        <v>436.79999999999995</v>
      </c>
      <c r="BH34">
        <f t="shared" si="73"/>
        <v>658</v>
      </c>
      <c r="BK34" s="77">
        <f t="shared" si="74"/>
        <v>138.02530000000004</v>
      </c>
      <c r="BL34" s="77">
        <f t="shared" si="75"/>
        <v>0</v>
      </c>
      <c r="BM34" s="296">
        <f t="shared" si="26"/>
        <v>750.13750000000005</v>
      </c>
      <c r="BN34" s="296">
        <f t="shared" si="27"/>
        <v>60.011000000000003</v>
      </c>
      <c r="BO34" s="297">
        <f t="shared" si="28"/>
        <v>936.17160000000013</v>
      </c>
      <c r="BP34" s="297">
        <f t="shared" si="29"/>
        <v>78.01430000000002</v>
      </c>
      <c r="BQ34" s="298">
        <f t="shared" si="30"/>
        <v>438.08030000000008</v>
      </c>
      <c r="BR34" s="298">
        <f t="shared" si="31"/>
        <v>96.017599999999874</v>
      </c>
      <c r="BS34" s="299">
        <f t="shared" si="32"/>
        <v>450.08250000000004</v>
      </c>
      <c r="BT34" s="299">
        <f t="shared" si="33"/>
        <v>84.015400000000128</v>
      </c>
      <c r="BU34" s="300">
        <f>($S34-$R34)*60.011</f>
        <v>246.04509999999968</v>
      </c>
      <c r="BV34" s="300">
        <f>($R34-$Q34)*60.011</f>
        <v>6.0011000000000854</v>
      </c>
      <c r="BW34" s="77"/>
      <c r="BX34" s="77"/>
      <c r="CD34" s="12">
        <f t="shared" si="35"/>
        <v>2.3000000000000007</v>
      </c>
      <c r="CE34">
        <f t="shared" si="36"/>
        <v>0</v>
      </c>
      <c r="CF34">
        <f t="shared" si="76"/>
        <v>140.30000000000004</v>
      </c>
      <c r="CG34">
        <f t="shared" si="77"/>
        <v>0</v>
      </c>
      <c r="CH34">
        <f t="shared" si="37"/>
        <v>2.3000000000000007</v>
      </c>
      <c r="CI34">
        <f t="shared" si="38"/>
        <v>0</v>
      </c>
      <c r="CJ34" s="12">
        <f t="shared" si="39"/>
        <v>11.5</v>
      </c>
      <c r="CK34">
        <f t="shared" si="40"/>
        <v>1</v>
      </c>
      <c r="CL34">
        <f t="shared" si="41"/>
        <v>701.5</v>
      </c>
      <c r="CM34">
        <f t="shared" si="42"/>
        <v>60</v>
      </c>
      <c r="CN34">
        <f t="shared" si="43"/>
        <v>12.5</v>
      </c>
      <c r="CO34">
        <f t="shared" si="44"/>
        <v>1</v>
      </c>
      <c r="CP34" s="12">
        <f t="shared" si="45"/>
        <v>14.3</v>
      </c>
      <c r="CQ34">
        <f t="shared" si="46"/>
        <v>1.3000000000000003</v>
      </c>
      <c r="CR34">
        <f t="shared" si="47"/>
        <v>872.30000000000007</v>
      </c>
      <c r="CS34">
        <f t="shared" si="48"/>
        <v>78.000000000000014</v>
      </c>
      <c r="CT34">
        <f t="shared" si="49"/>
        <v>15.600000000000001</v>
      </c>
      <c r="CU34">
        <f t="shared" si="50"/>
        <v>1.3000000000000003</v>
      </c>
      <c r="CV34" s="12">
        <f t="shared" si="51"/>
        <v>5.7000000000000028</v>
      </c>
      <c r="CW34">
        <f t="shared" si="52"/>
        <v>1.5999999999999979</v>
      </c>
      <c r="CX34">
        <f t="shared" si="53"/>
        <v>347.70000000000016</v>
      </c>
      <c r="CY34">
        <f t="shared" si="54"/>
        <v>95.999999999999872</v>
      </c>
      <c r="CZ34">
        <f t="shared" si="55"/>
        <v>7.3000000000000007</v>
      </c>
      <c r="DA34">
        <f t="shared" si="56"/>
        <v>1.5999999999999979</v>
      </c>
      <c r="DB34" s="12">
        <f t="shared" si="57"/>
        <v>6.0999999999999979</v>
      </c>
      <c r="DC34">
        <f t="shared" si="58"/>
        <v>1.4000000000000021</v>
      </c>
      <c r="DD34">
        <f t="shared" si="59"/>
        <v>372.09999999999985</v>
      </c>
      <c r="DE34">
        <f t="shared" si="60"/>
        <v>84.000000000000128</v>
      </c>
      <c r="DF34">
        <f t="shared" si="61"/>
        <v>7.5</v>
      </c>
      <c r="DG34">
        <f t="shared" si="62"/>
        <v>1.4000000000000021</v>
      </c>
      <c r="DH34" s="500">
        <f t="shared" si="89"/>
        <v>2.6999999999999957</v>
      </c>
      <c r="DI34" s="266">
        <f t="shared" si="90"/>
        <v>0.60000000000000309</v>
      </c>
      <c r="DJ34">
        <f t="shared" ref="DJ34" si="114">DH34*$CC$18</f>
        <v>164.69999999999973</v>
      </c>
      <c r="DK34">
        <f t="shared" ref="DK34" si="115">DI34*$CC$19</f>
        <v>36.000000000000185</v>
      </c>
      <c r="DL34">
        <f>S65-R65</f>
        <v>1.0999999999999996</v>
      </c>
      <c r="DM34">
        <f t="shared" ref="DM34" si="116">R65-Q65</f>
        <v>0.20000000000000107</v>
      </c>
      <c r="DN34" t="s">
        <v>182</v>
      </c>
      <c r="DO34" s="266">
        <f t="shared" si="92"/>
        <v>2.0999999999999979</v>
      </c>
      <c r="DP34" t="s">
        <v>182</v>
      </c>
      <c r="DQ34">
        <f>DO34*$CC$19</f>
        <v>125.99999999999987</v>
      </c>
      <c r="DR34" t="s">
        <v>182</v>
      </c>
      <c r="DS34">
        <f>U65-T65</f>
        <v>0.69999999999999929</v>
      </c>
      <c r="DV34" s="41" t="e">
        <f t="shared" si="88"/>
        <v>#VALUE!</v>
      </c>
      <c r="DW34">
        <f t="shared" si="78"/>
        <v>732</v>
      </c>
      <c r="DX34">
        <f t="shared" si="79"/>
        <v>207.40000000000012</v>
      </c>
      <c r="DY34">
        <f t="shared" si="80"/>
        <v>231.79999999999981</v>
      </c>
      <c r="DZ34">
        <f t="shared" si="81"/>
        <v>390.39999999999992</v>
      </c>
    </row>
    <row r="35" spans="1:132" ht="16" thickTop="1">
      <c r="A35" s="14">
        <v>44505</v>
      </c>
      <c r="B35">
        <v>3.2</v>
      </c>
      <c r="C35">
        <v>3.9</v>
      </c>
      <c r="D35" s="66">
        <v>6.2</v>
      </c>
      <c r="E35" s="103">
        <v>6.2</v>
      </c>
      <c r="F35" s="103">
        <v>6.9</v>
      </c>
      <c r="G35" s="133">
        <v>10.9</v>
      </c>
      <c r="H35" s="91">
        <v>10.9</v>
      </c>
      <c r="I35" s="91">
        <v>11.9</v>
      </c>
      <c r="J35" s="134">
        <v>15.7</v>
      </c>
      <c r="K35" s="95">
        <v>15.7</v>
      </c>
      <c r="L35" s="95">
        <v>16.3</v>
      </c>
      <c r="M35" s="135">
        <v>18.600000000000001</v>
      </c>
      <c r="N35" s="99">
        <v>18.600000000000001</v>
      </c>
      <c r="O35" s="99">
        <v>19.600000000000001</v>
      </c>
      <c r="P35" s="136">
        <v>22.7</v>
      </c>
      <c r="Q35" s="109">
        <v>22.7</v>
      </c>
      <c r="R35" s="109">
        <v>23.1</v>
      </c>
      <c r="S35" s="137">
        <v>25.1</v>
      </c>
      <c r="Y35">
        <f t="shared" si="94"/>
        <v>230.00000000000003</v>
      </c>
      <c r="Z35">
        <f t="shared" si="95"/>
        <v>69.999999999999972</v>
      </c>
      <c r="AA35" s="4">
        <f t="shared" si="96"/>
        <v>400</v>
      </c>
      <c r="AB35" s="4">
        <f t="shared" si="97"/>
        <v>70.000000000000014</v>
      </c>
      <c r="AC35" s="1">
        <f t="shared" si="98"/>
        <v>379.99999999999989</v>
      </c>
      <c r="AD35" s="1">
        <f t="shared" si="99"/>
        <v>100</v>
      </c>
      <c r="AE35" s="2">
        <f t="shared" si="100"/>
        <v>230.00000000000006</v>
      </c>
      <c r="AF35" s="2">
        <f t="shared" si="101"/>
        <v>60.000000000000142</v>
      </c>
      <c r="AG35" s="3">
        <f t="shared" si="102"/>
        <v>309.99999999999977</v>
      </c>
      <c r="AH35" s="3">
        <f t="shared" si="103"/>
        <v>100</v>
      </c>
      <c r="AI35" s="72">
        <f t="shared" ref="AI35:AI42" si="117">(S35-R35)*100</f>
        <v>200</v>
      </c>
      <c r="AJ35" s="72">
        <f t="shared" ref="AJ35:AJ42" si="118">(R35-Q35)*100</f>
        <v>40.000000000000213</v>
      </c>
      <c r="AL35">
        <f t="shared" si="104"/>
        <v>193.20000000000002</v>
      </c>
      <c r="AM35">
        <f t="shared" si="105"/>
        <v>58.799999999999976</v>
      </c>
      <c r="AN35">
        <f t="shared" si="106"/>
        <v>336</v>
      </c>
      <c r="AO35">
        <f t="shared" si="107"/>
        <v>58.800000000000011</v>
      </c>
      <c r="AP35">
        <f t="shared" si="108"/>
        <v>319.19999999999993</v>
      </c>
      <c r="AQ35">
        <f t="shared" si="109"/>
        <v>84</v>
      </c>
      <c r="AR35">
        <f t="shared" si="110"/>
        <v>193.20000000000005</v>
      </c>
      <c r="AS35">
        <f t="shared" si="111"/>
        <v>50.400000000000119</v>
      </c>
      <c r="AT35">
        <f t="shared" si="112"/>
        <v>260.39999999999981</v>
      </c>
      <c r="AU35">
        <f t="shared" si="113"/>
        <v>84</v>
      </c>
      <c r="AV35">
        <f t="shared" ref="AV35:AV42" si="119">(AI35/100)*84</f>
        <v>168</v>
      </c>
      <c r="AW35">
        <f t="shared" ref="AW35:AW42" si="120">(AJ35/100)*84</f>
        <v>33.600000000000179</v>
      </c>
      <c r="BD35">
        <f t="shared" si="69"/>
        <v>142.79999999999998</v>
      </c>
      <c r="BE35">
        <f t="shared" si="70"/>
        <v>125.99999999999991</v>
      </c>
      <c r="BF35">
        <f t="shared" si="71"/>
        <v>0</v>
      </c>
      <c r="BG35">
        <f t="shared" si="72"/>
        <v>67.19999999999979</v>
      </c>
      <c r="BH35">
        <f t="shared" si="73"/>
        <v>64.399999999999906</v>
      </c>
      <c r="BK35" s="77">
        <f t="shared" si="74"/>
        <v>138.02530000000002</v>
      </c>
      <c r="BL35" s="77">
        <f t="shared" si="75"/>
        <v>42.007699999999986</v>
      </c>
      <c r="BM35" s="296">
        <f t="shared" si="26"/>
        <v>240.04400000000001</v>
      </c>
      <c r="BN35" s="296">
        <f t="shared" si="27"/>
        <v>42.007700000000014</v>
      </c>
      <c r="BO35" s="297">
        <f t="shared" si="28"/>
        <v>228.04179999999994</v>
      </c>
      <c r="BP35" s="297">
        <f t="shared" si="29"/>
        <v>60.011000000000003</v>
      </c>
      <c r="BQ35" s="298">
        <f t="shared" si="30"/>
        <v>138.02530000000004</v>
      </c>
      <c r="BR35" s="298">
        <f t="shared" si="31"/>
        <v>36.006600000000084</v>
      </c>
      <c r="BS35" s="299">
        <f t="shared" si="32"/>
        <v>186.03409999999988</v>
      </c>
      <c r="BT35" s="299">
        <f t="shared" si="33"/>
        <v>60.011000000000003</v>
      </c>
      <c r="BU35" s="300">
        <f t="shared" ref="BU35:BU53" si="121">($S35-$R35)*60.011</f>
        <v>120.02200000000001</v>
      </c>
      <c r="BV35" s="300">
        <f t="shared" ref="BV35:BV53" si="122">($R35-$Q35)*60.011</f>
        <v>24.004400000000128</v>
      </c>
      <c r="BW35" s="77"/>
      <c r="BX35" s="77"/>
      <c r="CD35" s="12">
        <f t="shared" si="35"/>
        <v>1.6000000000000008</v>
      </c>
      <c r="CE35">
        <f t="shared" si="36"/>
        <v>0.69999999999999973</v>
      </c>
      <c r="CF35">
        <f t="shared" si="76"/>
        <v>97.600000000000051</v>
      </c>
      <c r="CG35">
        <f t="shared" si="77"/>
        <v>41.999999999999986</v>
      </c>
      <c r="CH35">
        <f t="shared" si="37"/>
        <v>2.3000000000000003</v>
      </c>
      <c r="CI35">
        <f t="shared" si="38"/>
        <v>0.69999999999999973</v>
      </c>
      <c r="CJ35" s="12">
        <f t="shared" si="39"/>
        <v>3.3</v>
      </c>
      <c r="CK35">
        <f t="shared" si="40"/>
        <v>0.70000000000000018</v>
      </c>
      <c r="CL35">
        <f t="shared" si="41"/>
        <v>201.29999999999998</v>
      </c>
      <c r="CM35">
        <f t="shared" si="42"/>
        <v>42.000000000000014</v>
      </c>
      <c r="CN35">
        <f t="shared" si="43"/>
        <v>4</v>
      </c>
      <c r="CO35">
        <f t="shared" si="44"/>
        <v>0.70000000000000018</v>
      </c>
      <c r="CP35" s="12">
        <f t="shared" si="45"/>
        <v>2.7999999999999989</v>
      </c>
      <c r="CQ35">
        <f t="shared" si="46"/>
        <v>1</v>
      </c>
      <c r="CR35">
        <f t="shared" si="47"/>
        <v>170.79999999999993</v>
      </c>
      <c r="CS35">
        <f t="shared" si="48"/>
        <v>60</v>
      </c>
      <c r="CT35">
        <f t="shared" si="49"/>
        <v>3.7999999999999989</v>
      </c>
      <c r="CU35">
        <f t="shared" si="50"/>
        <v>1</v>
      </c>
      <c r="CV35" s="12">
        <f t="shared" si="51"/>
        <v>1.6999999999999993</v>
      </c>
      <c r="CW35">
        <f t="shared" si="52"/>
        <v>0.60000000000000142</v>
      </c>
      <c r="CX35">
        <f t="shared" si="53"/>
        <v>103.69999999999996</v>
      </c>
      <c r="CY35">
        <f t="shared" si="54"/>
        <v>36.000000000000085</v>
      </c>
      <c r="CZ35">
        <f t="shared" si="55"/>
        <v>2.3000000000000007</v>
      </c>
      <c r="DA35">
        <f t="shared" si="56"/>
        <v>0.60000000000000142</v>
      </c>
      <c r="DB35" s="12">
        <f t="shared" si="57"/>
        <v>2.0999999999999979</v>
      </c>
      <c r="DC35">
        <f t="shared" si="58"/>
        <v>1</v>
      </c>
      <c r="DD35">
        <f t="shared" si="59"/>
        <v>128.09999999999988</v>
      </c>
      <c r="DE35">
        <f t="shared" si="60"/>
        <v>60</v>
      </c>
      <c r="DF35">
        <f t="shared" si="61"/>
        <v>3.0999999999999979</v>
      </c>
      <c r="DG35">
        <f t="shared" si="62"/>
        <v>1</v>
      </c>
      <c r="DH35" s="604"/>
      <c r="DI35" s="368"/>
      <c r="DJ35" s="368"/>
      <c r="DK35" s="368"/>
      <c r="DL35" s="368"/>
      <c r="DM35" s="368"/>
      <c r="DW35">
        <f t="shared" si="78"/>
        <v>73.199999999999875</v>
      </c>
      <c r="DX35">
        <f t="shared" si="79"/>
        <v>6.0999999999999091</v>
      </c>
      <c r="DY35">
        <f t="shared" si="80"/>
        <v>30.499999999999829</v>
      </c>
      <c r="DZ35">
        <f t="shared" si="81"/>
        <v>36.599999999999874</v>
      </c>
    </row>
    <row r="36" spans="1:132">
      <c r="A36" s="14">
        <v>44510</v>
      </c>
      <c r="B36">
        <v>7.5</v>
      </c>
      <c r="C36">
        <v>7.7</v>
      </c>
      <c r="D36" s="66">
        <v>11.6</v>
      </c>
      <c r="E36" s="103">
        <v>11.6</v>
      </c>
      <c r="F36" s="103">
        <v>12</v>
      </c>
      <c r="G36" s="133">
        <v>15.9</v>
      </c>
      <c r="H36" s="91">
        <v>15.9</v>
      </c>
      <c r="I36" s="91">
        <v>16.2</v>
      </c>
      <c r="J36" s="134">
        <v>20.100000000000001</v>
      </c>
      <c r="K36" s="95">
        <v>20.100000000000001</v>
      </c>
      <c r="L36" s="95">
        <v>20.399999999999999</v>
      </c>
      <c r="M36" s="135">
        <v>23.8</v>
      </c>
      <c r="N36" s="99">
        <v>23.8</v>
      </c>
      <c r="O36" s="99">
        <v>24.3</v>
      </c>
      <c r="P36" s="136">
        <v>28</v>
      </c>
      <c r="Q36" s="109">
        <v>28</v>
      </c>
      <c r="R36" s="109">
        <v>28.4</v>
      </c>
      <c r="S36" s="137">
        <v>33.299999999999997</v>
      </c>
      <c r="Y36">
        <f t="shared" si="94"/>
        <v>389.99999999999994</v>
      </c>
      <c r="Z36">
        <f t="shared" si="95"/>
        <v>20.000000000000018</v>
      </c>
      <c r="AA36" s="4">
        <f t="shared" si="96"/>
        <v>390.00000000000006</v>
      </c>
      <c r="AB36" s="4">
        <f t="shared" si="97"/>
        <v>40.000000000000036</v>
      </c>
      <c r="AC36" s="1">
        <f t="shared" si="98"/>
        <v>390.00000000000023</v>
      </c>
      <c r="AD36" s="1">
        <f t="shared" si="99"/>
        <v>29.999999999999893</v>
      </c>
      <c r="AE36" s="2">
        <f t="shared" si="100"/>
        <v>340.00000000000023</v>
      </c>
      <c r="AF36" s="2">
        <f t="shared" si="101"/>
        <v>29.999999999999716</v>
      </c>
      <c r="AG36" s="3">
        <f t="shared" si="102"/>
        <v>369.99999999999994</v>
      </c>
      <c r="AH36" s="3">
        <f t="shared" si="103"/>
        <v>50</v>
      </c>
      <c r="AI36" s="72">
        <f t="shared" si="117"/>
        <v>489.99999999999989</v>
      </c>
      <c r="AJ36" s="72">
        <f t="shared" si="118"/>
        <v>39.999999999999858</v>
      </c>
      <c r="AL36">
        <f t="shared" si="104"/>
        <v>327.59999999999997</v>
      </c>
      <c r="AM36">
        <f t="shared" si="105"/>
        <v>16.800000000000015</v>
      </c>
      <c r="AN36">
        <f t="shared" si="106"/>
        <v>327.60000000000002</v>
      </c>
      <c r="AO36">
        <f t="shared" si="107"/>
        <v>33.60000000000003</v>
      </c>
      <c r="AP36">
        <f t="shared" si="108"/>
        <v>327.60000000000019</v>
      </c>
      <c r="AQ36">
        <f t="shared" si="109"/>
        <v>25.19999999999991</v>
      </c>
      <c r="AR36">
        <f t="shared" si="110"/>
        <v>285.60000000000019</v>
      </c>
      <c r="AS36">
        <f t="shared" si="111"/>
        <v>25.199999999999761</v>
      </c>
      <c r="AT36">
        <f t="shared" si="112"/>
        <v>310.79999999999995</v>
      </c>
      <c r="AU36">
        <f t="shared" si="113"/>
        <v>42</v>
      </c>
      <c r="AV36">
        <f t="shared" si="119"/>
        <v>411.59999999999991</v>
      </c>
      <c r="AW36">
        <f t="shared" si="120"/>
        <v>33.599999999999881</v>
      </c>
      <c r="BD36">
        <f t="shared" si="69"/>
        <v>0</v>
      </c>
      <c r="BE36">
        <f t="shared" si="70"/>
        <v>0</v>
      </c>
      <c r="BF36">
        <f t="shared" si="71"/>
        <v>-41.999999999999773</v>
      </c>
      <c r="BG36">
        <f t="shared" si="72"/>
        <v>-16.800000000000011</v>
      </c>
      <c r="BH36">
        <f t="shared" si="73"/>
        <v>-19.599999999999927</v>
      </c>
      <c r="BK36" s="77">
        <f t="shared" si="74"/>
        <v>234.04289999999997</v>
      </c>
      <c r="BL36" s="77">
        <f t="shared" si="75"/>
        <v>12.002200000000011</v>
      </c>
      <c r="BM36" s="296">
        <f t="shared" si="26"/>
        <v>234.04290000000003</v>
      </c>
      <c r="BN36" s="296">
        <f t="shared" si="27"/>
        <v>24.004400000000022</v>
      </c>
      <c r="BO36" s="297">
        <f t="shared" si="28"/>
        <v>234.04290000000015</v>
      </c>
      <c r="BP36" s="297">
        <f t="shared" si="29"/>
        <v>18.003299999999935</v>
      </c>
      <c r="BQ36" s="298">
        <f t="shared" si="30"/>
        <v>204.03740000000013</v>
      </c>
      <c r="BR36" s="298">
        <f t="shared" si="31"/>
        <v>18.003299999999829</v>
      </c>
      <c r="BS36" s="299">
        <f t="shared" si="32"/>
        <v>222.04069999999996</v>
      </c>
      <c r="BT36" s="299">
        <f t="shared" si="33"/>
        <v>30.005500000000001</v>
      </c>
      <c r="BU36" s="300">
        <f t="shared" si="121"/>
        <v>294.05389999999994</v>
      </c>
      <c r="BV36" s="300">
        <f t="shared" si="122"/>
        <v>24.004399999999915</v>
      </c>
      <c r="BW36" s="77"/>
      <c r="BX36" s="77"/>
      <c r="CD36" s="12">
        <f t="shared" si="35"/>
        <v>3.6999999999999993</v>
      </c>
      <c r="CE36">
        <f t="shared" si="36"/>
        <v>0.20000000000000018</v>
      </c>
      <c r="CF36">
        <f t="shared" si="76"/>
        <v>225.69999999999996</v>
      </c>
      <c r="CG36">
        <f t="shared" si="77"/>
        <v>12.000000000000011</v>
      </c>
      <c r="CH36">
        <f t="shared" si="37"/>
        <v>3.8999999999999995</v>
      </c>
      <c r="CI36">
        <f t="shared" si="38"/>
        <v>0.20000000000000018</v>
      </c>
      <c r="CJ36" s="12">
        <f t="shared" si="39"/>
        <v>3.5</v>
      </c>
      <c r="CK36">
        <f t="shared" si="40"/>
        <v>0.40000000000000036</v>
      </c>
      <c r="CL36">
        <f t="shared" si="41"/>
        <v>213.5</v>
      </c>
      <c r="CM36">
        <f t="shared" si="42"/>
        <v>24.000000000000021</v>
      </c>
      <c r="CN36">
        <f t="shared" si="43"/>
        <v>3.9000000000000004</v>
      </c>
      <c r="CO36">
        <f t="shared" si="44"/>
        <v>0.40000000000000036</v>
      </c>
      <c r="CP36" s="12">
        <f t="shared" si="45"/>
        <v>3.6000000000000028</v>
      </c>
      <c r="CQ36">
        <f t="shared" si="46"/>
        <v>0.29999999999999893</v>
      </c>
      <c r="CR36">
        <f t="shared" si="47"/>
        <v>219.60000000000016</v>
      </c>
      <c r="CS36">
        <f t="shared" si="48"/>
        <v>17.999999999999936</v>
      </c>
      <c r="CT36">
        <f t="shared" si="49"/>
        <v>3.9000000000000021</v>
      </c>
      <c r="CU36">
        <f t="shared" si="50"/>
        <v>0.29999999999999893</v>
      </c>
      <c r="CV36" s="12">
        <f t="shared" si="51"/>
        <v>3.100000000000005</v>
      </c>
      <c r="CW36">
        <f t="shared" si="52"/>
        <v>0.29999999999999716</v>
      </c>
      <c r="CX36">
        <f t="shared" si="53"/>
        <v>189.10000000000031</v>
      </c>
      <c r="CY36">
        <f t="shared" si="54"/>
        <v>17.999999999999829</v>
      </c>
      <c r="CZ36">
        <f t="shared" si="55"/>
        <v>3.4000000000000021</v>
      </c>
      <c r="DA36">
        <f t="shared" si="56"/>
        <v>0.29999999999999716</v>
      </c>
      <c r="DB36" s="12">
        <f t="shared" si="57"/>
        <v>3.1999999999999993</v>
      </c>
      <c r="DC36">
        <f t="shared" si="58"/>
        <v>0.5</v>
      </c>
      <c r="DD36">
        <f t="shared" si="59"/>
        <v>195.19999999999996</v>
      </c>
      <c r="DE36">
        <f t="shared" si="60"/>
        <v>30</v>
      </c>
      <c r="DF36">
        <f t="shared" si="61"/>
        <v>3.6999999999999993</v>
      </c>
      <c r="DG36">
        <f t="shared" si="62"/>
        <v>0.5</v>
      </c>
      <c r="DH36" s="12"/>
      <c r="DW36">
        <f t="shared" si="78"/>
        <v>-6.0999999999997954</v>
      </c>
      <c r="DX36">
        <f t="shared" si="79"/>
        <v>-36.599999999999653</v>
      </c>
      <c r="DY36">
        <f t="shared" si="80"/>
        <v>-30.5</v>
      </c>
      <c r="DZ36">
        <f t="shared" si="81"/>
        <v>-24.399999999999817</v>
      </c>
    </row>
    <row r="37" spans="1:132">
      <c r="A37" s="14">
        <v>44512</v>
      </c>
      <c r="B37">
        <v>8.3000000000000007</v>
      </c>
      <c r="C37">
        <v>8.8000000000000007</v>
      </c>
      <c r="D37" s="66">
        <v>13.4</v>
      </c>
      <c r="E37" s="103">
        <v>13.4</v>
      </c>
      <c r="F37" s="103">
        <v>14.1</v>
      </c>
      <c r="G37" s="133">
        <v>19.3</v>
      </c>
      <c r="H37" s="91">
        <v>19.3</v>
      </c>
      <c r="I37" s="91">
        <v>19.7</v>
      </c>
      <c r="J37" s="134">
        <v>23.7</v>
      </c>
      <c r="K37" s="95">
        <v>23.7</v>
      </c>
      <c r="L37" s="95">
        <v>24</v>
      </c>
      <c r="M37" s="135">
        <v>28</v>
      </c>
      <c r="N37" s="99">
        <v>28</v>
      </c>
      <c r="O37" s="99">
        <v>28.2</v>
      </c>
      <c r="P37" s="136">
        <v>33.299999999999997</v>
      </c>
      <c r="Q37" s="109">
        <v>33.299999999999997</v>
      </c>
      <c r="R37" s="109">
        <v>33.700000000000003</v>
      </c>
      <c r="S37" s="137">
        <v>38.200000000000003</v>
      </c>
      <c r="Y37">
        <f t="shared" ref="Y37:Y42" si="123">(D37-C37)*100</f>
        <v>459.99999999999994</v>
      </c>
      <c r="Z37">
        <f t="shared" ref="Z37:Z42" si="124">(C37-B37)*100</f>
        <v>50</v>
      </c>
      <c r="AA37" s="4">
        <f t="shared" ref="AA37:AA42" si="125">(G37-F37)*100</f>
        <v>520.00000000000011</v>
      </c>
      <c r="AB37" s="4">
        <f t="shared" ref="AB37:AB42" si="126">(F37-E37)*100</f>
        <v>69.999999999999929</v>
      </c>
      <c r="AC37" s="1">
        <f t="shared" ref="AC37:AC42" si="127">(J37-I37)*100</f>
        <v>400</v>
      </c>
      <c r="AD37" s="1">
        <f t="shared" ref="AD37:AD42" si="128">(I37-H37)*100</f>
        <v>39.999999999999858</v>
      </c>
      <c r="AE37" s="2">
        <f t="shared" ref="AE37:AE42" si="129">(M37-L37)*100</f>
        <v>400</v>
      </c>
      <c r="AF37" s="2">
        <f t="shared" ref="AF37:AF42" si="130">(L37-K37)*100</f>
        <v>30.000000000000071</v>
      </c>
      <c r="AG37" s="3">
        <f t="shared" ref="AG37:AG42" si="131">(P37-O37)*100</f>
        <v>509.99999999999977</v>
      </c>
      <c r="AH37" s="3">
        <f t="shared" ref="AH37:AH42" si="132">(O37-N37)*100</f>
        <v>19.999999999999929</v>
      </c>
      <c r="AI37" s="72">
        <f t="shared" si="117"/>
        <v>450</v>
      </c>
      <c r="AJ37" s="72">
        <f t="shared" si="118"/>
        <v>40.000000000000568</v>
      </c>
      <c r="AL37">
        <f t="shared" ref="AL37:AL42" si="133">(Y37/100)*84</f>
        <v>386.4</v>
      </c>
      <c r="AM37">
        <f t="shared" ref="AM37:AM42" si="134">(Z37/100)*84</f>
        <v>42</v>
      </c>
      <c r="AN37">
        <f t="shared" ref="AN37:AN42" si="135">(AA37/100)*84</f>
        <v>436.80000000000007</v>
      </c>
      <c r="AO37">
        <f t="shared" ref="AO37:AO42" si="136">(AB37/100)*84</f>
        <v>58.79999999999994</v>
      </c>
      <c r="AP37">
        <f t="shared" ref="AP37:AP42" si="137">(AC37/100)*84</f>
        <v>336</v>
      </c>
      <c r="AQ37">
        <f t="shared" ref="AQ37:AQ42" si="138">(AD37/100)*84</f>
        <v>33.599999999999881</v>
      </c>
      <c r="AR37">
        <f t="shared" ref="AR37:AR42" si="139">(AE37/100)*84</f>
        <v>336</v>
      </c>
      <c r="AS37">
        <f t="shared" ref="AS37:AS42" si="140">(AF37/100)*84</f>
        <v>25.20000000000006</v>
      </c>
      <c r="AT37">
        <f t="shared" ref="AT37:AT42" si="141">(AG37/100)*84</f>
        <v>428.39999999999981</v>
      </c>
      <c r="AU37">
        <f t="shared" ref="AU37:AU42" si="142">(AH37/100)*84</f>
        <v>16.79999999999994</v>
      </c>
      <c r="AV37">
        <f t="shared" si="119"/>
        <v>378</v>
      </c>
      <c r="AW37">
        <f t="shared" si="120"/>
        <v>33.600000000000477</v>
      </c>
      <c r="BD37">
        <f t="shared" si="69"/>
        <v>50.400000000000091</v>
      </c>
      <c r="BE37">
        <f t="shared" si="70"/>
        <v>-50.399999999999977</v>
      </c>
      <c r="BF37">
        <f t="shared" si="71"/>
        <v>-50.399999999999977</v>
      </c>
      <c r="BG37">
        <f t="shared" si="72"/>
        <v>41.999999999999829</v>
      </c>
      <c r="BH37">
        <f t="shared" si="73"/>
        <v>-19.600000000000041</v>
      </c>
      <c r="BK37" s="77">
        <f t="shared" si="74"/>
        <v>276.05059999999997</v>
      </c>
      <c r="BL37" s="77">
        <f t="shared" si="75"/>
        <v>30.005500000000001</v>
      </c>
      <c r="BM37" s="296">
        <f t="shared" si="26"/>
        <v>312.05720000000008</v>
      </c>
      <c r="BN37" s="296">
        <f t="shared" si="27"/>
        <v>42.007699999999957</v>
      </c>
      <c r="BO37" s="297">
        <f t="shared" si="28"/>
        <v>240.04400000000001</v>
      </c>
      <c r="BP37" s="297">
        <f t="shared" si="29"/>
        <v>24.004399999999915</v>
      </c>
      <c r="BQ37" s="298">
        <f t="shared" si="30"/>
        <v>240.04400000000001</v>
      </c>
      <c r="BR37" s="298">
        <f t="shared" si="31"/>
        <v>18.003300000000042</v>
      </c>
      <c r="BS37" s="299">
        <f t="shared" si="32"/>
        <v>306.0560999999999</v>
      </c>
      <c r="BT37" s="299">
        <f t="shared" si="33"/>
        <v>12.002199999999958</v>
      </c>
      <c r="BU37" s="300">
        <f t="shared" si="121"/>
        <v>270.04950000000002</v>
      </c>
      <c r="BV37" s="300">
        <f t="shared" si="122"/>
        <v>24.004400000000341</v>
      </c>
      <c r="BW37" s="77"/>
      <c r="BX37" s="77"/>
      <c r="CD37" s="12">
        <f t="shared" si="35"/>
        <v>4.0999999999999996</v>
      </c>
      <c r="CE37">
        <f t="shared" si="36"/>
        <v>0.5</v>
      </c>
      <c r="CF37">
        <f t="shared" si="76"/>
        <v>250.09999999999997</v>
      </c>
      <c r="CG37">
        <f t="shared" si="77"/>
        <v>30</v>
      </c>
      <c r="CH37">
        <f t="shared" si="37"/>
        <v>4.5999999999999996</v>
      </c>
      <c r="CI37">
        <f t="shared" si="38"/>
        <v>0.5</v>
      </c>
      <c r="CJ37" s="12">
        <f t="shared" si="39"/>
        <v>4.5000000000000018</v>
      </c>
      <c r="CK37">
        <f t="shared" si="40"/>
        <v>0.69999999999999929</v>
      </c>
      <c r="CL37">
        <f t="shared" si="41"/>
        <v>274.50000000000011</v>
      </c>
      <c r="CM37">
        <f t="shared" si="42"/>
        <v>41.999999999999957</v>
      </c>
      <c r="CN37">
        <f t="shared" si="43"/>
        <v>5.2000000000000011</v>
      </c>
      <c r="CO37">
        <f t="shared" si="44"/>
        <v>0.69999999999999929</v>
      </c>
      <c r="CP37" s="12">
        <f t="shared" si="45"/>
        <v>3.6000000000000014</v>
      </c>
      <c r="CQ37">
        <f t="shared" si="46"/>
        <v>0.39999999999999858</v>
      </c>
      <c r="CR37">
        <f t="shared" si="47"/>
        <v>219.60000000000008</v>
      </c>
      <c r="CS37">
        <f t="shared" si="48"/>
        <v>23.999999999999915</v>
      </c>
      <c r="CT37">
        <f t="shared" si="49"/>
        <v>4</v>
      </c>
      <c r="CU37">
        <f t="shared" si="50"/>
        <v>0.39999999999999858</v>
      </c>
      <c r="CV37" s="12">
        <f t="shared" si="51"/>
        <v>3.6999999999999993</v>
      </c>
      <c r="CW37">
        <f t="shared" si="52"/>
        <v>0.30000000000000071</v>
      </c>
      <c r="CX37">
        <f t="shared" si="53"/>
        <v>225.69999999999996</v>
      </c>
      <c r="CY37">
        <f t="shared" si="54"/>
        <v>18.000000000000043</v>
      </c>
      <c r="CZ37">
        <f t="shared" si="55"/>
        <v>4</v>
      </c>
      <c r="DA37">
        <f t="shared" si="56"/>
        <v>0.30000000000000071</v>
      </c>
      <c r="DB37" s="12">
        <f t="shared" si="57"/>
        <v>4.8999999999999986</v>
      </c>
      <c r="DC37">
        <f t="shared" si="58"/>
        <v>0.19999999999999929</v>
      </c>
      <c r="DD37">
        <f t="shared" si="59"/>
        <v>298.89999999999992</v>
      </c>
      <c r="DE37">
        <f t="shared" si="60"/>
        <v>11.999999999999957</v>
      </c>
      <c r="DF37">
        <f t="shared" si="61"/>
        <v>5.0999999999999979</v>
      </c>
      <c r="DG37">
        <f t="shared" si="62"/>
        <v>0.19999999999999929</v>
      </c>
      <c r="DH37" s="12"/>
      <c r="DW37">
        <f t="shared" si="78"/>
        <v>-30.499999999999886</v>
      </c>
      <c r="DX37">
        <f t="shared" si="79"/>
        <v>-24.400000000000006</v>
      </c>
      <c r="DY37">
        <f t="shared" si="80"/>
        <v>48.799999999999955</v>
      </c>
      <c r="DZ37">
        <f t="shared" si="81"/>
        <v>-2.0333333333333123</v>
      </c>
      <c r="EA37">
        <f>AVERAGE(DZ34:DZ47)</f>
        <v>46.766666666666652</v>
      </c>
      <c r="EB37" t="s">
        <v>1848</v>
      </c>
    </row>
    <row r="38" spans="1:132">
      <c r="A38" s="14">
        <v>44515</v>
      </c>
      <c r="B38">
        <v>8.8000000000000007</v>
      </c>
      <c r="C38">
        <v>9.3000000000000007</v>
      </c>
      <c r="D38" s="66">
        <v>13.8</v>
      </c>
      <c r="E38" s="103">
        <v>13.8</v>
      </c>
      <c r="F38" s="103">
        <v>14.1</v>
      </c>
      <c r="G38" s="133">
        <v>18.7</v>
      </c>
      <c r="H38" s="91">
        <v>18.7</v>
      </c>
      <c r="I38" s="91">
        <v>19.100000000000001</v>
      </c>
      <c r="J38" s="134">
        <v>22.9</v>
      </c>
      <c r="K38" s="95">
        <v>22.9</v>
      </c>
      <c r="L38" s="95">
        <v>23.3</v>
      </c>
      <c r="M38" s="135">
        <v>27.9</v>
      </c>
      <c r="N38" s="99">
        <v>27.9</v>
      </c>
      <c r="O38" s="99">
        <v>28.2</v>
      </c>
      <c r="P38" s="136">
        <v>32.200000000000003</v>
      </c>
      <c r="Q38" s="109">
        <v>32.200000000000003</v>
      </c>
      <c r="R38" s="109">
        <v>32.700000000000003</v>
      </c>
      <c r="S38" s="137">
        <v>36.9</v>
      </c>
      <c r="Y38">
        <f t="shared" si="123"/>
        <v>450</v>
      </c>
      <c r="Z38">
        <f t="shared" si="124"/>
        <v>50</v>
      </c>
      <c r="AA38" s="4">
        <f t="shared" si="125"/>
        <v>459.99999999999994</v>
      </c>
      <c r="AB38" s="4">
        <f t="shared" si="126"/>
        <v>29.999999999999893</v>
      </c>
      <c r="AC38" s="1">
        <f t="shared" si="127"/>
        <v>379.99999999999972</v>
      </c>
      <c r="AD38" s="1">
        <f t="shared" si="128"/>
        <v>40.000000000000213</v>
      </c>
      <c r="AE38" s="2">
        <f t="shared" si="129"/>
        <v>459.99999999999977</v>
      </c>
      <c r="AF38" s="2">
        <f t="shared" si="130"/>
        <v>40.000000000000213</v>
      </c>
      <c r="AG38" s="3">
        <f t="shared" si="131"/>
        <v>400.00000000000034</v>
      </c>
      <c r="AH38" s="3">
        <f t="shared" si="132"/>
        <v>30.000000000000071</v>
      </c>
      <c r="AI38" s="72">
        <f t="shared" si="117"/>
        <v>419.99999999999955</v>
      </c>
      <c r="AJ38" s="72">
        <f t="shared" si="118"/>
        <v>50</v>
      </c>
      <c r="AL38">
        <f t="shared" si="133"/>
        <v>378</v>
      </c>
      <c r="AM38">
        <f t="shared" si="134"/>
        <v>42</v>
      </c>
      <c r="AN38">
        <f t="shared" si="135"/>
        <v>386.4</v>
      </c>
      <c r="AO38">
        <f t="shared" si="136"/>
        <v>25.19999999999991</v>
      </c>
      <c r="AP38">
        <f t="shared" si="137"/>
        <v>319.19999999999976</v>
      </c>
      <c r="AQ38">
        <f t="shared" si="138"/>
        <v>33.600000000000179</v>
      </c>
      <c r="AR38">
        <f t="shared" si="139"/>
        <v>386.39999999999981</v>
      </c>
      <c r="AS38">
        <f t="shared" si="140"/>
        <v>33.600000000000179</v>
      </c>
      <c r="AT38">
        <f t="shared" si="141"/>
        <v>336.00000000000028</v>
      </c>
      <c r="AU38">
        <f t="shared" si="142"/>
        <v>25.20000000000006</v>
      </c>
      <c r="AV38">
        <f t="shared" si="119"/>
        <v>352.79999999999961</v>
      </c>
      <c r="AW38">
        <f t="shared" si="120"/>
        <v>42</v>
      </c>
      <c r="BD38">
        <f t="shared" si="69"/>
        <v>8.3999999999999773</v>
      </c>
      <c r="BE38">
        <f t="shared" si="70"/>
        <v>-58.800000000000239</v>
      </c>
      <c r="BF38">
        <f t="shared" si="71"/>
        <v>8.3999999999998067</v>
      </c>
      <c r="BG38">
        <f t="shared" si="72"/>
        <v>-41.999999999999716</v>
      </c>
      <c r="BH38">
        <f t="shared" si="73"/>
        <v>-30.80000000000005</v>
      </c>
      <c r="BK38" s="77">
        <f t="shared" si="74"/>
        <v>270.04950000000002</v>
      </c>
      <c r="BL38" s="77">
        <f t="shared" si="75"/>
        <v>30.005500000000001</v>
      </c>
      <c r="BM38" s="296">
        <f t="shared" si="26"/>
        <v>276.05059999999997</v>
      </c>
      <c r="BN38" s="296">
        <f t="shared" si="27"/>
        <v>18.003299999999935</v>
      </c>
      <c r="BO38" s="297">
        <f t="shared" si="28"/>
        <v>228.04179999999985</v>
      </c>
      <c r="BP38" s="297">
        <f t="shared" si="29"/>
        <v>24.004400000000128</v>
      </c>
      <c r="BQ38" s="298">
        <f t="shared" si="30"/>
        <v>276.05059999999986</v>
      </c>
      <c r="BR38" s="298">
        <f t="shared" si="31"/>
        <v>24.004400000000128</v>
      </c>
      <c r="BS38" s="299">
        <f t="shared" si="32"/>
        <v>240.04400000000024</v>
      </c>
      <c r="BT38" s="299">
        <f t="shared" si="33"/>
        <v>18.003300000000042</v>
      </c>
      <c r="BU38" s="300">
        <f t="shared" si="121"/>
        <v>252.04619999999974</v>
      </c>
      <c r="BV38" s="300">
        <f t="shared" si="122"/>
        <v>30.005500000000001</v>
      </c>
      <c r="BW38" s="77"/>
      <c r="BX38" s="77"/>
      <c r="CD38" s="12">
        <f t="shared" si="35"/>
        <v>4</v>
      </c>
      <c r="CE38">
        <f t="shared" si="36"/>
        <v>0.5</v>
      </c>
      <c r="CF38">
        <f t="shared" si="76"/>
        <v>244</v>
      </c>
      <c r="CG38">
        <f t="shared" si="77"/>
        <v>30</v>
      </c>
      <c r="CH38">
        <f t="shared" si="37"/>
        <v>4.5</v>
      </c>
      <c r="CI38">
        <f t="shared" si="38"/>
        <v>0.5</v>
      </c>
      <c r="CJ38" s="12">
        <f t="shared" si="39"/>
        <v>4.3000000000000007</v>
      </c>
      <c r="CK38">
        <f t="shared" si="40"/>
        <v>0.29999999999999893</v>
      </c>
      <c r="CL38">
        <f t="shared" si="41"/>
        <v>262.30000000000007</v>
      </c>
      <c r="CM38">
        <f t="shared" si="42"/>
        <v>17.999999999999936</v>
      </c>
      <c r="CN38">
        <f t="shared" si="43"/>
        <v>4.5999999999999996</v>
      </c>
      <c r="CO38">
        <f t="shared" si="44"/>
        <v>0.29999999999999893</v>
      </c>
      <c r="CP38" s="12">
        <f t="shared" si="45"/>
        <v>3.399999999999995</v>
      </c>
      <c r="CQ38">
        <f t="shared" si="46"/>
        <v>0.40000000000000213</v>
      </c>
      <c r="CR38">
        <f t="shared" si="47"/>
        <v>207.39999999999969</v>
      </c>
      <c r="CS38">
        <f t="shared" si="48"/>
        <v>24.000000000000128</v>
      </c>
      <c r="CT38">
        <f t="shared" si="49"/>
        <v>3.7999999999999972</v>
      </c>
      <c r="CU38">
        <f t="shared" si="50"/>
        <v>0.40000000000000213</v>
      </c>
      <c r="CV38" s="12">
        <f t="shared" si="51"/>
        <v>4.1999999999999957</v>
      </c>
      <c r="CW38">
        <f t="shared" si="52"/>
        <v>0.40000000000000213</v>
      </c>
      <c r="CX38">
        <f t="shared" si="53"/>
        <v>256.19999999999976</v>
      </c>
      <c r="CY38">
        <f t="shared" si="54"/>
        <v>24.000000000000128</v>
      </c>
      <c r="CZ38">
        <f t="shared" si="55"/>
        <v>4.5999999999999979</v>
      </c>
      <c r="DA38">
        <f t="shared" si="56"/>
        <v>0.40000000000000213</v>
      </c>
      <c r="DB38" s="12">
        <f t="shared" si="57"/>
        <v>3.7000000000000028</v>
      </c>
      <c r="DC38">
        <f t="shared" si="58"/>
        <v>0.30000000000000071</v>
      </c>
      <c r="DD38">
        <f t="shared" si="59"/>
        <v>225.70000000000016</v>
      </c>
      <c r="DE38">
        <f t="shared" si="60"/>
        <v>18.000000000000043</v>
      </c>
      <c r="DF38">
        <f t="shared" si="61"/>
        <v>4.0000000000000036</v>
      </c>
      <c r="DG38">
        <f t="shared" si="62"/>
        <v>0.30000000000000071</v>
      </c>
      <c r="DH38" s="12"/>
      <c r="DW38">
        <f t="shared" si="78"/>
        <v>-36.600000000000307</v>
      </c>
      <c r="DX38">
        <f t="shared" si="79"/>
        <v>12.199999999999761</v>
      </c>
      <c r="DY38">
        <f t="shared" si="80"/>
        <v>-18.299999999999841</v>
      </c>
      <c r="DZ38">
        <f t="shared" si="81"/>
        <v>-14.233333333333462</v>
      </c>
    </row>
    <row r="39" spans="1:132">
      <c r="A39" s="14">
        <v>44517</v>
      </c>
      <c r="B39">
        <v>7.1</v>
      </c>
      <c r="C39">
        <v>7.6</v>
      </c>
      <c r="D39" s="66">
        <v>13</v>
      </c>
      <c r="E39" s="4">
        <v>13</v>
      </c>
      <c r="F39" s="4">
        <v>13.6</v>
      </c>
      <c r="G39" s="133">
        <v>18.8</v>
      </c>
      <c r="H39" s="1">
        <v>18.8</v>
      </c>
      <c r="I39" s="1">
        <v>19.2</v>
      </c>
      <c r="J39" s="134">
        <v>24.6</v>
      </c>
      <c r="K39" s="2">
        <v>24.6</v>
      </c>
      <c r="L39" s="2">
        <v>24.9</v>
      </c>
      <c r="M39" s="135">
        <v>30</v>
      </c>
      <c r="N39" s="3">
        <v>30</v>
      </c>
      <c r="O39" s="3">
        <v>30.2</v>
      </c>
      <c r="P39" s="136">
        <v>36.1</v>
      </c>
      <c r="Q39" s="72">
        <v>36.1</v>
      </c>
      <c r="R39" s="72">
        <v>36.700000000000003</v>
      </c>
      <c r="S39" s="137">
        <v>41</v>
      </c>
      <c r="Y39">
        <f t="shared" si="123"/>
        <v>540</v>
      </c>
      <c r="Z39">
        <f t="shared" si="124"/>
        <v>50</v>
      </c>
      <c r="AA39" s="4">
        <f t="shared" si="125"/>
        <v>520.00000000000011</v>
      </c>
      <c r="AB39" s="4">
        <f t="shared" si="126"/>
        <v>59.999999999999964</v>
      </c>
      <c r="AC39" s="1">
        <f t="shared" si="127"/>
        <v>540.00000000000023</v>
      </c>
      <c r="AD39" s="1">
        <f t="shared" si="128"/>
        <v>39.999999999999858</v>
      </c>
      <c r="AE39" s="2">
        <f t="shared" si="129"/>
        <v>510.00000000000011</v>
      </c>
      <c r="AF39" s="2">
        <f t="shared" si="130"/>
        <v>29.999999999999716</v>
      </c>
      <c r="AG39" s="3">
        <f t="shared" si="131"/>
        <v>590.00000000000023</v>
      </c>
      <c r="AH39" s="3">
        <f t="shared" si="132"/>
        <v>19.999999999999929</v>
      </c>
      <c r="AI39" s="72">
        <f t="shared" si="117"/>
        <v>429.99999999999972</v>
      </c>
      <c r="AJ39" s="72">
        <f t="shared" si="118"/>
        <v>60.000000000000142</v>
      </c>
      <c r="AL39">
        <f t="shared" si="133"/>
        <v>453.6</v>
      </c>
      <c r="AM39">
        <f t="shared" si="134"/>
        <v>42</v>
      </c>
      <c r="AN39">
        <f t="shared" si="135"/>
        <v>436.80000000000007</v>
      </c>
      <c r="AO39">
        <f t="shared" si="136"/>
        <v>50.39999999999997</v>
      </c>
      <c r="AP39">
        <f t="shared" si="137"/>
        <v>453.60000000000019</v>
      </c>
      <c r="AQ39">
        <f t="shared" si="138"/>
        <v>33.599999999999881</v>
      </c>
      <c r="AR39">
        <f t="shared" si="139"/>
        <v>428.40000000000009</v>
      </c>
      <c r="AS39">
        <f t="shared" si="140"/>
        <v>25.199999999999761</v>
      </c>
      <c r="AT39">
        <f t="shared" si="141"/>
        <v>495.60000000000019</v>
      </c>
      <c r="AU39">
        <f t="shared" si="142"/>
        <v>16.79999999999994</v>
      </c>
      <c r="AV39">
        <f t="shared" si="119"/>
        <v>361.19999999999976</v>
      </c>
      <c r="AW39">
        <f t="shared" si="120"/>
        <v>50.400000000000119</v>
      </c>
      <c r="BD39">
        <f t="shared" si="69"/>
        <v>-16.799999999999955</v>
      </c>
      <c r="BE39">
        <f t="shared" si="70"/>
        <v>0</v>
      </c>
      <c r="BF39">
        <f t="shared" si="71"/>
        <v>-25.199999999999932</v>
      </c>
      <c r="BG39">
        <f t="shared" si="72"/>
        <v>42.000000000000171</v>
      </c>
      <c r="BH39">
        <f t="shared" si="73"/>
        <v>5.6000000000000796</v>
      </c>
      <c r="BK39" s="77">
        <f t="shared" si="74"/>
        <v>324.05940000000004</v>
      </c>
      <c r="BL39" s="77">
        <f t="shared" si="75"/>
        <v>30.005500000000001</v>
      </c>
      <c r="BM39" s="296">
        <f t="shared" si="26"/>
        <v>312.05720000000008</v>
      </c>
      <c r="BN39" s="296">
        <f t="shared" si="27"/>
        <v>36.006599999999978</v>
      </c>
      <c r="BO39" s="297">
        <f t="shared" si="28"/>
        <v>324.05940000000015</v>
      </c>
      <c r="BP39" s="297">
        <f t="shared" si="29"/>
        <v>24.004399999999915</v>
      </c>
      <c r="BQ39" s="298">
        <f t="shared" si="30"/>
        <v>306.05610000000007</v>
      </c>
      <c r="BR39" s="298">
        <f t="shared" si="31"/>
        <v>18.003299999999829</v>
      </c>
      <c r="BS39" s="299">
        <f t="shared" si="32"/>
        <v>354.06490000000014</v>
      </c>
      <c r="BT39" s="299">
        <f t="shared" si="33"/>
        <v>12.002199999999958</v>
      </c>
      <c r="BU39" s="300">
        <f t="shared" si="121"/>
        <v>258.04729999999984</v>
      </c>
      <c r="BV39" s="300">
        <f t="shared" si="122"/>
        <v>36.006600000000084</v>
      </c>
      <c r="BW39" s="77"/>
      <c r="BX39" s="77"/>
      <c r="CD39" s="12">
        <f t="shared" si="35"/>
        <v>4.9000000000000004</v>
      </c>
      <c r="CE39">
        <f t="shared" si="36"/>
        <v>0.5</v>
      </c>
      <c r="CF39">
        <f t="shared" si="76"/>
        <v>298.90000000000003</v>
      </c>
      <c r="CG39">
        <f t="shared" si="77"/>
        <v>30</v>
      </c>
      <c r="CH39">
        <f t="shared" si="37"/>
        <v>5.4</v>
      </c>
      <c r="CI39">
        <f t="shared" si="38"/>
        <v>0.5</v>
      </c>
      <c r="CJ39" s="12">
        <f t="shared" si="39"/>
        <v>4.6000000000000014</v>
      </c>
      <c r="CK39">
        <f t="shared" si="40"/>
        <v>0.59999999999999964</v>
      </c>
      <c r="CL39">
        <f t="shared" si="41"/>
        <v>280.60000000000008</v>
      </c>
      <c r="CM39">
        <f t="shared" si="42"/>
        <v>35.999999999999979</v>
      </c>
      <c r="CN39">
        <f t="shared" si="43"/>
        <v>5.2000000000000011</v>
      </c>
      <c r="CO39">
        <f t="shared" si="44"/>
        <v>0.59999999999999964</v>
      </c>
      <c r="CP39" s="12">
        <f t="shared" si="45"/>
        <v>5.0000000000000036</v>
      </c>
      <c r="CQ39">
        <f t="shared" si="46"/>
        <v>0.39999999999999858</v>
      </c>
      <c r="CR39">
        <f t="shared" si="47"/>
        <v>305.00000000000023</v>
      </c>
      <c r="CS39">
        <f t="shared" si="48"/>
        <v>23.999999999999915</v>
      </c>
      <c r="CT39">
        <f t="shared" si="49"/>
        <v>5.4000000000000021</v>
      </c>
      <c r="CU39">
        <f t="shared" si="50"/>
        <v>0.39999999999999858</v>
      </c>
      <c r="CV39" s="12">
        <f t="shared" si="51"/>
        <v>4.8000000000000043</v>
      </c>
      <c r="CW39">
        <f t="shared" si="52"/>
        <v>0.29999999999999716</v>
      </c>
      <c r="CX39">
        <f t="shared" si="53"/>
        <v>292.80000000000024</v>
      </c>
      <c r="CY39">
        <f t="shared" si="54"/>
        <v>17.999999999999829</v>
      </c>
      <c r="CZ39">
        <f t="shared" si="55"/>
        <v>5.1000000000000014</v>
      </c>
      <c r="DA39">
        <f t="shared" si="56"/>
        <v>0.29999999999999716</v>
      </c>
      <c r="DB39" s="12">
        <f t="shared" si="57"/>
        <v>5.7000000000000028</v>
      </c>
      <c r="DC39">
        <f t="shared" si="58"/>
        <v>0.19999999999999929</v>
      </c>
      <c r="DD39">
        <f t="shared" si="59"/>
        <v>347.70000000000016</v>
      </c>
      <c r="DE39">
        <f t="shared" si="60"/>
        <v>11.999999999999957</v>
      </c>
      <c r="DF39">
        <f t="shared" si="61"/>
        <v>5.9000000000000021</v>
      </c>
      <c r="DG39">
        <f t="shared" si="62"/>
        <v>0.19999999999999929</v>
      </c>
      <c r="DH39" s="12"/>
      <c r="DW39">
        <f t="shared" si="78"/>
        <v>6.1000000000001933</v>
      </c>
      <c r="DX39">
        <f t="shared" si="79"/>
        <v>-6.0999999999997954</v>
      </c>
      <c r="DY39">
        <f t="shared" si="80"/>
        <v>48.800000000000125</v>
      </c>
      <c r="DZ39">
        <f t="shared" si="81"/>
        <v>16.26666666666684</v>
      </c>
    </row>
    <row r="40" spans="1:132">
      <c r="A40" s="14">
        <v>44519</v>
      </c>
      <c r="B40">
        <v>0.5</v>
      </c>
      <c r="C40">
        <v>0.9</v>
      </c>
      <c r="D40" s="66">
        <v>6</v>
      </c>
      <c r="E40" s="4">
        <v>27.9</v>
      </c>
      <c r="F40" s="4">
        <v>28.3</v>
      </c>
      <c r="G40" s="133">
        <v>33.4</v>
      </c>
      <c r="H40" s="1">
        <v>22.1</v>
      </c>
      <c r="I40" s="1">
        <v>22.5</v>
      </c>
      <c r="J40" s="134">
        <v>27.9</v>
      </c>
      <c r="K40" s="2">
        <v>16.2</v>
      </c>
      <c r="L40" s="2">
        <v>16.7</v>
      </c>
      <c r="M40" s="135">
        <v>22.1</v>
      </c>
      <c r="N40" s="3">
        <v>10.7</v>
      </c>
      <c r="O40" s="3">
        <v>11.2</v>
      </c>
      <c r="P40" s="136">
        <v>16.2</v>
      </c>
      <c r="Q40" s="72">
        <v>6</v>
      </c>
      <c r="R40" s="72">
        <v>6.5</v>
      </c>
      <c r="S40" s="137">
        <v>10.7</v>
      </c>
      <c r="Y40">
        <f t="shared" si="123"/>
        <v>509.99999999999994</v>
      </c>
      <c r="Z40">
        <f t="shared" si="124"/>
        <v>40</v>
      </c>
      <c r="AA40" s="4">
        <f t="shared" si="125"/>
        <v>509.99999999999977</v>
      </c>
      <c r="AB40" s="4">
        <f t="shared" si="126"/>
        <v>40.000000000000213</v>
      </c>
      <c r="AC40" s="1">
        <f t="shared" si="127"/>
        <v>539.99999999999989</v>
      </c>
      <c r="AD40" s="1">
        <f t="shared" si="128"/>
        <v>39.999999999999858</v>
      </c>
      <c r="AE40" s="2">
        <f t="shared" si="129"/>
        <v>540.00000000000023</v>
      </c>
      <c r="AF40" s="2">
        <f t="shared" si="130"/>
        <v>50</v>
      </c>
      <c r="AG40" s="3">
        <f t="shared" si="131"/>
        <v>500</v>
      </c>
      <c r="AH40" s="3">
        <f t="shared" si="132"/>
        <v>50</v>
      </c>
      <c r="AI40" s="72">
        <f t="shared" si="117"/>
        <v>419.99999999999994</v>
      </c>
      <c r="AJ40" s="72">
        <f t="shared" si="118"/>
        <v>50</v>
      </c>
      <c r="AL40">
        <f t="shared" si="133"/>
        <v>428.4</v>
      </c>
      <c r="AM40">
        <f t="shared" si="134"/>
        <v>33.6</v>
      </c>
      <c r="AN40">
        <f t="shared" si="135"/>
        <v>428.39999999999981</v>
      </c>
      <c r="AO40">
        <f t="shared" si="136"/>
        <v>33.600000000000179</v>
      </c>
      <c r="AP40">
        <f t="shared" si="137"/>
        <v>453.59999999999991</v>
      </c>
      <c r="AQ40">
        <f t="shared" si="138"/>
        <v>33.599999999999881</v>
      </c>
      <c r="AR40">
        <f t="shared" si="139"/>
        <v>453.60000000000019</v>
      </c>
      <c r="AS40">
        <f t="shared" si="140"/>
        <v>42</v>
      </c>
      <c r="AT40">
        <f t="shared" si="141"/>
        <v>420</v>
      </c>
      <c r="AU40">
        <f t="shared" si="142"/>
        <v>42</v>
      </c>
      <c r="AV40">
        <f t="shared" si="119"/>
        <v>352.79999999999995</v>
      </c>
      <c r="AW40">
        <f t="shared" si="120"/>
        <v>42</v>
      </c>
      <c r="BD40">
        <f t="shared" si="69"/>
        <v>0</v>
      </c>
      <c r="BE40">
        <f t="shared" si="70"/>
        <v>25.199999999999932</v>
      </c>
      <c r="BF40">
        <f t="shared" si="71"/>
        <v>25.200000000000216</v>
      </c>
      <c r="BG40">
        <f t="shared" si="72"/>
        <v>-8.3999999999999773</v>
      </c>
      <c r="BH40">
        <f t="shared" si="73"/>
        <v>14.000000000000057</v>
      </c>
      <c r="BK40" s="77">
        <f t="shared" si="74"/>
        <v>306.05610000000001</v>
      </c>
      <c r="BL40" s="77">
        <f t="shared" si="75"/>
        <v>24.004400000000004</v>
      </c>
      <c r="BM40" s="296">
        <f t="shared" si="26"/>
        <v>306.0560999999999</v>
      </c>
      <c r="BN40" s="296">
        <f t="shared" si="27"/>
        <v>24.004400000000128</v>
      </c>
      <c r="BO40" s="297">
        <f t="shared" si="28"/>
        <v>324.05939999999993</v>
      </c>
      <c r="BP40" s="297">
        <f t="shared" si="29"/>
        <v>24.004399999999915</v>
      </c>
      <c r="BQ40" s="298">
        <f t="shared" si="30"/>
        <v>324.05940000000015</v>
      </c>
      <c r="BR40" s="298">
        <f t="shared" si="31"/>
        <v>30.005500000000001</v>
      </c>
      <c r="BS40" s="299">
        <f t="shared" si="32"/>
        <v>300.05500000000001</v>
      </c>
      <c r="BT40" s="299">
        <f t="shared" si="33"/>
        <v>30.005500000000001</v>
      </c>
      <c r="BU40" s="300">
        <f t="shared" si="121"/>
        <v>252.04619999999997</v>
      </c>
      <c r="BV40" s="300">
        <f t="shared" si="122"/>
        <v>30.005500000000001</v>
      </c>
      <c r="BW40" s="77"/>
      <c r="BX40" s="77"/>
      <c r="CD40" s="12">
        <f t="shared" si="35"/>
        <v>4.6999999999999993</v>
      </c>
      <c r="CE40">
        <f t="shared" si="36"/>
        <v>0.4</v>
      </c>
      <c r="CF40">
        <f t="shared" si="76"/>
        <v>286.69999999999993</v>
      </c>
      <c r="CG40">
        <f t="shared" si="77"/>
        <v>24</v>
      </c>
      <c r="CH40">
        <f t="shared" si="37"/>
        <v>5.0999999999999996</v>
      </c>
      <c r="CI40">
        <f t="shared" si="38"/>
        <v>0.4</v>
      </c>
      <c r="CJ40" s="12">
        <f t="shared" si="39"/>
        <v>4.6999999999999957</v>
      </c>
      <c r="CK40">
        <f t="shared" si="40"/>
        <v>0.40000000000000213</v>
      </c>
      <c r="CL40">
        <f t="shared" si="41"/>
        <v>286.69999999999976</v>
      </c>
      <c r="CM40">
        <f t="shared" si="42"/>
        <v>24.000000000000128</v>
      </c>
      <c r="CN40">
        <f t="shared" si="43"/>
        <v>5.0999999999999979</v>
      </c>
      <c r="CO40">
        <f t="shared" si="44"/>
        <v>0.40000000000000213</v>
      </c>
      <c r="CP40" s="12">
        <f t="shared" si="45"/>
        <v>5</v>
      </c>
      <c r="CQ40">
        <f t="shared" si="46"/>
        <v>0.39999999999999858</v>
      </c>
      <c r="CR40">
        <f t="shared" si="47"/>
        <v>305</v>
      </c>
      <c r="CS40">
        <f t="shared" si="48"/>
        <v>23.999999999999915</v>
      </c>
      <c r="CT40">
        <f t="shared" si="49"/>
        <v>5.3999999999999986</v>
      </c>
      <c r="CU40">
        <f t="shared" si="50"/>
        <v>0.39999999999999858</v>
      </c>
      <c r="CV40" s="12">
        <f t="shared" si="51"/>
        <v>4.9000000000000021</v>
      </c>
      <c r="CW40">
        <f t="shared" si="52"/>
        <v>0.5</v>
      </c>
      <c r="CX40">
        <f t="shared" si="53"/>
        <v>298.90000000000015</v>
      </c>
      <c r="CY40">
        <f t="shared" si="54"/>
        <v>30</v>
      </c>
      <c r="CZ40">
        <f t="shared" si="55"/>
        <v>5.4000000000000021</v>
      </c>
      <c r="DA40">
        <f t="shared" si="56"/>
        <v>0.5</v>
      </c>
      <c r="DB40" s="12">
        <f t="shared" si="57"/>
        <v>4.5</v>
      </c>
      <c r="DC40">
        <f t="shared" si="58"/>
        <v>0.5</v>
      </c>
      <c r="DD40">
        <f t="shared" si="59"/>
        <v>274.5</v>
      </c>
      <c r="DE40">
        <f t="shared" si="60"/>
        <v>30</v>
      </c>
      <c r="DF40">
        <f t="shared" si="61"/>
        <v>5</v>
      </c>
      <c r="DG40">
        <f t="shared" si="62"/>
        <v>0.5</v>
      </c>
      <c r="DH40" s="12"/>
      <c r="DW40">
        <f t="shared" si="78"/>
        <v>18.300000000000068</v>
      </c>
      <c r="DX40">
        <f t="shared" si="79"/>
        <v>12.200000000000216</v>
      </c>
      <c r="DY40">
        <f t="shared" si="80"/>
        <v>-12.199999999999932</v>
      </c>
      <c r="DZ40">
        <f t="shared" si="81"/>
        <v>6.1000000000001178</v>
      </c>
    </row>
    <row r="41" spans="1:132">
      <c r="A41" s="14">
        <v>44522</v>
      </c>
      <c r="B41">
        <v>0.3</v>
      </c>
      <c r="C41">
        <v>0.9</v>
      </c>
      <c r="D41" s="66">
        <v>5.5</v>
      </c>
      <c r="E41" s="4">
        <v>28.1</v>
      </c>
      <c r="F41" s="4">
        <v>28.6</v>
      </c>
      <c r="G41" s="133">
        <v>34.299999999999997</v>
      </c>
      <c r="H41" s="1">
        <v>22.5</v>
      </c>
      <c r="I41" s="1">
        <v>22.7</v>
      </c>
      <c r="J41" s="134">
        <v>28.1</v>
      </c>
      <c r="K41" s="2">
        <v>17</v>
      </c>
      <c r="L41" s="2">
        <v>17.100000000000001</v>
      </c>
      <c r="M41" s="135">
        <v>22.5</v>
      </c>
      <c r="N41" s="3">
        <v>10</v>
      </c>
      <c r="O41" s="3">
        <v>10.5</v>
      </c>
      <c r="P41" s="136">
        <v>17</v>
      </c>
      <c r="Q41" s="72">
        <v>5.6</v>
      </c>
      <c r="R41" s="72">
        <v>6.2</v>
      </c>
      <c r="S41" s="137">
        <v>10</v>
      </c>
      <c r="Y41">
        <f t="shared" si="123"/>
        <v>459.99999999999994</v>
      </c>
      <c r="Z41">
        <f t="shared" si="124"/>
        <v>60.000000000000007</v>
      </c>
      <c r="AA41" s="4">
        <f t="shared" si="125"/>
        <v>569.99999999999955</v>
      </c>
      <c r="AB41" s="4">
        <f t="shared" si="126"/>
        <v>50</v>
      </c>
      <c r="AC41" s="1">
        <f t="shared" si="127"/>
        <v>540.00000000000023</v>
      </c>
      <c r="AD41" s="1">
        <f t="shared" si="128"/>
        <v>19.999999999999929</v>
      </c>
      <c r="AE41" s="2">
        <f t="shared" si="129"/>
        <v>539.99999999999989</v>
      </c>
      <c r="AF41" s="2">
        <f t="shared" si="130"/>
        <v>10.000000000000142</v>
      </c>
      <c r="AG41" s="3">
        <f t="shared" si="131"/>
        <v>650</v>
      </c>
      <c r="AH41" s="3">
        <f t="shared" si="132"/>
        <v>50</v>
      </c>
      <c r="AI41" s="72">
        <f t="shared" si="117"/>
        <v>380</v>
      </c>
      <c r="AJ41" s="72">
        <f t="shared" si="118"/>
        <v>60.000000000000057</v>
      </c>
      <c r="AL41">
        <f t="shared" si="133"/>
        <v>386.4</v>
      </c>
      <c r="AM41">
        <f t="shared" si="134"/>
        <v>50.400000000000006</v>
      </c>
      <c r="AN41">
        <f t="shared" si="135"/>
        <v>478.79999999999961</v>
      </c>
      <c r="AO41">
        <f t="shared" si="136"/>
        <v>42</v>
      </c>
      <c r="AP41">
        <f t="shared" si="137"/>
        <v>453.60000000000019</v>
      </c>
      <c r="AQ41">
        <f t="shared" si="138"/>
        <v>16.79999999999994</v>
      </c>
      <c r="AR41">
        <f t="shared" si="139"/>
        <v>453.59999999999991</v>
      </c>
      <c r="AS41">
        <f t="shared" si="140"/>
        <v>8.4000000000001194</v>
      </c>
      <c r="AT41">
        <f t="shared" si="141"/>
        <v>546</v>
      </c>
      <c r="AU41">
        <f t="shared" si="142"/>
        <v>42</v>
      </c>
      <c r="AV41">
        <f t="shared" si="119"/>
        <v>319.2</v>
      </c>
      <c r="AW41">
        <f t="shared" si="120"/>
        <v>50.400000000000048</v>
      </c>
      <c r="BD41">
        <f t="shared" si="69"/>
        <v>92.399999999999636</v>
      </c>
      <c r="BE41">
        <f t="shared" si="70"/>
        <v>67.200000000000216</v>
      </c>
      <c r="BF41">
        <f t="shared" si="71"/>
        <v>67.199999999999932</v>
      </c>
      <c r="BG41">
        <f t="shared" si="72"/>
        <v>159.60000000000002</v>
      </c>
      <c r="BH41">
        <f t="shared" si="73"/>
        <v>98.000000000000057</v>
      </c>
      <c r="BK41" s="77">
        <f t="shared" si="74"/>
        <v>276.05059999999997</v>
      </c>
      <c r="BL41" s="77">
        <f t="shared" si="75"/>
        <v>36.006600000000006</v>
      </c>
      <c r="BM41" s="296">
        <f t="shared" si="26"/>
        <v>342.06269999999978</v>
      </c>
      <c r="BN41" s="296">
        <f t="shared" si="27"/>
        <v>30.005500000000001</v>
      </c>
      <c r="BO41" s="297">
        <f t="shared" si="28"/>
        <v>324.05940000000015</v>
      </c>
      <c r="BP41" s="297">
        <f t="shared" si="29"/>
        <v>12.002199999999958</v>
      </c>
      <c r="BQ41" s="298">
        <f t="shared" si="30"/>
        <v>324.05939999999993</v>
      </c>
      <c r="BR41" s="298">
        <f t="shared" si="31"/>
        <v>6.0011000000000854</v>
      </c>
      <c r="BS41" s="299">
        <f t="shared" si="32"/>
        <v>390.07150000000001</v>
      </c>
      <c r="BT41" s="299">
        <f t="shared" si="33"/>
        <v>30.005500000000001</v>
      </c>
      <c r="BU41" s="300">
        <f t="shared" si="121"/>
        <v>228.04179999999999</v>
      </c>
      <c r="BV41" s="300">
        <f t="shared" si="122"/>
        <v>36.006600000000034</v>
      </c>
      <c r="BW41" s="77"/>
      <c r="BX41" s="77"/>
      <c r="CD41" s="12">
        <f t="shared" si="35"/>
        <v>3.9999999999999991</v>
      </c>
      <c r="CE41">
        <f t="shared" si="36"/>
        <v>0.60000000000000009</v>
      </c>
      <c r="CF41">
        <f t="shared" si="76"/>
        <v>243.99999999999994</v>
      </c>
      <c r="CG41">
        <f t="shared" si="77"/>
        <v>36.000000000000007</v>
      </c>
      <c r="CH41">
        <f t="shared" si="37"/>
        <v>4.5999999999999996</v>
      </c>
      <c r="CI41">
        <f t="shared" si="38"/>
        <v>0.60000000000000009</v>
      </c>
      <c r="CJ41" s="12">
        <f t="shared" si="39"/>
        <v>5.1999999999999957</v>
      </c>
      <c r="CK41">
        <f t="shared" si="40"/>
        <v>0.5</v>
      </c>
      <c r="CL41">
        <f t="shared" si="41"/>
        <v>317.19999999999976</v>
      </c>
      <c r="CM41">
        <f t="shared" si="42"/>
        <v>30</v>
      </c>
      <c r="CN41">
        <f t="shared" si="43"/>
        <v>5.6999999999999957</v>
      </c>
      <c r="CO41">
        <f t="shared" si="44"/>
        <v>0.5</v>
      </c>
      <c r="CP41" s="12">
        <f t="shared" si="45"/>
        <v>5.2000000000000028</v>
      </c>
      <c r="CQ41">
        <f t="shared" si="46"/>
        <v>0.19999999999999929</v>
      </c>
      <c r="CR41">
        <f t="shared" si="47"/>
        <v>317.20000000000016</v>
      </c>
      <c r="CS41">
        <f t="shared" si="48"/>
        <v>11.999999999999957</v>
      </c>
      <c r="CT41">
        <f t="shared" si="49"/>
        <v>5.4000000000000021</v>
      </c>
      <c r="CU41">
        <f t="shared" si="50"/>
        <v>0.19999999999999929</v>
      </c>
      <c r="CV41" s="12">
        <f t="shared" si="51"/>
        <v>5.2999999999999972</v>
      </c>
      <c r="CW41">
        <f t="shared" si="52"/>
        <v>0.10000000000000142</v>
      </c>
      <c r="CX41">
        <f t="shared" si="53"/>
        <v>323.29999999999984</v>
      </c>
      <c r="CY41">
        <f t="shared" si="54"/>
        <v>6.0000000000000853</v>
      </c>
      <c r="CZ41">
        <f t="shared" si="55"/>
        <v>5.3999999999999986</v>
      </c>
      <c r="DA41">
        <f t="shared" si="56"/>
        <v>0.10000000000000142</v>
      </c>
      <c r="DB41" s="12">
        <f t="shared" si="57"/>
        <v>6</v>
      </c>
      <c r="DC41">
        <f t="shared" si="58"/>
        <v>0.5</v>
      </c>
      <c r="DD41">
        <f t="shared" si="59"/>
        <v>366</v>
      </c>
      <c r="DE41">
        <f t="shared" si="60"/>
        <v>30</v>
      </c>
      <c r="DF41">
        <f t="shared" si="61"/>
        <v>6.5</v>
      </c>
      <c r="DG41">
        <f t="shared" si="62"/>
        <v>0.5</v>
      </c>
      <c r="DH41" s="12"/>
      <c r="DW41">
        <f t="shared" si="78"/>
        <v>73.200000000000216</v>
      </c>
      <c r="DX41">
        <f t="shared" si="79"/>
        <v>79.299999999999898</v>
      </c>
      <c r="DY41">
        <f t="shared" si="80"/>
        <v>122.00000000000006</v>
      </c>
      <c r="DZ41">
        <f t="shared" si="81"/>
        <v>91.500000000000057</v>
      </c>
    </row>
    <row r="42" spans="1:132">
      <c r="A42" s="14">
        <v>44524</v>
      </c>
      <c r="B42">
        <v>3.7</v>
      </c>
      <c r="C42">
        <v>4.2</v>
      </c>
      <c r="D42" s="66">
        <v>8.8000000000000007</v>
      </c>
      <c r="E42" s="4">
        <v>8.8000000000000007</v>
      </c>
      <c r="F42" s="4">
        <v>9.1999999999999993</v>
      </c>
      <c r="G42" s="133">
        <v>14.4</v>
      </c>
      <c r="H42" s="1">
        <v>14.4</v>
      </c>
      <c r="I42" s="1">
        <v>14.9</v>
      </c>
      <c r="J42" s="134">
        <v>20.100000000000001</v>
      </c>
      <c r="K42" s="2">
        <v>20.100000000000001</v>
      </c>
      <c r="L42" s="2">
        <v>20.399999999999999</v>
      </c>
      <c r="M42" s="135">
        <v>25.4</v>
      </c>
      <c r="N42" s="3">
        <v>25.4</v>
      </c>
      <c r="O42" s="3">
        <v>25.8</v>
      </c>
      <c r="P42" s="136">
        <v>30.7</v>
      </c>
      <c r="Q42" s="72">
        <v>30.7</v>
      </c>
      <c r="R42" s="72">
        <v>31.1</v>
      </c>
      <c r="S42" s="137">
        <v>36.299999999999997</v>
      </c>
      <c r="Y42">
        <f t="shared" si="123"/>
        <v>460.00000000000006</v>
      </c>
      <c r="Z42">
        <f t="shared" si="124"/>
        <v>50</v>
      </c>
      <c r="AA42" s="4">
        <f t="shared" si="125"/>
        <v>520.00000000000011</v>
      </c>
      <c r="AB42" s="4">
        <f t="shared" si="126"/>
        <v>39.999999999999858</v>
      </c>
      <c r="AC42" s="1">
        <f t="shared" si="127"/>
        <v>520.00000000000011</v>
      </c>
      <c r="AD42" s="1">
        <f t="shared" si="128"/>
        <v>50</v>
      </c>
      <c r="AE42" s="2">
        <f t="shared" si="129"/>
        <v>500</v>
      </c>
      <c r="AF42" s="2">
        <f t="shared" si="130"/>
        <v>29.999999999999716</v>
      </c>
      <c r="AG42" s="3">
        <f t="shared" si="131"/>
        <v>489.99999999999989</v>
      </c>
      <c r="AH42" s="3">
        <f t="shared" si="132"/>
        <v>40.000000000000213</v>
      </c>
      <c r="AI42" s="72">
        <f t="shared" si="117"/>
        <v>519.99999999999955</v>
      </c>
      <c r="AJ42" s="72">
        <f t="shared" si="118"/>
        <v>40.000000000000213</v>
      </c>
      <c r="AL42">
        <f t="shared" si="133"/>
        <v>386.40000000000003</v>
      </c>
      <c r="AM42">
        <f t="shared" si="134"/>
        <v>42</v>
      </c>
      <c r="AN42">
        <f t="shared" si="135"/>
        <v>436.80000000000007</v>
      </c>
      <c r="AO42">
        <f t="shared" si="136"/>
        <v>33.599999999999881</v>
      </c>
      <c r="AP42">
        <f t="shared" si="137"/>
        <v>436.80000000000007</v>
      </c>
      <c r="AQ42">
        <f t="shared" si="138"/>
        <v>42</v>
      </c>
      <c r="AR42">
        <f t="shared" si="139"/>
        <v>420</v>
      </c>
      <c r="AS42">
        <f t="shared" si="140"/>
        <v>25.199999999999761</v>
      </c>
      <c r="AT42">
        <f t="shared" si="141"/>
        <v>411.59999999999991</v>
      </c>
      <c r="AU42">
        <f t="shared" si="142"/>
        <v>33.600000000000179</v>
      </c>
      <c r="AV42">
        <f t="shared" si="119"/>
        <v>436.79999999999961</v>
      </c>
      <c r="AW42">
        <f t="shared" si="120"/>
        <v>33.600000000000179</v>
      </c>
      <c r="BD42">
        <f t="shared" si="69"/>
        <v>50.400000000000034</v>
      </c>
      <c r="BE42">
        <f t="shared" si="70"/>
        <v>50.400000000000034</v>
      </c>
      <c r="BF42">
        <f t="shared" si="71"/>
        <v>33.599999999999966</v>
      </c>
      <c r="BG42">
        <f t="shared" si="72"/>
        <v>25.199999999999875</v>
      </c>
      <c r="BH42">
        <f t="shared" si="73"/>
        <v>36.399999999999956</v>
      </c>
      <c r="BK42" s="77">
        <f t="shared" si="74"/>
        <v>276.05060000000003</v>
      </c>
      <c r="BL42" s="77">
        <f t="shared" si="75"/>
        <v>30.005500000000001</v>
      </c>
      <c r="BM42" s="296">
        <f t="shared" si="26"/>
        <v>312.05720000000008</v>
      </c>
      <c r="BN42" s="296">
        <f t="shared" si="27"/>
        <v>24.004399999999915</v>
      </c>
      <c r="BO42" s="297">
        <f t="shared" si="28"/>
        <v>312.05720000000008</v>
      </c>
      <c r="BP42" s="297">
        <f t="shared" si="29"/>
        <v>30.005500000000001</v>
      </c>
      <c r="BQ42" s="298">
        <f t="shared" si="30"/>
        <v>300.05500000000001</v>
      </c>
      <c r="BR42" s="298">
        <f t="shared" si="31"/>
        <v>18.003299999999829</v>
      </c>
      <c r="BS42" s="299">
        <f t="shared" si="32"/>
        <v>294.05389999999994</v>
      </c>
      <c r="BT42" s="299">
        <f t="shared" si="33"/>
        <v>24.004400000000128</v>
      </c>
      <c r="BU42" s="300">
        <f t="shared" si="121"/>
        <v>312.05719999999974</v>
      </c>
      <c r="BV42" s="300">
        <f t="shared" si="122"/>
        <v>24.004400000000128</v>
      </c>
      <c r="BW42" s="77"/>
      <c r="BX42" s="77"/>
      <c r="CD42" s="12">
        <f t="shared" si="35"/>
        <v>4.1000000000000005</v>
      </c>
      <c r="CE42">
        <f t="shared" si="36"/>
        <v>0.5</v>
      </c>
      <c r="CF42">
        <f t="shared" si="76"/>
        <v>250.10000000000002</v>
      </c>
      <c r="CG42">
        <f t="shared" si="77"/>
        <v>30</v>
      </c>
      <c r="CH42">
        <f t="shared" si="37"/>
        <v>4.6000000000000005</v>
      </c>
      <c r="CI42">
        <f t="shared" si="38"/>
        <v>0.5</v>
      </c>
      <c r="CJ42" s="12">
        <f t="shared" si="39"/>
        <v>4.8000000000000025</v>
      </c>
      <c r="CK42">
        <f t="shared" si="40"/>
        <v>0.39999999999999858</v>
      </c>
      <c r="CL42">
        <f t="shared" si="41"/>
        <v>292.80000000000013</v>
      </c>
      <c r="CM42">
        <f t="shared" si="42"/>
        <v>23.999999999999915</v>
      </c>
      <c r="CN42">
        <f t="shared" si="43"/>
        <v>5.2000000000000011</v>
      </c>
      <c r="CO42">
        <f t="shared" si="44"/>
        <v>0.39999999999999858</v>
      </c>
      <c r="CP42" s="12">
        <f t="shared" si="45"/>
        <v>4.7000000000000011</v>
      </c>
      <c r="CQ42">
        <f t="shared" si="46"/>
        <v>0.5</v>
      </c>
      <c r="CR42">
        <f t="shared" si="47"/>
        <v>286.70000000000005</v>
      </c>
      <c r="CS42">
        <f t="shared" si="48"/>
        <v>30</v>
      </c>
      <c r="CT42">
        <f t="shared" si="49"/>
        <v>5.2000000000000011</v>
      </c>
      <c r="CU42">
        <f t="shared" si="50"/>
        <v>0.5</v>
      </c>
      <c r="CV42" s="12">
        <f t="shared" si="51"/>
        <v>4.7000000000000028</v>
      </c>
      <c r="CW42">
        <f t="shared" si="52"/>
        <v>0.29999999999999716</v>
      </c>
      <c r="CX42">
        <f t="shared" si="53"/>
        <v>286.70000000000016</v>
      </c>
      <c r="CY42">
        <f t="shared" si="54"/>
        <v>17.999999999999829</v>
      </c>
      <c r="CZ42">
        <f t="shared" si="55"/>
        <v>5</v>
      </c>
      <c r="DA42">
        <f t="shared" si="56"/>
        <v>0.29999999999999716</v>
      </c>
      <c r="DB42" s="12">
        <f t="shared" si="57"/>
        <v>4.4999999999999964</v>
      </c>
      <c r="DC42">
        <f t="shared" si="58"/>
        <v>0.40000000000000213</v>
      </c>
      <c r="DD42">
        <f t="shared" si="59"/>
        <v>274.49999999999977</v>
      </c>
      <c r="DE42">
        <f t="shared" si="60"/>
        <v>24.000000000000128</v>
      </c>
      <c r="DF42">
        <f t="shared" si="61"/>
        <v>4.8999999999999986</v>
      </c>
      <c r="DG42">
        <f t="shared" si="62"/>
        <v>0.40000000000000213</v>
      </c>
      <c r="DH42" s="12"/>
      <c r="DW42">
        <f t="shared" si="78"/>
        <v>36.600000000000023</v>
      </c>
      <c r="DX42">
        <f t="shared" si="79"/>
        <v>36.600000000000136</v>
      </c>
      <c r="DY42">
        <f t="shared" si="80"/>
        <v>24.39999999999975</v>
      </c>
      <c r="DZ42">
        <f t="shared" si="81"/>
        <v>32.533333333333303</v>
      </c>
    </row>
    <row r="43" spans="1:132">
      <c r="A43" s="14">
        <v>44529</v>
      </c>
      <c r="B43" t="s">
        <v>182</v>
      </c>
      <c r="C43" t="s">
        <v>182</v>
      </c>
      <c r="D43" s="66" t="s">
        <v>182</v>
      </c>
      <c r="E43" s="4" t="s">
        <v>182</v>
      </c>
      <c r="F43" s="4" t="s">
        <v>182</v>
      </c>
      <c r="G43" s="133" t="s">
        <v>182</v>
      </c>
      <c r="H43" s="1" t="s">
        <v>182</v>
      </c>
      <c r="I43" s="1" t="s">
        <v>182</v>
      </c>
      <c r="J43" s="134" t="s">
        <v>182</v>
      </c>
      <c r="K43" s="2" t="s">
        <v>182</v>
      </c>
      <c r="L43" s="2" t="s">
        <v>182</v>
      </c>
      <c r="M43" s="135" t="s">
        <v>182</v>
      </c>
      <c r="N43" s="3" t="s">
        <v>182</v>
      </c>
      <c r="O43" s="3" t="s">
        <v>182</v>
      </c>
      <c r="P43" s="136" t="s">
        <v>182</v>
      </c>
      <c r="Q43" s="72" t="s">
        <v>182</v>
      </c>
      <c r="R43" s="72" t="s">
        <v>182</v>
      </c>
      <c r="S43" s="137" t="s">
        <v>182</v>
      </c>
      <c r="Y43" t="e">
        <f t="shared" ref="Y43:Y47" si="143">(D43-C43)*100</f>
        <v>#VALUE!</v>
      </c>
      <c r="Z43" t="e">
        <f t="shared" ref="Z43:Z47" si="144">(C43-B43)*100</f>
        <v>#VALUE!</v>
      </c>
      <c r="AA43" s="4" t="e">
        <f t="shared" ref="AA43:AA47" si="145">(G43-F43)*100</f>
        <v>#VALUE!</v>
      </c>
      <c r="AB43" s="4" t="e">
        <f t="shared" ref="AB43:AB47" si="146">(F43-E43)*100</f>
        <v>#VALUE!</v>
      </c>
      <c r="AC43" s="1" t="e">
        <f t="shared" ref="AC43:AC47" si="147">(J43-I43)*100</f>
        <v>#VALUE!</v>
      </c>
      <c r="AD43" s="1" t="e">
        <f t="shared" ref="AD43:AD47" si="148">(I43-H43)*100</f>
        <v>#VALUE!</v>
      </c>
      <c r="AE43" s="2" t="e">
        <f t="shared" ref="AE43:AE47" si="149">(M43-L43)*100</f>
        <v>#VALUE!</v>
      </c>
      <c r="AF43" s="2" t="e">
        <f t="shared" ref="AF43:AF47" si="150">(L43-K43)*100</f>
        <v>#VALUE!</v>
      </c>
      <c r="AG43" s="3" t="e">
        <f t="shared" ref="AG43:AG47" si="151">(P43-O43)*100</f>
        <v>#VALUE!</v>
      </c>
      <c r="AH43" s="3" t="e">
        <f t="shared" ref="AH43:AH47" si="152">(O43-N43)*100</f>
        <v>#VALUE!</v>
      </c>
      <c r="AI43" s="72" t="e">
        <f t="shared" ref="AI43:AI47" si="153">(S43-R43)*100</f>
        <v>#VALUE!</v>
      </c>
      <c r="AJ43" s="72" t="e">
        <f t="shared" ref="AJ43:AJ47" si="154">(R43-Q43)*100</f>
        <v>#VALUE!</v>
      </c>
      <c r="AL43" t="e">
        <f t="shared" ref="AL43:AL47" si="155">(Y43/100)*84</f>
        <v>#VALUE!</v>
      </c>
      <c r="AM43" t="e">
        <f t="shared" ref="AM43:AM47" si="156">(Z43/100)*84</f>
        <v>#VALUE!</v>
      </c>
      <c r="AN43" t="e">
        <f t="shared" ref="AN43:AN47" si="157">(AA43/100)*84</f>
        <v>#VALUE!</v>
      </c>
      <c r="AO43" t="e">
        <f t="shared" ref="AO43:AO47" si="158">(AB43/100)*84</f>
        <v>#VALUE!</v>
      </c>
      <c r="AP43" t="e">
        <f t="shared" ref="AP43:AP47" si="159">(AC43/100)*84</f>
        <v>#VALUE!</v>
      </c>
      <c r="AQ43" t="e">
        <f t="shared" ref="AQ43:AQ47" si="160">(AD43/100)*84</f>
        <v>#VALUE!</v>
      </c>
      <c r="AR43" t="e">
        <f t="shared" ref="AR43:AR47" si="161">(AE43/100)*84</f>
        <v>#VALUE!</v>
      </c>
      <c r="AS43" t="e">
        <f t="shared" ref="AS43:AS47" si="162">(AF43/100)*84</f>
        <v>#VALUE!</v>
      </c>
      <c r="AT43" t="e">
        <f t="shared" ref="AT43:AT47" si="163">(AG43/100)*84</f>
        <v>#VALUE!</v>
      </c>
      <c r="AU43" t="e">
        <f t="shared" ref="AU43:AU47" si="164">(AH43/100)*84</f>
        <v>#VALUE!</v>
      </c>
      <c r="AV43" t="e">
        <f t="shared" ref="AV43:AV58" si="165">(AI43/100)*84</f>
        <v>#VALUE!</v>
      </c>
      <c r="AW43" t="e">
        <f t="shared" ref="AW43:AW58" si="166">(AJ43/100)*84</f>
        <v>#VALUE!</v>
      </c>
      <c r="BK43" s="77" t="s">
        <v>182</v>
      </c>
      <c r="BL43" s="77" t="s">
        <v>182</v>
      </c>
      <c r="BM43" s="296" t="s">
        <v>182</v>
      </c>
      <c r="BN43" s="296" t="s">
        <v>182</v>
      </c>
      <c r="BO43" s="297" t="s">
        <v>182</v>
      </c>
      <c r="BP43" s="297" t="s">
        <v>182</v>
      </c>
      <c r="BQ43" s="298" t="s">
        <v>182</v>
      </c>
      <c r="BR43" s="298" t="s">
        <v>182</v>
      </c>
      <c r="BS43" s="299" t="s">
        <v>182</v>
      </c>
      <c r="BT43" s="299" t="s">
        <v>182</v>
      </c>
      <c r="BU43" s="300" t="s">
        <v>182</v>
      </c>
      <c r="BV43" s="300" t="s">
        <v>182</v>
      </c>
      <c r="BW43" s="77"/>
      <c r="BX43" s="77"/>
      <c r="CD43" s="12" t="e">
        <f t="shared" si="35"/>
        <v>#VALUE!</v>
      </c>
      <c r="CE43" t="e">
        <f t="shared" si="36"/>
        <v>#VALUE!</v>
      </c>
      <c r="CF43" t="s">
        <v>182</v>
      </c>
      <c r="CG43" t="s">
        <v>182</v>
      </c>
      <c r="CH43" t="s">
        <v>182</v>
      </c>
      <c r="CI43" t="s">
        <v>182</v>
      </c>
      <c r="CJ43" t="s">
        <v>182</v>
      </c>
      <c r="CK43" t="s">
        <v>182</v>
      </c>
      <c r="CL43" t="s">
        <v>182</v>
      </c>
      <c r="CM43" t="s">
        <v>182</v>
      </c>
      <c r="CN43" t="s">
        <v>182</v>
      </c>
      <c r="CO43" t="s">
        <v>182</v>
      </c>
      <c r="CP43" t="s">
        <v>182</v>
      </c>
      <c r="CQ43" t="s">
        <v>182</v>
      </c>
      <c r="CR43" t="s">
        <v>182</v>
      </c>
      <c r="CS43" t="s">
        <v>182</v>
      </c>
      <c r="CT43" t="s">
        <v>182</v>
      </c>
      <c r="CU43" t="s">
        <v>182</v>
      </c>
      <c r="CV43" t="s">
        <v>182</v>
      </c>
      <c r="CW43" t="s">
        <v>182</v>
      </c>
      <c r="CX43" t="s">
        <v>182</v>
      </c>
      <c r="CY43" t="s">
        <v>182</v>
      </c>
      <c r="CZ43" t="s">
        <v>182</v>
      </c>
      <c r="DA43" t="s">
        <v>182</v>
      </c>
      <c r="DB43" t="s">
        <v>182</v>
      </c>
      <c r="DC43" t="s">
        <v>182</v>
      </c>
      <c r="DD43" t="s">
        <v>182</v>
      </c>
      <c r="DE43" t="s">
        <v>182</v>
      </c>
      <c r="DF43" t="s">
        <v>182</v>
      </c>
      <c r="DG43" t="s">
        <v>182</v>
      </c>
      <c r="DH43" s="12"/>
      <c r="DW43" t="s">
        <v>182</v>
      </c>
      <c r="DX43" t="s">
        <v>182</v>
      </c>
      <c r="DY43" t="s">
        <v>182</v>
      </c>
      <c r="DZ43" t="s">
        <v>182</v>
      </c>
    </row>
    <row r="44" spans="1:132">
      <c r="A44" s="14">
        <v>44533</v>
      </c>
      <c r="B44">
        <v>6.4</v>
      </c>
      <c r="C44">
        <v>7.1</v>
      </c>
      <c r="D44" s="66">
        <v>10.8</v>
      </c>
      <c r="E44" s="4">
        <v>29.5</v>
      </c>
      <c r="F44" s="4">
        <v>30.4</v>
      </c>
      <c r="G44" s="133">
        <v>34.5</v>
      </c>
      <c r="H44" s="1">
        <v>25</v>
      </c>
      <c r="I44" s="1">
        <v>25.6</v>
      </c>
      <c r="J44" s="134">
        <v>29.5</v>
      </c>
      <c r="K44" s="2">
        <v>20.399999999999999</v>
      </c>
      <c r="L44" s="2">
        <v>20.9</v>
      </c>
      <c r="M44" s="135">
        <v>25</v>
      </c>
      <c r="N44" s="3">
        <v>15.5</v>
      </c>
      <c r="O44" s="3">
        <v>15.5</v>
      </c>
      <c r="P44" s="136">
        <v>20.399999999999999</v>
      </c>
      <c r="Q44" s="72">
        <v>10.9</v>
      </c>
      <c r="R44" s="72">
        <v>11.2</v>
      </c>
      <c r="S44" s="137">
        <v>15.5</v>
      </c>
      <c r="Y44">
        <f t="shared" si="143"/>
        <v>370.00000000000011</v>
      </c>
      <c r="Z44">
        <f t="shared" si="144"/>
        <v>69.999999999999929</v>
      </c>
      <c r="AA44" s="4">
        <f t="shared" si="145"/>
        <v>410.00000000000011</v>
      </c>
      <c r="AB44" s="4">
        <f t="shared" si="146"/>
        <v>89.999999999999858</v>
      </c>
      <c r="AC44" s="1">
        <f t="shared" si="147"/>
        <v>389.99999999999989</v>
      </c>
      <c r="AD44" s="1">
        <f t="shared" si="148"/>
        <v>60.000000000000142</v>
      </c>
      <c r="AE44" s="2">
        <f t="shared" si="149"/>
        <v>410.00000000000011</v>
      </c>
      <c r="AF44" s="2">
        <f t="shared" si="150"/>
        <v>50</v>
      </c>
      <c r="AG44" s="3">
        <f t="shared" si="151"/>
        <v>489.99999999999989</v>
      </c>
      <c r="AH44" s="3">
        <f t="shared" si="152"/>
        <v>0</v>
      </c>
      <c r="AI44" s="72">
        <f t="shared" si="153"/>
        <v>430.00000000000006</v>
      </c>
      <c r="AJ44" s="72">
        <f t="shared" si="154"/>
        <v>29.999999999999893</v>
      </c>
      <c r="AL44">
        <f t="shared" si="155"/>
        <v>310.80000000000007</v>
      </c>
      <c r="AM44">
        <f t="shared" si="156"/>
        <v>58.79999999999994</v>
      </c>
      <c r="AN44">
        <f t="shared" si="157"/>
        <v>344.40000000000009</v>
      </c>
      <c r="AO44">
        <f t="shared" si="158"/>
        <v>75.599999999999881</v>
      </c>
      <c r="AP44">
        <f t="shared" si="159"/>
        <v>327.59999999999991</v>
      </c>
      <c r="AQ44">
        <f t="shared" si="160"/>
        <v>50.400000000000119</v>
      </c>
      <c r="AR44">
        <f t="shared" si="161"/>
        <v>344.40000000000009</v>
      </c>
      <c r="AS44">
        <f t="shared" si="162"/>
        <v>42</v>
      </c>
      <c r="AT44">
        <f t="shared" si="163"/>
        <v>411.59999999999991</v>
      </c>
      <c r="AU44">
        <f t="shared" si="164"/>
        <v>0</v>
      </c>
      <c r="AV44">
        <f t="shared" si="165"/>
        <v>361.20000000000005</v>
      </c>
      <c r="AW44">
        <f t="shared" si="166"/>
        <v>25.19999999999991</v>
      </c>
      <c r="BK44" s="77">
        <f t="shared" si="74"/>
        <v>222.04070000000007</v>
      </c>
      <c r="BL44" s="77">
        <f t="shared" si="75"/>
        <v>42.007699999999957</v>
      </c>
      <c r="BM44" s="296">
        <f t="shared" si="26"/>
        <v>246.0451000000001</v>
      </c>
      <c r="BN44" s="296">
        <f t="shared" si="27"/>
        <v>54.009899999999917</v>
      </c>
      <c r="BO44" s="297">
        <f t="shared" si="28"/>
        <v>234.04289999999992</v>
      </c>
      <c r="BP44" s="297">
        <f t="shared" si="29"/>
        <v>36.006600000000084</v>
      </c>
      <c r="BQ44" s="298">
        <f t="shared" si="30"/>
        <v>246.0451000000001</v>
      </c>
      <c r="BR44" s="298">
        <f t="shared" si="31"/>
        <v>30.005500000000001</v>
      </c>
      <c r="BS44" s="299">
        <f t="shared" si="32"/>
        <v>294.05389999999994</v>
      </c>
      <c r="BT44" s="299">
        <f t="shared" si="33"/>
        <v>0</v>
      </c>
      <c r="BU44" s="300">
        <f t="shared" si="121"/>
        <v>258.04730000000006</v>
      </c>
      <c r="BV44" s="300">
        <f t="shared" si="122"/>
        <v>18.003299999999935</v>
      </c>
      <c r="BW44" s="77"/>
      <c r="BX44" s="77"/>
      <c r="BY44" s="77"/>
      <c r="CD44" s="12">
        <f t="shared" si="35"/>
        <v>3.0000000000000018</v>
      </c>
      <c r="CE44">
        <f t="shared" si="36"/>
        <v>0.69999999999999929</v>
      </c>
      <c r="CF44">
        <f t="shared" si="76"/>
        <v>183.00000000000011</v>
      </c>
      <c r="CG44">
        <f t="shared" si="77"/>
        <v>41.999999999999957</v>
      </c>
      <c r="CH44">
        <f t="shared" si="37"/>
        <v>3.7000000000000011</v>
      </c>
      <c r="CI44">
        <f t="shared" si="38"/>
        <v>0.69999999999999929</v>
      </c>
      <c r="CJ44" s="12">
        <f t="shared" si="39"/>
        <v>3.2000000000000028</v>
      </c>
      <c r="CK44">
        <f t="shared" si="40"/>
        <v>0.89999999999999858</v>
      </c>
      <c r="CL44">
        <f t="shared" si="41"/>
        <v>195.20000000000016</v>
      </c>
      <c r="CM44">
        <f t="shared" si="42"/>
        <v>53.999999999999915</v>
      </c>
      <c r="CN44">
        <f t="shared" si="43"/>
        <v>4.1000000000000014</v>
      </c>
      <c r="CO44">
        <f t="shared" si="44"/>
        <v>0.89999999999999858</v>
      </c>
      <c r="CP44" s="12">
        <f t="shared" si="45"/>
        <v>3.2999999999999972</v>
      </c>
      <c r="CQ44">
        <f t="shared" si="46"/>
        <v>0.60000000000000142</v>
      </c>
      <c r="CR44">
        <f t="shared" si="47"/>
        <v>201.29999999999984</v>
      </c>
      <c r="CS44">
        <f t="shared" si="48"/>
        <v>36.000000000000085</v>
      </c>
      <c r="CT44">
        <f t="shared" si="49"/>
        <v>3.8999999999999986</v>
      </c>
      <c r="CU44">
        <f t="shared" si="50"/>
        <v>0.60000000000000142</v>
      </c>
      <c r="CV44" s="12">
        <f t="shared" si="51"/>
        <v>3.6000000000000014</v>
      </c>
      <c r="CW44">
        <f t="shared" si="52"/>
        <v>0.5</v>
      </c>
      <c r="CX44">
        <f t="shared" si="53"/>
        <v>219.60000000000008</v>
      </c>
      <c r="CY44">
        <f t="shared" si="54"/>
        <v>30</v>
      </c>
      <c r="CZ44">
        <f t="shared" si="55"/>
        <v>4.1000000000000014</v>
      </c>
      <c r="DA44">
        <f t="shared" si="56"/>
        <v>0.5</v>
      </c>
      <c r="DB44" s="12">
        <f t="shared" si="57"/>
        <v>4.8999999999999986</v>
      </c>
      <c r="DC44">
        <f t="shared" si="58"/>
        <v>0</v>
      </c>
      <c r="DD44">
        <f t="shared" si="59"/>
        <v>298.89999999999992</v>
      </c>
      <c r="DE44">
        <f t="shared" si="60"/>
        <v>0</v>
      </c>
      <c r="DF44">
        <f t="shared" si="61"/>
        <v>4.8999999999999986</v>
      </c>
      <c r="DG44">
        <f t="shared" si="62"/>
        <v>0</v>
      </c>
      <c r="DH44" s="12"/>
      <c r="DW44">
        <f t="shared" si="78"/>
        <v>18.299999999999727</v>
      </c>
      <c r="DX44">
        <f t="shared" si="79"/>
        <v>36.599999999999966</v>
      </c>
      <c r="DY44">
        <f t="shared" si="80"/>
        <v>115.89999999999981</v>
      </c>
      <c r="DZ44">
        <f t="shared" si="81"/>
        <v>56.933333333333167</v>
      </c>
    </row>
    <row r="45" spans="1:132">
      <c r="A45" s="14">
        <v>44536</v>
      </c>
      <c r="B45">
        <v>4.7</v>
      </c>
      <c r="C45">
        <v>5.3</v>
      </c>
      <c r="D45" s="66">
        <v>9</v>
      </c>
      <c r="E45" s="4">
        <v>27.9</v>
      </c>
      <c r="F45" s="4">
        <v>28.4</v>
      </c>
      <c r="G45" s="133">
        <v>32.6</v>
      </c>
      <c r="H45" s="1">
        <v>23</v>
      </c>
      <c r="I45" s="1">
        <v>23.6</v>
      </c>
      <c r="J45" s="134">
        <v>27.8</v>
      </c>
      <c r="K45" s="2">
        <v>18.2</v>
      </c>
      <c r="L45" s="2">
        <v>18.7</v>
      </c>
      <c r="M45" s="135">
        <v>23</v>
      </c>
      <c r="N45" s="3">
        <v>13.1</v>
      </c>
      <c r="O45" s="3">
        <v>13.6</v>
      </c>
      <c r="P45" s="136">
        <v>18.2</v>
      </c>
      <c r="Q45" s="72">
        <v>9</v>
      </c>
      <c r="R45" s="72">
        <v>9.3000000000000007</v>
      </c>
      <c r="S45" s="137">
        <v>13.1</v>
      </c>
      <c r="Y45">
        <f t="shared" si="143"/>
        <v>370</v>
      </c>
      <c r="Z45">
        <f t="shared" si="144"/>
        <v>59.999999999999964</v>
      </c>
      <c r="AA45" s="4">
        <f t="shared" si="145"/>
        <v>420.00000000000028</v>
      </c>
      <c r="AB45" s="4">
        <f t="shared" si="146"/>
        <v>50</v>
      </c>
      <c r="AC45" s="1">
        <f t="shared" si="147"/>
        <v>419.99999999999994</v>
      </c>
      <c r="AD45" s="1">
        <f t="shared" si="148"/>
        <v>60.000000000000142</v>
      </c>
      <c r="AE45" s="2">
        <f t="shared" si="149"/>
        <v>430.00000000000006</v>
      </c>
      <c r="AF45" s="2">
        <f t="shared" si="150"/>
        <v>50</v>
      </c>
      <c r="AG45" s="3">
        <f t="shared" si="151"/>
        <v>459.99999999999994</v>
      </c>
      <c r="AH45" s="3">
        <f t="shared" si="152"/>
        <v>50</v>
      </c>
      <c r="AI45" s="72">
        <f t="shared" si="153"/>
        <v>379.99999999999989</v>
      </c>
      <c r="AJ45" s="72">
        <f t="shared" si="154"/>
        <v>30.000000000000071</v>
      </c>
      <c r="AL45">
        <f t="shared" si="155"/>
        <v>310.8</v>
      </c>
      <c r="AM45">
        <f t="shared" si="156"/>
        <v>50.39999999999997</v>
      </c>
      <c r="AN45">
        <f t="shared" si="157"/>
        <v>352.80000000000024</v>
      </c>
      <c r="AO45">
        <f t="shared" si="158"/>
        <v>42</v>
      </c>
      <c r="AP45">
        <f t="shared" si="159"/>
        <v>352.79999999999995</v>
      </c>
      <c r="AQ45">
        <f t="shared" si="160"/>
        <v>50.400000000000119</v>
      </c>
      <c r="AR45">
        <f t="shared" si="161"/>
        <v>361.20000000000005</v>
      </c>
      <c r="AS45">
        <f t="shared" si="162"/>
        <v>42</v>
      </c>
      <c r="AT45">
        <f t="shared" si="163"/>
        <v>386.4</v>
      </c>
      <c r="AU45">
        <f t="shared" si="164"/>
        <v>42</v>
      </c>
      <c r="AV45">
        <f t="shared" si="165"/>
        <v>319.19999999999993</v>
      </c>
      <c r="AW45">
        <f t="shared" si="166"/>
        <v>25.20000000000006</v>
      </c>
      <c r="BK45" s="77">
        <f t="shared" si="74"/>
        <v>222.04070000000002</v>
      </c>
      <c r="BL45" s="77">
        <f t="shared" si="75"/>
        <v>36.006599999999978</v>
      </c>
      <c r="BM45" s="296">
        <f t="shared" si="26"/>
        <v>252.04620000000017</v>
      </c>
      <c r="BN45" s="296">
        <f t="shared" si="27"/>
        <v>30.005500000000001</v>
      </c>
      <c r="BO45" s="297">
        <f t="shared" si="28"/>
        <v>252.04619999999997</v>
      </c>
      <c r="BP45" s="297">
        <f t="shared" si="29"/>
        <v>36.006600000000084</v>
      </c>
      <c r="BQ45" s="298">
        <f t="shared" si="30"/>
        <v>258.04730000000006</v>
      </c>
      <c r="BR45" s="298">
        <f t="shared" si="31"/>
        <v>30.005500000000001</v>
      </c>
      <c r="BS45" s="299">
        <f t="shared" si="32"/>
        <v>276.05059999999997</v>
      </c>
      <c r="BT45" s="299">
        <f t="shared" si="33"/>
        <v>30.005500000000001</v>
      </c>
      <c r="BU45" s="300">
        <f t="shared" si="121"/>
        <v>228.04179999999994</v>
      </c>
      <c r="BV45" s="300">
        <f t="shared" si="122"/>
        <v>18.003300000000042</v>
      </c>
      <c r="BW45" s="77"/>
      <c r="BX45" s="77"/>
      <c r="BY45" s="77"/>
      <c r="CD45" s="12">
        <f t="shared" si="35"/>
        <v>3.1000000000000005</v>
      </c>
      <c r="CE45">
        <f t="shared" si="36"/>
        <v>0.59999999999999964</v>
      </c>
      <c r="CF45">
        <f t="shared" si="76"/>
        <v>189.10000000000002</v>
      </c>
      <c r="CG45">
        <f t="shared" si="77"/>
        <v>35.999999999999979</v>
      </c>
      <c r="CH45">
        <f t="shared" si="37"/>
        <v>3.7</v>
      </c>
      <c r="CI45">
        <f t="shared" si="38"/>
        <v>0.59999999999999964</v>
      </c>
      <c r="CJ45" s="12">
        <f t="shared" si="39"/>
        <v>3.7000000000000028</v>
      </c>
      <c r="CK45">
        <f t="shared" si="40"/>
        <v>0.5</v>
      </c>
      <c r="CL45">
        <f t="shared" si="41"/>
        <v>225.70000000000016</v>
      </c>
      <c r="CM45">
        <f t="shared" si="42"/>
        <v>30</v>
      </c>
      <c r="CN45">
        <f t="shared" si="43"/>
        <v>4.2000000000000028</v>
      </c>
      <c r="CO45">
        <f t="shared" si="44"/>
        <v>0.5</v>
      </c>
      <c r="CP45" s="12">
        <f t="shared" si="45"/>
        <v>3.5999999999999979</v>
      </c>
      <c r="CQ45">
        <f t="shared" si="46"/>
        <v>0.60000000000000142</v>
      </c>
      <c r="CR45">
        <f t="shared" si="47"/>
        <v>219.59999999999988</v>
      </c>
      <c r="CS45">
        <f t="shared" si="48"/>
        <v>36.000000000000085</v>
      </c>
      <c r="CT45">
        <f t="shared" si="49"/>
        <v>4.1999999999999993</v>
      </c>
      <c r="CU45">
        <f t="shared" si="50"/>
        <v>0.60000000000000142</v>
      </c>
      <c r="CV45" s="12">
        <f t="shared" si="51"/>
        <v>3.8000000000000007</v>
      </c>
      <c r="CW45">
        <f t="shared" si="52"/>
        <v>0.5</v>
      </c>
      <c r="CX45">
        <f t="shared" si="53"/>
        <v>231.80000000000004</v>
      </c>
      <c r="CY45">
        <f t="shared" si="54"/>
        <v>30</v>
      </c>
      <c r="CZ45">
        <f t="shared" si="55"/>
        <v>4.3000000000000007</v>
      </c>
      <c r="DA45">
        <f t="shared" si="56"/>
        <v>0.5</v>
      </c>
      <c r="DB45" s="12">
        <f t="shared" si="57"/>
        <v>4.0999999999999996</v>
      </c>
      <c r="DC45">
        <f t="shared" si="58"/>
        <v>0.5</v>
      </c>
      <c r="DD45">
        <f t="shared" si="59"/>
        <v>250.09999999999997</v>
      </c>
      <c r="DE45">
        <f t="shared" si="60"/>
        <v>30</v>
      </c>
      <c r="DF45">
        <f t="shared" si="61"/>
        <v>4.5999999999999996</v>
      </c>
      <c r="DG45">
        <f t="shared" si="62"/>
        <v>0.5</v>
      </c>
      <c r="DH45" s="12"/>
      <c r="DW45">
        <f t="shared" si="78"/>
        <v>30.499999999999858</v>
      </c>
      <c r="DX45">
        <f t="shared" si="79"/>
        <v>42.700000000000017</v>
      </c>
      <c r="DY45">
        <f t="shared" si="80"/>
        <v>60.999999999999943</v>
      </c>
      <c r="DZ45">
        <f t="shared" si="81"/>
        <v>44.73333333333327</v>
      </c>
    </row>
    <row r="46" spans="1:132">
      <c r="A46" s="14">
        <v>44538</v>
      </c>
      <c r="B46">
        <v>3.7</v>
      </c>
      <c r="C46">
        <v>4</v>
      </c>
      <c r="D46" s="66">
        <v>8.4</v>
      </c>
      <c r="E46" s="4">
        <v>27.2</v>
      </c>
      <c r="F46" s="4">
        <v>28</v>
      </c>
      <c r="G46" s="133">
        <v>32</v>
      </c>
      <c r="H46" s="1">
        <v>8.4</v>
      </c>
      <c r="I46" s="1">
        <v>8.6</v>
      </c>
      <c r="J46" s="134">
        <v>13.4</v>
      </c>
      <c r="K46" s="2">
        <v>13.4</v>
      </c>
      <c r="L46" s="2">
        <v>13.7</v>
      </c>
      <c r="M46" s="135">
        <v>18.399999999999999</v>
      </c>
      <c r="N46" s="3">
        <v>18.3</v>
      </c>
      <c r="O46" s="3">
        <v>18.8</v>
      </c>
      <c r="P46" s="136">
        <v>23.2</v>
      </c>
      <c r="Q46" s="72">
        <v>23.2</v>
      </c>
      <c r="R46" s="72">
        <v>23.5</v>
      </c>
      <c r="S46" s="137">
        <v>27.2</v>
      </c>
      <c r="T46" s="251" t="s">
        <v>343</v>
      </c>
      <c r="U46" s="251"/>
      <c r="V46" s="251"/>
      <c r="Y46">
        <f t="shared" si="143"/>
        <v>440.00000000000006</v>
      </c>
      <c r="Z46">
        <f t="shared" si="144"/>
        <v>29.999999999999982</v>
      </c>
      <c r="AA46" s="4">
        <f t="shared" si="145"/>
        <v>400</v>
      </c>
      <c r="AB46" s="4">
        <f t="shared" si="146"/>
        <v>80.000000000000071</v>
      </c>
      <c r="AC46" s="1">
        <f t="shared" si="147"/>
        <v>480.00000000000006</v>
      </c>
      <c r="AD46" s="1">
        <f t="shared" si="148"/>
        <v>19.999999999999929</v>
      </c>
      <c r="AE46" s="2">
        <f t="shared" si="149"/>
        <v>469.99999999999994</v>
      </c>
      <c r="AF46" s="2">
        <f t="shared" si="150"/>
        <v>29.999999999999893</v>
      </c>
      <c r="AG46" s="3">
        <f t="shared" si="151"/>
        <v>439.99999999999989</v>
      </c>
      <c r="AH46" s="3">
        <f t="shared" si="152"/>
        <v>50</v>
      </c>
      <c r="AI46" s="72">
        <f t="shared" si="153"/>
        <v>369.99999999999994</v>
      </c>
      <c r="AJ46" s="72">
        <f t="shared" si="154"/>
        <v>30.000000000000071</v>
      </c>
      <c r="AL46">
        <f t="shared" si="155"/>
        <v>369.6</v>
      </c>
      <c r="AM46">
        <f t="shared" si="156"/>
        <v>25.199999999999985</v>
      </c>
      <c r="AN46">
        <f t="shared" si="157"/>
        <v>336</v>
      </c>
      <c r="AO46">
        <f t="shared" si="158"/>
        <v>67.20000000000006</v>
      </c>
      <c r="AP46">
        <f t="shared" si="159"/>
        <v>403.20000000000005</v>
      </c>
      <c r="AQ46">
        <f t="shared" si="160"/>
        <v>16.79999999999994</v>
      </c>
      <c r="AR46">
        <f t="shared" si="161"/>
        <v>394.79999999999995</v>
      </c>
      <c r="AS46">
        <f t="shared" si="162"/>
        <v>25.19999999999991</v>
      </c>
      <c r="AT46">
        <f t="shared" si="163"/>
        <v>369.59999999999991</v>
      </c>
      <c r="AU46">
        <f t="shared" si="164"/>
        <v>42</v>
      </c>
      <c r="AV46">
        <f t="shared" si="165"/>
        <v>310.79999999999995</v>
      </c>
      <c r="AW46">
        <f t="shared" si="166"/>
        <v>25.20000000000006</v>
      </c>
      <c r="BK46" s="77">
        <f t="shared" si="74"/>
        <v>264.04840000000002</v>
      </c>
      <c r="BL46" s="77">
        <f t="shared" si="75"/>
        <v>18.003299999999989</v>
      </c>
      <c r="BM46" s="296">
        <f t="shared" si="26"/>
        <v>240.04400000000001</v>
      </c>
      <c r="BN46" s="296">
        <f t="shared" si="27"/>
        <v>48.008800000000043</v>
      </c>
      <c r="BO46" s="297">
        <f t="shared" si="28"/>
        <v>288.05280000000005</v>
      </c>
      <c r="BP46" s="297">
        <f t="shared" si="29"/>
        <v>12.002199999999958</v>
      </c>
      <c r="BQ46" s="298">
        <f t="shared" si="30"/>
        <v>282.05169999999998</v>
      </c>
      <c r="BR46" s="298">
        <f t="shared" si="31"/>
        <v>18.003299999999935</v>
      </c>
      <c r="BS46" s="299">
        <f t="shared" si="32"/>
        <v>264.0483999999999</v>
      </c>
      <c r="BT46" s="299">
        <f t="shared" si="33"/>
        <v>30.005500000000001</v>
      </c>
      <c r="BU46" s="300">
        <f t="shared" si="121"/>
        <v>222.04069999999996</v>
      </c>
      <c r="BV46" s="300">
        <f t="shared" si="122"/>
        <v>18.003300000000042</v>
      </c>
      <c r="BW46" s="301" t="s">
        <v>343</v>
      </c>
      <c r="BX46" s="301"/>
      <c r="BY46" s="301"/>
      <c r="CD46" s="12">
        <f t="shared" si="35"/>
        <v>4.1000000000000005</v>
      </c>
      <c r="CE46">
        <f t="shared" si="36"/>
        <v>0.29999999999999982</v>
      </c>
      <c r="CF46">
        <f t="shared" si="76"/>
        <v>250.10000000000002</v>
      </c>
      <c r="CG46">
        <f t="shared" si="77"/>
        <v>17.999999999999989</v>
      </c>
      <c r="CH46">
        <f t="shared" si="37"/>
        <v>4.4000000000000004</v>
      </c>
      <c r="CI46">
        <f t="shared" si="38"/>
        <v>0.29999999999999982</v>
      </c>
      <c r="CJ46" s="12">
        <f t="shared" si="39"/>
        <v>3.1999999999999993</v>
      </c>
      <c r="CK46">
        <f t="shared" si="40"/>
        <v>0.80000000000000071</v>
      </c>
      <c r="CL46">
        <f t="shared" si="41"/>
        <v>195.19999999999996</v>
      </c>
      <c r="CM46">
        <f t="shared" si="42"/>
        <v>48.000000000000043</v>
      </c>
      <c r="CN46">
        <f t="shared" si="43"/>
        <v>4</v>
      </c>
      <c r="CO46">
        <f t="shared" si="44"/>
        <v>0.80000000000000071</v>
      </c>
      <c r="CP46" s="12">
        <f t="shared" si="45"/>
        <v>4.6000000000000014</v>
      </c>
      <c r="CQ46">
        <f t="shared" si="46"/>
        <v>0.19999999999999929</v>
      </c>
      <c r="CR46">
        <f t="shared" si="47"/>
        <v>280.60000000000008</v>
      </c>
      <c r="CS46">
        <f t="shared" si="48"/>
        <v>11.999999999999957</v>
      </c>
      <c r="CT46">
        <f t="shared" si="49"/>
        <v>4.8000000000000007</v>
      </c>
      <c r="CU46">
        <f t="shared" si="50"/>
        <v>0.19999999999999929</v>
      </c>
      <c r="CV46" s="12">
        <f t="shared" si="51"/>
        <v>4.4000000000000004</v>
      </c>
      <c r="CW46">
        <f t="shared" si="52"/>
        <v>0.29999999999999893</v>
      </c>
      <c r="CX46">
        <f t="shared" si="53"/>
        <v>268.40000000000003</v>
      </c>
      <c r="CY46">
        <f t="shared" si="54"/>
        <v>17.999999999999936</v>
      </c>
      <c r="CZ46">
        <f t="shared" si="55"/>
        <v>4.6999999999999993</v>
      </c>
      <c r="DA46">
        <f t="shared" si="56"/>
        <v>0.29999999999999893</v>
      </c>
      <c r="DB46" s="12">
        <f t="shared" si="57"/>
        <v>3.8999999999999986</v>
      </c>
      <c r="DC46">
        <f t="shared" si="58"/>
        <v>0.5</v>
      </c>
      <c r="DD46">
        <f t="shared" si="59"/>
        <v>237.89999999999992</v>
      </c>
      <c r="DE46">
        <f t="shared" si="60"/>
        <v>30</v>
      </c>
      <c r="DF46">
        <f t="shared" si="61"/>
        <v>4.3999999999999986</v>
      </c>
      <c r="DG46">
        <f t="shared" si="62"/>
        <v>0.5</v>
      </c>
      <c r="DH46" s="12"/>
      <c r="DW46">
        <f t="shared" si="78"/>
        <v>30.500000000000057</v>
      </c>
      <c r="DX46">
        <f t="shared" si="79"/>
        <v>18.300000000000011</v>
      </c>
      <c r="DY46">
        <f t="shared" si="80"/>
        <v>-12.200000000000102</v>
      </c>
      <c r="DZ46">
        <f t="shared" si="81"/>
        <v>12.199999999999989</v>
      </c>
    </row>
    <row r="47" spans="1:132">
      <c r="A47" s="14">
        <v>44543</v>
      </c>
      <c r="B47">
        <v>8.4</v>
      </c>
      <c r="C47">
        <v>8.6999999999999993</v>
      </c>
      <c r="D47" s="66">
        <v>13.5</v>
      </c>
      <c r="E47" s="4">
        <v>13.5</v>
      </c>
      <c r="F47" s="4">
        <v>14.2</v>
      </c>
      <c r="G47" s="133">
        <v>18.5</v>
      </c>
      <c r="H47" s="1">
        <v>18.5</v>
      </c>
      <c r="I47" s="1">
        <v>18.899999999999999</v>
      </c>
      <c r="J47" s="134">
        <v>22.9</v>
      </c>
      <c r="K47" s="2">
        <v>22.9</v>
      </c>
      <c r="L47" s="2">
        <v>23.2</v>
      </c>
      <c r="M47" s="135">
        <v>27.8</v>
      </c>
      <c r="N47" s="3">
        <v>27.8</v>
      </c>
      <c r="O47" s="3">
        <v>28.2</v>
      </c>
      <c r="P47" s="136">
        <v>32.299999999999997</v>
      </c>
      <c r="Q47" s="72">
        <v>32.299999999999997</v>
      </c>
      <c r="R47" s="72">
        <v>32.700000000000003</v>
      </c>
      <c r="S47" s="137">
        <v>36.700000000000003</v>
      </c>
      <c r="T47" s="252" t="s">
        <v>181</v>
      </c>
      <c r="U47" s="252" t="s">
        <v>179</v>
      </c>
      <c r="V47" s="253" t="s">
        <v>180</v>
      </c>
      <c r="Y47">
        <f t="shared" si="143"/>
        <v>480.00000000000006</v>
      </c>
      <c r="Z47">
        <f t="shared" si="144"/>
        <v>29.999999999999893</v>
      </c>
      <c r="AA47" s="4">
        <f t="shared" si="145"/>
        <v>430.00000000000006</v>
      </c>
      <c r="AB47" s="4">
        <f t="shared" si="146"/>
        <v>69.999999999999929</v>
      </c>
      <c r="AC47" s="1">
        <f t="shared" si="147"/>
        <v>400</v>
      </c>
      <c r="AD47" s="1">
        <f t="shared" si="148"/>
        <v>39.999999999999858</v>
      </c>
      <c r="AE47" s="2">
        <f t="shared" si="149"/>
        <v>460.00000000000011</v>
      </c>
      <c r="AF47" s="2">
        <f t="shared" si="150"/>
        <v>30.000000000000071</v>
      </c>
      <c r="AG47" s="3">
        <f t="shared" si="151"/>
        <v>409.99999999999977</v>
      </c>
      <c r="AH47" s="3">
        <f t="shared" si="152"/>
        <v>39.999999999999858</v>
      </c>
      <c r="AI47" s="72">
        <f t="shared" si="153"/>
        <v>400</v>
      </c>
      <c r="AJ47" s="72">
        <f t="shared" si="154"/>
        <v>40.000000000000568</v>
      </c>
      <c r="AL47">
        <f t="shared" si="155"/>
        <v>403.20000000000005</v>
      </c>
      <c r="AM47">
        <f t="shared" si="156"/>
        <v>25.19999999999991</v>
      </c>
      <c r="AN47">
        <f t="shared" si="157"/>
        <v>361.20000000000005</v>
      </c>
      <c r="AO47">
        <f t="shared" si="158"/>
        <v>58.79999999999994</v>
      </c>
      <c r="AP47">
        <f t="shared" si="159"/>
        <v>336</v>
      </c>
      <c r="AQ47">
        <f t="shared" si="160"/>
        <v>33.599999999999881</v>
      </c>
      <c r="AR47">
        <f t="shared" si="161"/>
        <v>386.40000000000009</v>
      </c>
      <c r="AS47">
        <f t="shared" si="162"/>
        <v>25.20000000000006</v>
      </c>
      <c r="AT47">
        <f t="shared" si="163"/>
        <v>344.39999999999981</v>
      </c>
      <c r="AU47">
        <f t="shared" si="164"/>
        <v>33.599999999999881</v>
      </c>
      <c r="AV47">
        <f t="shared" si="165"/>
        <v>336</v>
      </c>
      <c r="AW47">
        <f t="shared" si="166"/>
        <v>33.600000000000477</v>
      </c>
      <c r="BK47" s="77">
        <f t="shared" si="74"/>
        <v>288.05280000000005</v>
      </c>
      <c r="BL47" s="77">
        <f t="shared" si="75"/>
        <v>18.003299999999935</v>
      </c>
      <c r="BM47" s="296">
        <f t="shared" si="26"/>
        <v>258.04730000000006</v>
      </c>
      <c r="BN47" s="296">
        <f t="shared" si="27"/>
        <v>42.007699999999957</v>
      </c>
      <c r="BO47" s="297">
        <f t="shared" si="28"/>
        <v>240.04400000000001</v>
      </c>
      <c r="BP47" s="297">
        <f t="shared" si="29"/>
        <v>24.004399999999915</v>
      </c>
      <c r="BQ47" s="298">
        <f t="shared" si="30"/>
        <v>276.05060000000009</v>
      </c>
      <c r="BR47" s="298">
        <f t="shared" si="31"/>
        <v>18.003300000000042</v>
      </c>
      <c r="BS47" s="299">
        <f t="shared" si="32"/>
        <v>246.04509999999988</v>
      </c>
      <c r="BT47" s="299">
        <f t="shared" si="33"/>
        <v>24.004399999999915</v>
      </c>
      <c r="BU47" s="300">
        <f t="shared" si="121"/>
        <v>240.04400000000001</v>
      </c>
      <c r="BV47" s="300">
        <f t="shared" si="122"/>
        <v>24.004400000000341</v>
      </c>
      <c r="BW47" s="302" t="s">
        <v>1310</v>
      </c>
      <c r="BX47" s="302" t="s">
        <v>1311</v>
      </c>
      <c r="BY47" s="303"/>
      <c r="CD47" s="12">
        <f t="shared" si="35"/>
        <v>4.5000000000000018</v>
      </c>
      <c r="CE47">
        <f t="shared" si="36"/>
        <v>0.29999999999999893</v>
      </c>
      <c r="CF47">
        <f t="shared" si="76"/>
        <v>274.50000000000011</v>
      </c>
      <c r="CG47">
        <f t="shared" si="77"/>
        <v>17.999999999999936</v>
      </c>
      <c r="CH47">
        <f t="shared" si="37"/>
        <v>4.8000000000000007</v>
      </c>
      <c r="CI47">
        <f t="shared" si="38"/>
        <v>0.29999999999999893</v>
      </c>
      <c r="CJ47" s="12">
        <f t="shared" si="39"/>
        <v>3.6000000000000014</v>
      </c>
      <c r="CK47">
        <f t="shared" si="40"/>
        <v>0.69999999999999929</v>
      </c>
      <c r="CL47">
        <f t="shared" si="41"/>
        <v>219.60000000000008</v>
      </c>
      <c r="CM47">
        <f t="shared" si="42"/>
        <v>41.999999999999957</v>
      </c>
      <c r="CN47">
        <f t="shared" si="43"/>
        <v>4.3000000000000007</v>
      </c>
      <c r="CO47">
        <f t="shared" si="44"/>
        <v>0.69999999999999929</v>
      </c>
      <c r="CP47" s="12">
        <f t="shared" si="45"/>
        <v>3.6000000000000014</v>
      </c>
      <c r="CQ47">
        <f t="shared" si="46"/>
        <v>0.39999999999999858</v>
      </c>
      <c r="CR47">
        <f t="shared" si="47"/>
        <v>219.60000000000008</v>
      </c>
      <c r="CS47">
        <f t="shared" si="48"/>
        <v>23.999999999999915</v>
      </c>
      <c r="CT47">
        <f t="shared" si="49"/>
        <v>4</v>
      </c>
      <c r="CU47">
        <f t="shared" si="50"/>
        <v>0.39999999999999858</v>
      </c>
      <c r="CV47" s="12">
        <f t="shared" si="51"/>
        <v>4.3000000000000007</v>
      </c>
      <c r="CW47">
        <f t="shared" si="52"/>
        <v>0.30000000000000071</v>
      </c>
      <c r="CX47">
        <f t="shared" si="53"/>
        <v>262.30000000000007</v>
      </c>
      <c r="CY47">
        <f t="shared" si="54"/>
        <v>18.000000000000043</v>
      </c>
      <c r="CZ47">
        <f t="shared" si="55"/>
        <v>4.6000000000000014</v>
      </c>
      <c r="DA47">
        <f>L47-K47</f>
        <v>0.30000000000000071</v>
      </c>
      <c r="DB47" s="12">
        <f t="shared" si="57"/>
        <v>3.6999999999999993</v>
      </c>
      <c r="DC47">
        <f t="shared" si="58"/>
        <v>0.39999999999999858</v>
      </c>
      <c r="DD47">
        <f t="shared" si="59"/>
        <v>225.69999999999996</v>
      </c>
      <c r="DE47">
        <f t="shared" si="60"/>
        <v>23.999999999999915</v>
      </c>
      <c r="DF47">
        <f t="shared" si="61"/>
        <v>4.0999999999999979</v>
      </c>
      <c r="DG47">
        <f t="shared" si="62"/>
        <v>0.39999999999999858</v>
      </c>
      <c r="DH47" s="12"/>
      <c r="DW47">
        <f t="shared" si="78"/>
        <v>-54.900000000000034</v>
      </c>
      <c r="DX47">
        <f t="shared" si="79"/>
        <v>-12.200000000000045</v>
      </c>
      <c r="DY47">
        <f t="shared" si="80"/>
        <v>-48.800000000000153</v>
      </c>
      <c r="DZ47">
        <f t="shared" si="81"/>
        <v>-38.633333333333411</v>
      </c>
    </row>
    <row r="48" spans="1:132">
      <c r="A48" s="14">
        <v>44546</v>
      </c>
      <c r="B48" t="s">
        <v>996</v>
      </c>
      <c r="C48" t="s">
        <v>996</v>
      </c>
      <c r="D48" s="66" t="s">
        <v>996</v>
      </c>
      <c r="E48" s="4" t="s">
        <v>996</v>
      </c>
      <c r="F48" s="4" t="s">
        <v>996</v>
      </c>
      <c r="G48" s="133" t="s">
        <v>996</v>
      </c>
      <c r="H48" s="1" t="s">
        <v>996</v>
      </c>
      <c r="I48" s="1" t="s">
        <v>996</v>
      </c>
      <c r="J48" s="134" t="s">
        <v>996</v>
      </c>
      <c r="K48" s="2" t="s">
        <v>996</v>
      </c>
      <c r="L48" s="2" t="s">
        <v>996</v>
      </c>
      <c r="M48" s="135" t="s">
        <v>996</v>
      </c>
      <c r="N48" s="3" t="s">
        <v>996</v>
      </c>
      <c r="O48" s="3" t="s">
        <v>996</v>
      </c>
      <c r="P48" s="136" t="s">
        <v>996</v>
      </c>
      <c r="Q48" s="72">
        <v>26.3</v>
      </c>
      <c r="R48" s="72">
        <v>26.5</v>
      </c>
      <c r="S48" s="137">
        <v>30.9</v>
      </c>
      <c r="T48" s="9">
        <v>22</v>
      </c>
      <c r="U48" s="9">
        <v>22.4</v>
      </c>
      <c r="V48" s="9">
        <v>26.3</v>
      </c>
      <c r="AI48" s="72">
        <f t="shared" ref="AI48:AI63" si="167">(S48-R48)*100</f>
        <v>439.99999999999989</v>
      </c>
      <c r="AJ48" s="72">
        <f t="shared" ref="AJ48:AJ63" si="168">(R48-Q48)*100</f>
        <v>19.999999999999929</v>
      </c>
      <c r="AV48">
        <f t="shared" si="165"/>
        <v>369.59999999999991</v>
      </c>
      <c r="AW48">
        <f t="shared" si="166"/>
        <v>16.79999999999994</v>
      </c>
      <c r="BK48" s="77" t="e">
        <f t="shared" si="74"/>
        <v>#VALUE!</v>
      </c>
      <c r="BL48" s="77" t="e">
        <f t="shared" si="75"/>
        <v>#VALUE!</v>
      </c>
      <c r="BM48" s="296" t="e">
        <f t="shared" si="26"/>
        <v>#VALUE!</v>
      </c>
      <c r="BN48" s="296" t="e">
        <f t="shared" si="27"/>
        <v>#VALUE!</v>
      </c>
      <c r="BO48" s="297" t="e">
        <f t="shared" si="28"/>
        <v>#VALUE!</v>
      </c>
      <c r="BP48" s="297" t="e">
        <f t="shared" si="29"/>
        <v>#VALUE!</v>
      </c>
      <c r="BQ48" s="298" t="e">
        <f t="shared" si="30"/>
        <v>#VALUE!</v>
      </c>
      <c r="BR48" s="298" t="e">
        <f t="shared" si="31"/>
        <v>#VALUE!</v>
      </c>
      <c r="BS48" s="299" t="e">
        <f t="shared" si="32"/>
        <v>#VALUE!</v>
      </c>
      <c r="BT48" s="299" t="e">
        <f t="shared" si="33"/>
        <v>#VALUE!</v>
      </c>
      <c r="BU48" s="300">
        <f t="shared" si="121"/>
        <v>264.0483999999999</v>
      </c>
      <c r="BV48" s="300">
        <f t="shared" si="122"/>
        <v>12.002199999999958</v>
      </c>
      <c r="BW48" s="300">
        <f>($V48-$U48)*60.011</f>
        <v>234.04290000000015</v>
      </c>
      <c r="BX48" s="300">
        <f>($U48-$T48)*60.011</f>
        <v>24.004399999999915</v>
      </c>
      <c r="BY48" s="77"/>
      <c r="CD48" s="604" t="e">
        <f t="shared" si="35"/>
        <v>#VALUE!</v>
      </c>
      <c r="CE48" s="368" t="e">
        <f t="shared" si="36"/>
        <v>#VALUE!</v>
      </c>
      <c r="CF48" s="368" t="e">
        <f t="shared" si="76"/>
        <v>#VALUE!</v>
      </c>
      <c r="CG48" s="368" t="e">
        <f t="shared" si="77"/>
        <v>#VALUE!</v>
      </c>
      <c r="CH48" s="368" t="e">
        <f t="shared" si="37"/>
        <v>#VALUE!</v>
      </c>
      <c r="CI48" s="368" t="e">
        <f t="shared" si="38"/>
        <v>#VALUE!</v>
      </c>
      <c r="CJ48" s="604" t="e">
        <f t="shared" si="39"/>
        <v>#VALUE!</v>
      </c>
      <c r="CK48" s="368" t="e">
        <f t="shared" si="40"/>
        <v>#VALUE!</v>
      </c>
      <c r="CL48" s="368" t="e">
        <f t="shared" si="41"/>
        <v>#VALUE!</v>
      </c>
      <c r="CM48" s="368" t="e">
        <f t="shared" si="42"/>
        <v>#VALUE!</v>
      </c>
      <c r="CN48" s="368" t="e">
        <f t="shared" si="43"/>
        <v>#VALUE!</v>
      </c>
      <c r="CO48" s="368" t="e">
        <f t="shared" si="44"/>
        <v>#VALUE!</v>
      </c>
      <c r="CP48" s="604" t="e">
        <f t="shared" si="45"/>
        <v>#VALUE!</v>
      </c>
      <c r="CQ48" s="368" t="e">
        <f t="shared" si="46"/>
        <v>#VALUE!</v>
      </c>
      <c r="CR48" s="368" t="e">
        <f t="shared" si="47"/>
        <v>#VALUE!</v>
      </c>
      <c r="CS48" s="368" t="e">
        <f t="shared" si="48"/>
        <v>#VALUE!</v>
      </c>
      <c r="CT48" s="368" t="e">
        <f t="shared" si="49"/>
        <v>#VALUE!</v>
      </c>
      <c r="CU48" s="368" t="e">
        <f t="shared" si="50"/>
        <v>#VALUE!</v>
      </c>
      <c r="CV48" s="604" t="e">
        <f t="shared" si="51"/>
        <v>#VALUE!</v>
      </c>
      <c r="CW48" s="368" t="e">
        <f t="shared" si="52"/>
        <v>#VALUE!</v>
      </c>
      <c r="CX48" s="368" t="e">
        <f t="shared" si="53"/>
        <v>#VALUE!</v>
      </c>
      <c r="CY48" s="368" t="e">
        <f t="shared" si="54"/>
        <v>#VALUE!</v>
      </c>
      <c r="CZ48" s="368" t="e">
        <f t="shared" si="55"/>
        <v>#VALUE!</v>
      </c>
      <c r="DA48" s="368" t="e">
        <f t="shared" si="56"/>
        <v>#VALUE!</v>
      </c>
      <c r="DB48" s="604" t="e">
        <f t="shared" si="57"/>
        <v>#VALUE!</v>
      </c>
      <c r="DC48" s="368" t="e">
        <f t="shared" si="58"/>
        <v>#VALUE!</v>
      </c>
      <c r="DD48" s="368" t="e">
        <f t="shared" si="59"/>
        <v>#VALUE!</v>
      </c>
      <c r="DE48" s="368" t="e">
        <f t="shared" si="60"/>
        <v>#VALUE!</v>
      </c>
      <c r="DF48" s="368" t="e">
        <f t="shared" si="61"/>
        <v>#VALUE!</v>
      </c>
      <c r="DG48" s="368" t="e">
        <f t="shared" si="62"/>
        <v>#VALUE!</v>
      </c>
      <c r="DH48" s="12"/>
      <c r="DW48" t="e">
        <f t="shared" si="78"/>
        <v>#VALUE!</v>
      </c>
      <c r="DX48" t="e">
        <f t="shared" si="79"/>
        <v>#VALUE!</v>
      </c>
      <c r="DY48" t="e">
        <f t="shared" si="80"/>
        <v>#VALUE!</v>
      </c>
      <c r="DZ48" t="e">
        <f t="shared" si="81"/>
        <v>#VALUE!</v>
      </c>
    </row>
    <row r="49" spans="1:121">
      <c r="A49" s="14">
        <v>44580</v>
      </c>
      <c r="Q49" s="72">
        <v>14.3</v>
      </c>
      <c r="R49" s="72">
        <v>14.6</v>
      </c>
      <c r="S49" s="137">
        <v>18.899999999999999</v>
      </c>
      <c r="T49" s="34">
        <v>9.4</v>
      </c>
      <c r="U49" s="34">
        <v>9.6999999999999993</v>
      </c>
      <c r="V49" s="34">
        <v>14.3</v>
      </c>
      <c r="AI49" s="72">
        <f t="shared" si="167"/>
        <v>429.99999999999989</v>
      </c>
      <c r="AJ49" s="72">
        <f t="shared" si="168"/>
        <v>29.999999999999893</v>
      </c>
      <c r="AV49">
        <f t="shared" si="165"/>
        <v>361.19999999999993</v>
      </c>
      <c r="AW49">
        <f t="shared" si="166"/>
        <v>25.19999999999991</v>
      </c>
      <c r="BK49" s="77"/>
      <c r="BL49" s="77"/>
      <c r="BM49" s="296"/>
      <c r="BN49" s="296"/>
      <c r="BO49" s="297"/>
      <c r="BP49" s="297"/>
      <c r="BQ49" s="298"/>
      <c r="BR49" s="298"/>
      <c r="BS49" s="299"/>
      <c r="BT49" s="299"/>
      <c r="BU49" s="300">
        <f t="shared" si="121"/>
        <v>258.04729999999995</v>
      </c>
      <c r="BV49" s="300">
        <f t="shared" si="122"/>
        <v>18.003299999999935</v>
      </c>
      <c r="BW49" s="300">
        <f t="shared" ref="BW49:BW53" si="169">($V49-$U49)*60.011</f>
        <v>276.05060000000009</v>
      </c>
      <c r="BX49" s="300">
        <f t="shared" ref="BX49:BX53" si="170">($U49-$T49)*60.011</f>
        <v>18.003299999999935</v>
      </c>
      <c r="BY49" s="77"/>
      <c r="CD49" s="12"/>
      <c r="CJ49" s="12"/>
      <c r="CP49" s="12"/>
      <c r="CV49" s="12"/>
      <c r="DB49" s="12"/>
      <c r="DH49" s="12"/>
    </row>
    <row r="50" spans="1:121">
      <c r="A50" s="14">
        <v>44582</v>
      </c>
      <c r="Q50" s="72">
        <v>33.200000000000003</v>
      </c>
      <c r="R50" s="72">
        <v>33.6</v>
      </c>
      <c r="S50" s="137">
        <v>37.6</v>
      </c>
      <c r="T50" s="34">
        <v>28.8</v>
      </c>
      <c r="U50" s="34">
        <v>29.1</v>
      </c>
      <c r="V50" s="34">
        <v>33.299999999999997</v>
      </c>
      <c r="AI50" s="72">
        <f t="shared" si="167"/>
        <v>400</v>
      </c>
      <c r="AJ50" s="72">
        <f t="shared" si="168"/>
        <v>39.999999999999858</v>
      </c>
      <c r="AV50">
        <f t="shared" si="165"/>
        <v>336</v>
      </c>
      <c r="AW50">
        <f t="shared" si="166"/>
        <v>33.599999999999881</v>
      </c>
      <c r="BK50" s="77"/>
      <c r="BL50" s="77"/>
      <c r="BM50" s="296"/>
      <c r="BN50" s="296"/>
      <c r="BO50" s="297"/>
      <c r="BP50" s="297"/>
      <c r="BQ50" s="298"/>
      <c r="BR50" s="298"/>
      <c r="BS50" s="299"/>
      <c r="BT50" s="299"/>
      <c r="BU50" s="300">
        <f t="shared" si="121"/>
        <v>240.04400000000001</v>
      </c>
      <c r="BV50" s="300">
        <f t="shared" si="122"/>
        <v>24.004399999999915</v>
      </c>
      <c r="BW50" s="300">
        <f t="shared" si="169"/>
        <v>252.04619999999974</v>
      </c>
      <c r="BX50" s="300">
        <f t="shared" si="170"/>
        <v>18.003300000000042</v>
      </c>
      <c r="BY50" s="77"/>
      <c r="CE50" t="s">
        <v>183</v>
      </c>
      <c r="CF50" t="s">
        <v>1794</v>
      </c>
      <c r="CG50" t="s">
        <v>1797</v>
      </c>
      <c r="CK50" t="s">
        <v>167</v>
      </c>
      <c r="CL50" t="s">
        <v>1794</v>
      </c>
      <c r="CM50" t="s">
        <v>1797</v>
      </c>
      <c r="CQ50" t="s">
        <v>168</v>
      </c>
      <c r="CR50" t="s">
        <v>1794</v>
      </c>
      <c r="CS50" t="s">
        <v>1797</v>
      </c>
      <c r="CW50" t="s">
        <v>169</v>
      </c>
      <c r="CX50" t="s">
        <v>1794</v>
      </c>
      <c r="CY50" t="s">
        <v>1797</v>
      </c>
      <c r="DC50" t="s">
        <v>170</v>
      </c>
      <c r="DD50" t="s">
        <v>1794</v>
      </c>
      <c r="DE50" t="s">
        <v>1797</v>
      </c>
      <c r="DI50" t="s">
        <v>263</v>
      </c>
      <c r="DJ50" t="s">
        <v>1794</v>
      </c>
      <c r="DK50" t="s">
        <v>1797</v>
      </c>
      <c r="DO50" t="s">
        <v>343</v>
      </c>
      <c r="DP50" t="s">
        <v>1794</v>
      </c>
      <c r="DQ50" t="s">
        <v>1797</v>
      </c>
    </row>
    <row r="51" spans="1:121">
      <c r="A51" s="14">
        <v>44585</v>
      </c>
      <c r="Q51" s="72">
        <v>24.4</v>
      </c>
      <c r="R51" s="72">
        <v>24.7</v>
      </c>
      <c r="S51" s="137">
        <v>28.7</v>
      </c>
      <c r="T51" s="34">
        <v>20.5</v>
      </c>
      <c r="U51" s="34">
        <v>20.8</v>
      </c>
      <c r="V51" s="34">
        <v>24.4</v>
      </c>
      <c r="AI51" s="72">
        <f t="shared" si="167"/>
        <v>400</v>
      </c>
      <c r="AJ51" s="72">
        <f t="shared" si="168"/>
        <v>30.000000000000071</v>
      </c>
      <c r="AV51">
        <f t="shared" si="165"/>
        <v>336</v>
      </c>
      <c r="AW51">
        <f t="shared" si="166"/>
        <v>25.20000000000006</v>
      </c>
      <c r="BK51" s="77"/>
      <c r="BL51" s="77"/>
      <c r="BM51" s="296"/>
      <c r="BN51" s="296"/>
      <c r="BO51" s="297"/>
      <c r="BP51" s="297"/>
      <c r="BQ51" s="298"/>
      <c r="BR51" s="298"/>
      <c r="BS51" s="299"/>
      <c r="BT51" s="299"/>
      <c r="BU51" s="300">
        <f t="shared" si="121"/>
        <v>240.04400000000001</v>
      </c>
      <c r="BV51" s="300">
        <f t="shared" si="122"/>
        <v>18.003300000000042</v>
      </c>
      <c r="BW51" s="300">
        <f t="shared" si="169"/>
        <v>216.03959999999989</v>
      </c>
      <c r="BX51" s="300">
        <f t="shared" si="170"/>
        <v>18.003300000000042</v>
      </c>
      <c r="BY51" s="77"/>
      <c r="CD51" s="12"/>
      <c r="CF51" s="12">
        <f>AVERAGE(CF3:CF47)</f>
        <v>235.93928571428577</v>
      </c>
      <c r="CG51" s="12">
        <f>AVERAGE(CG3:CG47)</f>
        <v>18.642857142857139</v>
      </c>
      <c r="CH51" s="12"/>
      <c r="CI51" s="12"/>
      <c r="CJ51" s="12"/>
      <c r="CK51" s="12"/>
      <c r="CL51" s="12">
        <f>AVERAGE(CL3:CL47)</f>
        <v>247.75930232558139</v>
      </c>
      <c r="CM51" s="12">
        <f>AVERAGE(CM3:CM47)</f>
        <v>28.465116279069761</v>
      </c>
      <c r="CN51" s="12"/>
      <c r="CO51" s="12"/>
      <c r="CP51" s="12"/>
      <c r="CQ51" s="12"/>
      <c r="CR51" s="12">
        <f>AVERAGE(CR3:CR47)</f>
        <v>257.05116279069779</v>
      </c>
      <c r="CS51" s="12">
        <f>AVERAGE(CS3:CS47)</f>
        <v>22.744186046511611</v>
      </c>
      <c r="CT51" s="12"/>
      <c r="CU51" s="12"/>
      <c r="CV51" s="12"/>
      <c r="CW51" s="12"/>
      <c r="CX51" s="12">
        <f>AVERAGE(CX3:CX47)</f>
        <v>244.35465116279062</v>
      </c>
      <c r="CY51" s="12">
        <f>AVERAGE(CY3:CY47)</f>
        <v>21.069767441860463</v>
      </c>
      <c r="CZ51" s="12"/>
      <c r="DA51" s="12"/>
      <c r="DB51" s="12"/>
      <c r="DC51" s="12"/>
      <c r="DD51" s="12">
        <f>AVERAGE(DD3:DD47)</f>
        <v>242.51046511627908</v>
      </c>
      <c r="DE51" s="12">
        <f>AVERAGE(DE3:DE47)</f>
        <v>24.348837209302321</v>
      </c>
      <c r="DF51" s="12"/>
      <c r="DG51" s="12"/>
      <c r="DH51" s="12"/>
      <c r="DI51" s="12"/>
      <c r="DJ51" s="12">
        <f>AVERAGE(DJ3:DJ32)</f>
        <v>203.61379310344816</v>
      </c>
      <c r="DK51" s="12">
        <f>AVERAGE(DK3:DK32)</f>
        <v>23.586206896551715</v>
      </c>
      <c r="DP51" s="12">
        <f>AVERAGE(DP3:DP32)</f>
        <v>236.49230769230761</v>
      </c>
      <c r="DQ51" s="12">
        <f>AVERAGE(DQ3:DQ32)</f>
        <v>23.571428571428555</v>
      </c>
    </row>
    <row r="52" spans="1:121">
      <c r="A52" s="14">
        <v>44587</v>
      </c>
      <c r="Q52" s="72">
        <v>26.7</v>
      </c>
      <c r="R52" s="72">
        <v>27.2</v>
      </c>
      <c r="S52" s="137">
        <v>30.7</v>
      </c>
      <c r="T52" s="34">
        <v>19.100000000000001</v>
      </c>
      <c r="U52" s="34">
        <v>19.5</v>
      </c>
      <c r="V52" s="34">
        <v>23</v>
      </c>
      <c r="AI52" s="72">
        <f t="shared" si="167"/>
        <v>350</v>
      </c>
      <c r="AJ52" s="72">
        <f t="shared" si="168"/>
        <v>50</v>
      </c>
      <c r="AV52">
        <f t="shared" si="165"/>
        <v>294</v>
      </c>
      <c r="AW52">
        <f t="shared" si="166"/>
        <v>42</v>
      </c>
      <c r="BK52" s="77"/>
      <c r="BL52" s="77"/>
      <c r="BM52" s="296"/>
      <c r="BN52" s="296"/>
      <c r="BO52" s="297"/>
      <c r="BP52" s="297"/>
      <c r="BQ52" s="298"/>
      <c r="BR52" s="298"/>
      <c r="BS52" s="299"/>
      <c r="BT52" s="299"/>
      <c r="BU52" s="300">
        <f t="shared" si="121"/>
        <v>210.0385</v>
      </c>
      <c r="BV52" s="300">
        <f t="shared" si="122"/>
        <v>30.005500000000001</v>
      </c>
      <c r="BW52" s="300">
        <f t="shared" si="169"/>
        <v>210.0385</v>
      </c>
      <c r="BX52" s="300">
        <f t="shared" si="170"/>
        <v>24.004399999999915</v>
      </c>
      <c r="BY52" s="77"/>
      <c r="CD52" s="12"/>
      <c r="CJ52" s="12"/>
      <c r="CP52" s="12"/>
      <c r="CV52" s="12"/>
      <c r="DB52" s="12"/>
      <c r="DH52" s="12"/>
    </row>
    <row r="53" spans="1:121">
      <c r="A53" s="14">
        <v>44589</v>
      </c>
      <c r="Q53" s="72">
        <v>25.3</v>
      </c>
      <c r="R53" s="72">
        <v>25.5</v>
      </c>
      <c r="S53" s="137">
        <v>28.7</v>
      </c>
      <c r="T53" s="34">
        <v>21.1</v>
      </c>
      <c r="U53" s="34">
        <v>21.3</v>
      </c>
      <c r="V53" s="34">
        <v>25.3</v>
      </c>
      <c r="AI53" s="72">
        <f t="shared" si="167"/>
        <v>319.99999999999994</v>
      </c>
      <c r="AJ53" s="72">
        <f t="shared" si="168"/>
        <v>19.999999999999929</v>
      </c>
      <c r="AV53">
        <f t="shared" si="165"/>
        <v>268.79999999999995</v>
      </c>
      <c r="AW53">
        <f t="shared" si="166"/>
        <v>16.79999999999994</v>
      </c>
      <c r="BK53" s="77"/>
      <c r="BL53" s="77"/>
      <c r="BM53" s="296"/>
      <c r="BN53" s="296"/>
      <c r="BO53" s="297"/>
      <c r="BP53" s="297"/>
      <c r="BQ53" s="298"/>
      <c r="BR53" s="298"/>
      <c r="BS53" s="299"/>
      <c r="BT53" s="299"/>
      <c r="BU53" s="300">
        <f t="shared" si="121"/>
        <v>192.03519999999997</v>
      </c>
      <c r="BV53" s="300">
        <f t="shared" si="122"/>
        <v>12.002199999999958</v>
      </c>
      <c r="BW53" s="300">
        <f t="shared" si="169"/>
        <v>240.04400000000001</v>
      </c>
      <c r="BX53" s="300">
        <f t="shared" si="170"/>
        <v>12.002199999999958</v>
      </c>
      <c r="BY53" s="77"/>
      <c r="CD53" s="12"/>
      <c r="CF53" t="s">
        <v>1822</v>
      </c>
      <c r="CJ53" s="12"/>
      <c r="CP53" s="12"/>
      <c r="CV53" s="12"/>
      <c r="DB53" s="12"/>
      <c r="DH53" s="12"/>
    </row>
    <row r="54" spans="1:121">
      <c r="A54" s="14">
        <v>44594</v>
      </c>
      <c r="P54" s="605"/>
      <c r="Q54" s="72">
        <v>31.6</v>
      </c>
      <c r="R54" s="72">
        <v>31.7</v>
      </c>
      <c r="S54" s="137">
        <v>32.4</v>
      </c>
      <c r="T54" s="34">
        <v>30.1</v>
      </c>
      <c r="U54" s="34">
        <v>30.1</v>
      </c>
      <c r="V54" s="34">
        <v>31.6</v>
      </c>
      <c r="W54" s="249"/>
      <c r="AH54" s="266"/>
      <c r="AI54" s="72">
        <f>((((S54-R54)*0.06)/20)*1000)*100</f>
        <v>209.99999999999977</v>
      </c>
      <c r="AJ54" s="72">
        <f>((((R54-Q54)*0.06)/20)*1000)*100</f>
        <v>29.999999999999353</v>
      </c>
      <c r="AK54" s="266"/>
      <c r="AV54">
        <f t="shared" si="165"/>
        <v>176.39999999999981</v>
      </c>
      <c r="AW54">
        <f t="shared" si="166"/>
        <v>25.199999999999459</v>
      </c>
      <c r="BK54" s="77"/>
      <c r="BL54" s="77"/>
      <c r="BM54" s="296"/>
      <c r="BN54" s="296"/>
      <c r="BO54" s="297"/>
      <c r="BP54" s="297"/>
      <c r="BQ54" s="298"/>
      <c r="BR54" s="298"/>
      <c r="BS54" s="299"/>
      <c r="BT54" s="299"/>
      <c r="BU54" s="300">
        <f>(((($S54-$R54)*0.06)/20)*1000)*60.011</f>
        <v>126.02309999999987</v>
      </c>
      <c r="BV54" s="300">
        <f>(((($R54-$Q54)*0.06)/20)*1000)*60.011</f>
        <v>18.003299999999612</v>
      </c>
      <c r="BW54" s="300">
        <f>(((($V54-$U54)*0.06)/20)*1000)*60.011</f>
        <v>270.04950000000002</v>
      </c>
      <c r="BX54" s="300">
        <f>(((($U54-$T54)*0.06)/20)*1000)*60.011</f>
        <v>0</v>
      </c>
      <c r="BY54" s="77"/>
      <c r="CD54" s="12"/>
      <c r="CG54" t="s">
        <v>1816</v>
      </c>
      <c r="CI54" t="s">
        <v>1817</v>
      </c>
      <c r="CJ54" s="12"/>
      <c r="CK54" t="s">
        <v>1820</v>
      </c>
      <c r="CP54" s="12"/>
      <c r="CV54" s="12"/>
      <c r="DB54" s="12"/>
      <c r="DH54" s="12"/>
    </row>
    <row r="55" spans="1:121">
      <c r="A55" s="39">
        <v>44596</v>
      </c>
      <c r="Q55" s="72">
        <v>20.100000000000001</v>
      </c>
      <c r="R55" s="72">
        <v>20.2</v>
      </c>
      <c r="S55" s="137">
        <v>21.1</v>
      </c>
      <c r="T55" s="34">
        <v>19.3</v>
      </c>
      <c r="U55" s="34">
        <v>19.399999999999999</v>
      </c>
      <c r="V55" s="34">
        <v>20.100000000000001</v>
      </c>
      <c r="AI55" s="72">
        <f t="shared" ref="AI55:AI62" si="171">((((S55-R55)*0.06)/20)*1000)*100</f>
        <v>270.00000000000063</v>
      </c>
      <c r="AJ55" s="72">
        <f t="shared" ref="AJ55:AJ62" si="172">((((R55-Q55)*0.06)/20)*1000)*100</f>
        <v>29.999999999999353</v>
      </c>
      <c r="AV55">
        <f t="shared" si="165"/>
        <v>226.80000000000052</v>
      </c>
      <c r="AW55">
        <f t="shared" si="166"/>
        <v>25.199999999999459</v>
      </c>
      <c r="BK55" s="77"/>
      <c r="BL55" s="77"/>
      <c r="BM55" s="296"/>
      <c r="BN55" s="296"/>
      <c r="BO55" s="297"/>
      <c r="BP55" s="297"/>
      <c r="BQ55" s="298"/>
      <c r="BR55" s="298"/>
      <c r="BS55" s="299"/>
      <c r="BT55" s="299"/>
      <c r="BU55" s="300">
        <f t="shared" ref="BU55:BU63" si="173">(((($S55-$R55)*0.06)/20)*1000)*60.011</f>
        <v>162.02970000000039</v>
      </c>
      <c r="BV55" s="300">
        <f t="shared" ref="BV55:BV63" si="174">(((($R55-$Q55)*0.06)/20)*1000)*60.011</f>
        <v>18.003299999999612</v>
      </c>
      <c r="BW55" s="300">
        <f t="shared" ref="BW55:BW63" si="175">(((($V55-$U55)*0.06)/20)*1000)*60.011</f>
        <v>126.02310000000051</v>
      </c>
      <c r="BX55" s="300">
        <f t="shared" ref="BX55:BX63" si="176">(((($U55-$T55)*0.06)/20)*1000)*60.011</f>
        <v>18.003299999999612</v>
      </c>
      <c r="BY55" s="77"/>
      <c r="CD55" s="12"/>
      <c r="CF55" t="s">
        <v>1305</v>
      </c>
      <c r="CG55" t="s">
        <v>1814</v>
      </c>
      <c r="CH55" t="s">
        <v>1815</v>
      </c>
      <c r="CI55" t="s">
        <v>1814</v>
      </c>
      <c r="CJ55" t="s">
        <v>1815</v>
      </c>
      <c r="CK55" t="s">
        <v>1818</v>
      </c>
      <c r="CL55" t="s">
        <v>1819</v>
      </c>
      <c r="CP55" s="12"/>
      <c r="CV55" s="12"/>
      <c r="DB55" s="12"/>
      <c r="DH55" s="12"/>
    </row>
    <row r="56" spans="1:121">
      <c r="A56" s="39">
        <v>44601</v>
      </c>
      <c r="Q56" s="72">
        <v>20.6</v>
      </c>
      <c r="R56" s="72">
        <v>20.7</v>
      </c>
      <c r="S56" s="137">
        <v>22.2</v>
      </c>
      <c r="T56" s="34">
        <v>18.7</v>
      </c>
      <c r="U56" s="34">
        <v>18.8</v>
      </c>
      <c r="V56" s="34">
        <v>20.5</v>
      </c>
      <c r="AI56" s="72">
        <f t="shared" si="171"/>
        <v>450</v>
      </c>
      <c r="AJ56" s="72">
        <f t="shared" si="172"/>
        <v>29.999999999999353</v>
      </c>
      <c r="AV56">
        <f t="shared" si="165"/>
        <v>378</v>
      </c>
      <c r="AW56">
        <f t="shared" si="166"/>
        <v>25.199999999999459</v>
      </c>
      <c r="BK56" s="77"/>
      <c r="BL56" s="77"/>
      <c r="BM56" s="296"/>
      <c r="BN56" s="296"/>
      <c r="BO56" s="297"/>
      <c r="BP56" s="297"/>
      <c r="BQ56" s="298"/>
      <c r="BR56" s="298"/>
      <c r="BS56" s="299"/>
      <c r="BT56" s="299"/>
      <c r="BU56" s="300">
        <f t="shared" si="173"/>
        <v>270.04950000000002</v>
      </c>
      <c r="BV56" s="300">
        <f t="shared" si="174"/>
        <v>18.003299999999612</v>
      </c>
      <c r="BW56" s="300">
        <f t="shared" si="175"/>
        <v>306.0560999999999</v>
      </c>
      <c r="BX56" s="300">
        <f t="shared" si="176"/>
        <v>18.003300000000255</v>
      </c>
      <c r="BY56" s="77"/>
      <c r="CD56" s="12"/>
      <c r="CF56" t="s">
        <v>184</v>
      </c>
      <c r="CG56">
        <v>248</v>
      </c>
      <c r="CH56">
        <v>29</v>
      </c>
      <c r="CI56" s="77">
        <v>236</v>
      </c>
      <c r="CJ56" s="77">
        <v>19</v>
      </c>
      <c r="CK56" s="77">
        <f>CG56-CI56</f>
        <v>12</v>
      </c>
      <c r="CL56" s="77">
        <f>CH56-CJ56</f>
        <v>10</v>
      </c>
      <c r="CP56" s="12"/>
      <c r="CV56" s="12"/>
      <c r="DB56" s="12"/>
      <c r="DH56" s="12"/>
    </row>
    <row r="57" spans="1:121">
      <c r="A57" s="39">
        <v>44606</v>
      </c>
      <c r="Q57" s="72">
        <v>24.9</v>
      </c>
      <c r="R57" s="72">
        <v>25.2</v>
      </c>
      <c r="S57" s="137">
        <v>26.2</v>
      </c>
      <c r="T57" s="34">
        <v>24.6</v>
      </c>
      <c r="U57" s="34">
        <v>24.9</v>
      </c>
      <c r="V57" s="34">
        <v>24.9</v>
      </c>
      <c r="AI57" s="72">
        <f t="shared" si="171"/>
        <v>300</v>
      </c>
      <c r="AJ57" s="72">
        <f t="shared" si="172"/>
        <v>90.000000000000199</v>
      </c>
      <c r="AV57">
        <f t="shared" si="165"/>
        <v>252</v>
      </c>
      <c r="AW57">
        <f t="shared" si="166"/>
        <v>75.600000000000165</v>
      </c>
      <c r="BK57" s="77"/>
      <c r="BL57" s="77"/>
      <c r="BM57" s="296"/>
      <c r="BN57" s="296"/>
      <c r="BO57" s="297"/>
      <c r="BP57" s="297"/>
      <c r="BQ57" s="298"/>
      <c r="BR57" s="298"/>
      <c r="BS57" s="299"/>
      <c r="BT57" s="299"/>
      <c r="BU57" s="300">
        <f t="shared" si="173"/>
        <v>180.03300000000002</v>
      </c>
      <c r="BV57" s="300">
        <f t="shared" si="174"/>
        <v>54.009900000000123</v>
      </c>
      <c r="BW57" s="300">
        <f t="shared" si="175"/>
        <v>0</v>
      </c>
      <c r="BX57" s="300">
        <f t="shared" si="176"/>
        <v>54.009899999999483</v>
      </c>
      <c r="BY57" s="77"/>
      <c r="CD57" s="12"/>
      <c r="CF57" t="s">
        <v>168</v>
      </c>
      <c r="CG57">
        <v>257</v>
      </c>
      <c r="CH57">
        <v>23</v>
      </c>
      <c r="CI57" s="77">
        <v>236</v>
      </c>
      <c r="CJ57" s="77">
        <v>19</v>
      </c>
      <c r="CK57" s="77">
        <f t="shared" ref="CK57:CK60" si="177">CG57-CI57</f>
        <v>21</v>
      </c>
      <c r="CL57" s="77">
        <f t="shared" ref="CL57:CL60" si="178">CH57-CJ57</f>
        <v>4</v>
      </c>
      <c r="CP57" s="12"/>
      <c r="CV57" s="12"/>
      <c r="DB57" s="12"/>
      <c r="DH57" s="12"/>
    </row>
    <row r="58" spans="1:121">
      <c r="A58" s="14">
        <v>44608</v>
      </c>
      <c r="Q58" s="72">
        <v>7.8</v>
      </c>
      <c r="R58" s="72">
        <v>7.9</v>
      </c>
      <c r="S58" s="137">
        <v>9.4</v>
      </c>
      <c r="T58" s="34">
        <v>5.0999999999999996</v>
      </c>
      <c r="U58" s="34">
        <v>5.4</v>
      </c>
      <c r="V58" s="34">
        <v>7</v>
      </c>
      <c r="AI58" s="72">
        <f t="shared" si="171"/>
        <v>450</v>
      </c>
      <c r="AJ58" s="72">
        <f t="shared" si="172"/>
        <v>30.000000000000153</v>
      </c>
      <c r="AV58">
        <f t="shared" si="165"/>
        <v>378</v>
      </c>
      <c r="AW58">
        <f t="shared" si="166"/>
        <v>25.200000000000131</v>
      </c>
      <c r="BK58" s="77"/>
      <c r="BL58" s="77"/>
      <c r="BM58" s="296"/>
      <c r="BN58" s="296"/>
      <c r="BO58" s="297"/>
      <c r="BP58" s="297"/>
      <c r="BQ58" s="298"/>
      <c r="BR58" s="298"/>
      <c r="BS58" s="299"/>
      <c r="BT58" s="299"/>
      <c r="BU58" s="300">
        <f t="shared" si="173"/>
        <v>270.04950000000002</v>
      </c>
      <c r="BV58" s="300">
        <f t="shared" si="174"/>
        <v>18.003300000000092</v>
      </c>
      <c r="BW58" s="300">
        <f t="shared" si="175"/>
        <v>288.05279999999993</v>
      </c>
      <c r="BX58" s="300">
        <f t="shared" si="176"/>
        <v>54.009900000000123</v>
      </c>
      <c r="BY58" s="77"/>
      <c r="CD58" s="12"/>
      <c r="CF58" t="s">
        <v>169</v>
      </c>
      <c r="CG58">
        <v>244</v>
      </c>
      <c r="CH58">
        <v>21</v>
      </c>
      <c r="CI58" s="77">
        <v>236</v>
      </c>
      <c r="CJ58" s="77">
        <v>19</v>
      </c>
      <c r="CK58" s="77">
        <f t="shared" si="177"/>
        <v>8</v>
      </c>
      <c r="CL58" s="77">
        <f t="shared" si="178"/>
        <v>2</v>
      </c>
      <c r="CP58" s="12"/>
      <c r="CV58" s="12"/>
      <c r="DB58" s="12"/>
      <c r="DH58" s="12"/>
    </row>
    <row r="59" spans="1:121">
      <c r="A59" s="14">
        <v>44610</v>
      </c>
      <c r="Q59" s="72">
        <v>24.6</v>
      </c>
      <c r="R59" s="72">
        <v>24.8</v>
      </c>
      <c r="S59" s="137">
        <v>25.7</v>
      </c>
      <c r="T59" s="109">
        <v>23.6</v>
      </c>
      <c r="U59" s="109">
        <v>24</v>
      </c>
      <c r="V59" s="109">
        <v>24.6</v>
      </c>
      <c r="AI59" s="72">
        <f t="shared" si="171"/>
        <v>269.99999999999955</v>
      </c>
      <c r="AJ59" s="72">
        <f t="shared" si="172"/>
        <v>59.999999999999787</v>
      </c>
      <c r="BK59" s="77"/>
      <c r="BL59" s="77"/>
      <c r="BM59" s="296"/>
      <c r="BN59" s="296"/>
      <c r="BO59" s="297"/>
      <c r="BP59" s="297"/>
      <c r="BQ59" s="298"/>
      <c r="BR59" s="298"/>
      <c r="BS59" s="299"/>
      <c r="BT59" s="299"/>
      <c r="BU59" s="300">
        <f t="shared" si="173"/>
        <v>162.02969999999976</v>
      </c>
      <c r="BV59" s="300">
        <f t="shared" si="174"/>
        <v>36.006599999999871</v>
      </c>
      <c r="BW59" s="300">
        <f t="shared" si="175"/>
        <v>108.01980000000025</v>
      </c>
      <c r="BX59" s="300">
        <f t="shared" si="176"/>
        <v>72.013199999999742</v>
      </c>
      <c r="BY59" s="77"/>
      <c r="CD59" s="12"/>
      <c r="CF59" t="s">
        <v>170</v>
      </c>
      <c r="CG59">
        <v>243</v>
      </c>
      <c r="CH59">
        <v>24</v>
      </c>
      <c r="CI59" s="77">
        <v>236</v>
      </c>
      <c r="CJ59" s="77">
        <v>19</v>
      </c>
      <c r="CK59" s="77">
        <f t="shared" si="177"/>
        <v>7</v>
      </c>
      <c r="CL59" s="77">
        <f t="shared" si="178"/>
        <v>5</v>
      </c>
      <c r="CP59" s="12"/>
      <c r="CV59" s="12"/>
      <c r="DB59" s="12"/>
      <c r="DH59" s="12"/>
    </row>
    <row r="60" spans="1:121">
      <c r="A60" s="14">
        <v>44613</v>
      </c>
      <c r="Q60" s="72">
        <v>18.100000000000001</v>
      </c>
      <c r="R60" s="72">
        <v>18.399999999999999</v>
      </c>
      <c r="S60" s="137">
        <v>19.899999999999999</v>
      </c>
      <c r="T60" s="109">
        <v>16.5</v>
      </c>
      <c r="U60" s="109">
        <v>16.7</v>
      </c>
      <c r="V60" s="109">
        <v>18.100000000000001</v>
      </c>
      <c r="AI60" s="72">
        <f t="shared" si="171"/>
        <v>450</v>
      </c>
      <c r="AJ60" s="72">
        <f t="shared" si="172"/>
        <v>89.999999999999133</v>
      </c>
      <c r="BK60" s="77"/>
      <c r="BL60" s="77"/>
      <c r="BM60" s="296"/>
      <c r="BN60" s="296"/>
      <c r="BO60" s="297"/>
      <c r="BP60" s="297"/>
      <c r="BQ60" s="298"/>
      <c r="BR60" s="298"/>
      <c r="BS60" s="299"/>
      <c r="BT60" s="299"/>
      <c r="BU60" s="300">
        <f t="shared" si="173"/>
        <v>270.04950000000002</v>
      </c>
      <c r="BV60" s="300">
        <f t="shared" si="174"/>
        <v>54.009899999999483</v>
      </c>
      <c r="BW60" s="300">
        <f t="shared" si="175"/>
        <v>252.0462000000004</v>
      </c>
      <c r="BX60" s="300">
        <f t="shared" si="176"/>
        <v>36.006599999999871</v>
      </c>
      <c r="BY60" s="77"/>
      <c r="CD60" s="12"/>
      <c r="CF60" t="s">
        <v>263</v>
      </c>
      <c r="CG60">
        <v>204</v>
      </c>
      <c r="CH60">
        <v>24</v>
      </c>
      <c r="CI60" s="77">
        <v>236</v>
      </c>
      <c r="CJ60" s="77">
        <v>24</v>
      </c>
      <c r="CK60" s="77">
        <f t="shared" si="177"/>
        <v>-32</v>
      </c>
      <c r="CL60" s="77">
        <f t="shared" si="178"/>
        <v>0</v>
      </c>
      <c r="CM60" t="s">
        <v>1821</v>
      </c>
      <c r="CP60" s="12"/>
      <c r="CV60" s="12"/>
      <c r="DB60" s="12"/>
      <c r="DH60" s="12"/>
    </row>
    <row r="61" spans="1:121">
      <c r="A61" s="14">
        <v>44615</v>
      </c>
      <c r="Q61" s="72">
        <v>33</v>
      </c>
      <c r="R61" s="72">
        <v>33.200000000000003</v>
      </c>
      <c r="S61" s="137">
        <v>34.1</v>
      </c>
      <c r="T61" s="109">
        <v>32</v>
      </c>
      <c r="U61" s="109">
        <v>32.1</v>
      </c>
      <c r="V61" s="109">
        <v>33</v>
      </c>
      <c r="AI61" s="72">
        <f t="shared" si="171"/>
        <v>269.99999999999955</v>
      </c>
      <c r="AJ61" s="72">
        <f t="shared" si="172"/>
        <v>60.000000000000853</v>
      </c>
      <c r="BK61" s="77"/>
      <c r="BL61" s="77"/>
      <c r="BM61" s="296"/>
      <c r="BN61" s="296"/>
      <c r="BO61" s="297"/>
      <c r="BP61" s="297"/>
      <c r="BQ61" s="298"/>
      <c r="BR61" s="298"/>
      <c r="BS61" s="299"/>
      <c r="BT61" s="299"/>
      <c r="BU61" s="300">
        <f t="shared" si="173"/>
        <v>162.02969999999976</v>
      </c>
      <c r="BV61" s="300">
        <f t="shared" si="174"/>
        <v>36.00660000000051</v>
      </c>
      <c r="BW61" s="300">
        <f t="shared" si="175"/>
        <v>162.02969999999976</v>
      </c>
      <c r="BX61" s="300">
        <f t="shared" si="176"/>
        <v>18.003300000000255</v>
      </c>
      <c r="BY61" s="77"/>
      <c r="CD61" s="12"/>
      <c r="CJ61" s="12"/>
      <c r="CP61" s="12"/>
      <c r="CV61" s="12"/>
      <c r="DB61" s="12"/>
      <c r="DH61" s="12"/>
    </row>
    <row r="62" spans="1:121">
      <c r="A62" s="14">
        <v>44617</v>
      </c>
      <c r="P62" s="605"/>
      <c r="Q62" s="72">
        <v>27.7</v>
      </c>
      <c r="R62" s="72">
        <v>27.7</v>
      </c>
      <c r="S62" s="137">
        <v>28.4</v>
      </c>
      <c r="T62" s="109">
        <v>26.7</v>
      </c>
      <c r="U62" s="109">
        <v>26.7</v>
      </c>
      <c r="V62" s="109">
        <v>27.7</v>
      </c>
      <c r="W62" s="249"/>
      <c r="AH62" s="266"/>
      <c r="AI62" s="72">
        <f t="shared" si="171"/>
        <v>209.99999999999977</v>
      </c>
      <c r="AJ62" s="72">
        <f t="shared" si="172"/>
        <v>0</v>
      </c>
      <c r="AK62" s="266"/>
      <c r="BK62" s="77"/>
      <c r="BL62" s="77"/>
      <c r="BM62" s="296"/>
      <c r="BN62" s="296"/>
      <c r="BO62" s="297"/>
      <c r="BP62" s="297"/>
      <c r="BQ62" s="298"/>
      <c r="BR62" s="298"/>
      <c r="BS62" s="299"/>
      <c r="BT62" s="299"/>
      <c r="BU62" s="300">
        <f t="shared" si="173"/>
        <v>126.02309999999987</v>
      </c>
      <c r="BV62" s="300">
        <f t="shared" si="174"/>
        <v>0</v>
      </c>
      <c r="BW62" s="300">
        <f t="shared" si="175"/>
        <v>180.03300000000002</v>
      </c>
      <c r="BX62" s="300">
        <f t="shared" si="176"/>
        <v>0</v>
      </c>
      <c r="BY62" s="77"/>
      <c r="CD62" s="12"/>
      <c r="CE62" t="s">
        <v>1823</v>
      </c>
      <c r="CJ62" s="12"/>
      <c r="CP62" s="12"/>
      <c r="CV62" s="12"/>
      <c r="DB62" s="12"/>
      <c r="DH62" s="12"/>
    </row>
    <row r="63" spans="1:121">
      <c r="A63" s="14">
        <v>44621</v>
      </c>
      <c r="Q63" s="72">
        <v>9.4</v>
      </c>
      <c r="R63" s="72">
        <v>9.5</v>
      </c>
      <c r="S63" s="137">
        <v>12.5</v>
      </c>
      <c r="T63" s="109">
        <v>6.7</v>
      </c>
      <c r="U63" s="109">
        <v>6.9</v>
      </c>
      <c r="V63" s="109">
        <v>9.1999999999999993</v>
      </c>
      <c r="AI63" s="72">
        <f t="shared" si="167"/>
        <v>300</v>
      </c>
      <c r="AJ63" s="72">
        <f t="shared" si="168"/>
        <v>9.9999999999999645</v>
      </c>
      <c r="BK63" s="77"/>
      <c r="BL63" s="77"/>
      <c r="BM63" s="296"/>
      <c r="BN63" s="296"/>
      <c r="BO63" s="297"/>
      <c r="BP63" s="297"/>
      <c r="BQ63" s="298"/>
      <c r="BR63" s="298"/>
      <c r="BS63" s="299"/>
      <c r="BT63" s="299"/>
      <c r="BU63" s="300">
        <f t="shared" si="173"/>
        <v>540.09900000000005</v>
      </c>
      <c r="BV63" s="300">
        <f t="shared" si="174"/>
        <v>18.003299999999935</v>
      </c>
      <c r="BW63" s="300">
        <f t="shared" si="175"/>
        <v>414.07589999999982</v>
      </c>
      <c r="BX63" s="300">
        <f t="shared" si="176"/>
        <v>36.006600000000034</v>
      </c>
      <c r="BY63" s="77"/>
      <c r="CD63" s="12"/>
      <c r="CE63" t="s">
        <v>1824</v>
      </c>
      <c r="CF63" t="s">
        <v>1816</v>
      </c>
      <c r="CH63" t="s">
        <v>1817</v>
      </c>
      <c r="CI63" s="12"/>
      <c r="CJ63" t="s">
        <v>1820</v>
      </c>
      <c r="CP63" s="12"/>
      <c r="CV63" s="12"/>
      <c r="DB63" s="12"/>
      <c r="DH63" s="12"/>
    </row>
    <row r="64" spans="1:121">
      <c r="A64" s="14">
        <v>44636</v>
      </c>
      <c r="Q64" s="72" t="s">
        <v>182</v>
      </c>
      <c r="R64" s="72" t="s">
        <v>182</v>
      </c>
      <c r="S64" s="137" t="s">
        <v>182</v>
      </c>
      <c r="T64" s="109" t="s">
        <v>182</v>
      </c>
      <c r="U64" s="109" t="s">
        <v>182</v>
      </c>
      <c r="V64" s="109" t="s">
        <v>182</v>
      </c>
      <c r="AI64" s="72" t="s">
        <v>182</v>
      </c>
      <c r="AJ64" s="72" t="s">
        <v>182</v>
      </c>
      <c r="BK64" s="77"/>
      <c r="BL64" s="77"/>
      <c r="BM64" s="296"/>
      <c r="BN64" s="296"/>
      <c r="BO64" s="297"/>
      <c r="BP64" s="297"/>
      <c r="BQ64" s="298"/>
      <c r="BR64" s="298"/>
      <c r="BS64" s="299"/>
      <c r="BT64" s="299"/>
      <c r="BU64" s="300" t="s">
        <v>182</v>
      </c>
      <c r="BV64" s="300" t="s">
        <v>182</v>
      </c>
      <c r="BW64" s="300" t="s">
        <v>182</v>
      </c>
      <c r="BX64" s="300" t="s">
        <v>182</v>
      </c>
      <c r="BY64" s="77"/>
      <c r="CD64" s="12"/>
      <c r="CE64" t="s">
        <v>1305</v>
      </c>
      <c r="CF64" t="s">
        <v>1814</v>
      </c>
      <c r="CG64" t="s">
        <v>1815</v>
      </c>
      <c r="CH64" t="s">
        <v>1814</v>
      </c>
      <c r="CI64" t="s">
        <v>1815</v>
      </c>
      <c r="CJ64" t="s">
        <v>1818</v>
      </c>
      <c r="CK64" t="s">
        <v>1819</v>
      </c>
      <c r="CP64" s="12"/>
      <c r="CV64" s="12"/>
      <c r="DB64" s="12"/>
      <c r="DH64" s="12"/>
    </row>
    <row r="65" spans="1:112">
      <c r="A65" s="14">
        <v>44638</v>
      </c>
      <c r="P65" s="605"/>
      <c r="Q65" s="72">
        <v>12.6</v>
      </c>
      <c r="R65" s="72">
        <v>12.8</v>
      </c>
      <c r="S65" s="137">
        <v>13.9</v>
      </c>
      <c r="T65" s="109">
        <v>11.9</v>
      </c>
      <c r="U65" s="109">
        <v>12.6</v>
      </c>
      <c r="V65" s="109">
        <v>12.6</v>
      </c>
      <c r="W65" s="249"/>
      <c r="AH65" s="266"/>
      <c r="AI65" s="72">
        <f>((((S65-R65)*0.06)/20)*1000)*100</f>
        <v>329.99999999999983</v>
      </c>
      <c r="AJ65" s="72">
        <f>((((R65-Q65)*0.06)/20)*1000)*100</f>
        <v>60.000000000000306</v>
      </c>
      <c r="AK65" s="266"/>
      <c r="BK65" s="77"/>
      <c r="BL65" s="77"/>
      <c r="BM65" s="77"/>
      <c r="BN65" s="77"/>
      <c r="BO65" s="77"/>
      <c r="BP65" s="77"/>
      <c r="BQ65" s="77"/>
      <c r="BR65" s="77"/>
      <c r="BS65" s="77"/>
      <c r="BT65" s="77"/>
      <c r="BU65" s="300">
        <f>(((($S65-$R65)*0.06)/20)*1000)*60.011</f>
        <v>198.03629999999993</v>
      </c>
      <c r="BV65" s="300">
        <f>(((($R65-$Q65)*0.06)/20)*1000)*60.011</f>
        <v>36.006600000000184</v>
      </c>
      <c r="BW65" s="300" t="s">
        <v>182</v>
      </c>
      <c r="BX65" s="300">
        <f>(((($U65-$T65)*0.06)/20)*1000)*60.011</f>
        <v>126.02309999999987</v>
      </c>
      <c r="BY65" s="77"/>
      <c r="CD65" s="12"/>
      <c r="CE65" t="s">
        <v>184</v>
      </c>
      <c r="CF65" s="77">
        <f>AVERAGE(CL3:CL17)</f>
        <v>230.78333333333336</v>
      </c>
      <c r="CG65" s="77">
        <f>AVERAGE(CM3:CM17)</f>
        <v>29.999999999999979</v>
      </c>
      <c r="CH65" s="77">
        <f>AVERAGE(CF3:CF17)</f>
        <v>232.01785714285714</v>
      </c>
      <c r="CI65" s="77">
        <f>AVERAGE(CG3:CG17)</f>
        <v>19.499999999999989</v>
      </c>
      <c r="CJ65" s="77">
        <f>CF65-CH65</f>
        <v>-1.2345238095237789</v>
      </c>
      <c r="CK65" s="77">
        <f>CG65-CI65</f>
        <v>10.499999999999989</v>
      </c>
      <c r="CP65" s="12"/>
      <c r="CV65" s="12"/>
      <c r="DB65" s="12"/>
      <c r="DH65" s="12"/>
    </row>
    <row r="66" spans="1:112">
      <c r="CD66" s="12"/>
      <c r="CE66" t="s">
        <v>168</v>
      </c>
      <c r="CF66" s="77">
        <f>AVERAGE(CR3:CR17)</f>
        <v>235.86666666666676</v>
      </c>
      <c r="CG66" s="77">
        <f>AVERAGE(CS3:CS17)</f>
        <v>23.599999999999962</v>
      </c>
      <c r="CH66" s="77">
        <v>232.01785714285714</v>
      </c>
      <c r="CI66" s="77">
        <v>19.499999999999989</v>
      </c>
      <c r="CJ66" s="77">
        <f t="shared" ref="CJ66:CJ69" si="179">CF66-CH66</f>
        <v>3.8488095238096207</v>
      </c>
      <c r="CK66" s="77">
        <f t="shared" ref="CK66:CK69" si="180">CG66-CI66</f>
        <v>4.099999999999973</v>
      </c>
      <c r="CP66" s="12"/>
      <c r="CV66" s="12"/>
      <c r="DB66" s="12"/>
      <c r="DH66" s="12"/>
    </row>
    <row r="67" spans="1:112">
      <c r="BT67" t="s">
        <v>1443</v>
      </c>
      <c r="BU67" s="77">
        <f>AVERAGE(BU34:BU65)</f>
        <v>235.0430833333333</v>
      </c>
      <c r="BW67" s="77">
        <f>AVERAGE(BW48:BW65)</f>
        <v>220.91549375</v>
      </c>
      <c r="CD67" s="12"/>
      <c r="CE67" t="s">
        <v>169</v>
      </c>
      <c r="CF67" s="77">
        <f>AVERAGE(CX3:CX17)</f>
        <v>238.10333333333332</v>
      </c>
      <c r="CG67" s="77">
        <f>AVERAGE(CY3:CY17)</f>
        <v>22.800000000000008</v>
      </c>
      <c r="CH67" s="77">
        <v>232.01785714285714</v>
      </c>
      <c r="CI67" s="77">
        <v>19.499999999999989</v>
      </c>
      <c r="CJ67" s="77">
        <f t="shared" si="179"/>
        <v>6.0854761904761858</v>
      </c>
      <c r="CK67" s="77">
        <f t="shared" si="180"/>
        <v>3.3000000000000185</v>
      </c>
      <c r="CP67" s="12"/>
      <c r="CV67" s="12"/>
      <c r="DB67" s="12"/>
      <c r="DH67" s="12"/>
    </row>
    <row r="68" spans="1:112">
      <c r="CD68" s="12"/>
      <c r="CE68" t="s">
        <v>170</v>
      </c>
      <c r="CF68" s="77">
        <f>AVERAGE(DD3:DD17)</f>
        <v>234.85000000000005</v>
      </c>
      <c r="CG68" s="77">
        <f>AVERAGE(DE3:DE17)</f>
        <v>25.399999999999952</v>
      </c>
      <c r="CH68" s="77">
        <v>232.01785714285714</v>
      </c>
      <c r="CI68" s="77">
        <v>19.499999999999989</v>
      </c>
      <c r="CJ68" s="77">
        <f t="shared" si="179"/>
        <v>2.8321428571429124</v>
      </c>
      <c r="CK68" s="77">
        <f t="shared" si="180"/>
        <v>5.8999999999999631</v>
      </c>
      <c r="CP68" s="12"/>
      <c r="CV68" s="12"/>
      <c r="DB68" s="12"/>
      <c r="DH68" s="12"/>
    </row>
    <row r="69" spans="1:112">
      <c r="CD69" s="12"/>
      <c r="CE69" t="s">
        <v>263</v>
      </c>
      <c r="CF69" s="77">
        <v>204</v>
      </c>
      <c r="CG69" s="77">
        <v>24</v>
      </c>
      <c r="CH69" s="77">
        <v>215</v>
      </c>
      <c r="CI69" s="77">
        <v>26</v>
      </c>
      <c r="CJ69" s="77">
        <f t="shared" si="179"/>
        <v>-11</v>
      </c>
      <c r="CK69" s="77">
        <f t="shared" si="180"/>
        <v>-2</v>
      </c>
      <c r="CP69" s="12"/>
      <c r="CV69" s="12"/>
      <c r="DB69" s="12"/>
      <c r="DH69" s="12"/>
    </row>
    <row r="70" spans="1:112">
      <c r="BQ70" s="77"/>
      <c r="BR70" t="s">
        <v>1803</v>
      </c>
      <c r="CD70" s="12"/>
      <c r="CJ70" s="12"/>
      <c r="CP70" s="12"/>
      <c r="CV70" s="12"/>
      <c r="DB70" s="12"/>
      <c r="DH70" s="12"/>
    </row>
    <row r="71" spans="1:112">
      <c r="BQ71" s="77"/>
      <c r="BR71" s="688" t="s">
        <v>1806</v>
      </c>
      <c r="BS71" s="688"/>
      <c r="BT71" s="688" t="s">
        <v>1807</v>
      </c>
      <c r="BU71" s="688"/>
      <c r="BV71" t="s">
        <v>1809</v>
      </c>
      <c r="CD71" s="12"/>
      <c r="CJ71" s="12"/>
      <c r="CP71" s="12"/>
      <c r="CV71" s="12"/>
      <c r="DB71" s="12"/>
      <c r="DH71" s="12"/>
    </row>
    <row r="72" spans="1:112">
      <c r="BQ72" s="77" t="s">
        <v>1305</v>
      </c>
      <c r="BR72" t="s">
        <v>1804</v>
      </c>
      <c r="BS72" t="s">
        <v>1805</v>
      </c>
      <c r="BT72" t="s">
        <v>1804</v>
      </c>
      <c r="BU72" t="s">
        <v>1805</v>
      </c>
      <c r="BV72" s="77" t="s">
        <v>1812</v>
      </c>
      <c r="BW72" t="s">
        <v>1813</v>
      </c>
      <c r="CD72" s="12"/>
      <c r="CE72" t="s">
        <v>1825</v>
      </c>
      <c r="CF72" t="s">
        <v>1816</v>
      </c>
      <c r="CH72" t="s">
        <v>1817</v>
      </c>
      <c r="CI72" s="12"/>
      <c r="CJ72" t="s">
        <v>1820</v>
      </c>
      <c r="CP72" s="12"/>
      <c r="CV72" s="12"/>
      <c r="DB72" s="12"/>
      <c r="DH72" s="12"/>
    </row>
    <row r="73" spans="1:112">
      <c r="BQ73" s="77" t="s">
        <v>1808</v>
      </c>
      <c r="BR73" s="77">
        <v>272.21268720930232</v>
      </c>
      <c r="BS73" s="77">
        <v>28.47033488372092</v>
      </c>
      <c r="BT73" s="77">
        <v>250.76024999999996</v>
      </c>
      <c r="BU73" s="77">
        <v>18.646274999999999</v>
      </c>
      <c r="BV73" s="77">
        <f t="shared" ref="BV73:BV84" si="181">BR73-BT73</f>
        <v>21.45243720930236</v>
      </c>
      <c r="BW73" s="77">
        <f t="shared" ref="BW73:BW84" si="182">BS73-BU73</f>
        <v>9.8240598837209205</v>
      </c>
      <c r="CD73" s="12"/>
      <c r="CE73" t="s">
        <v>1305</v>
      </c>
      <c r="CF73" t="s">
        <v>1814</v>
      </c>
      <c r="CG73" t="s">
        <v>1815</v>
      </c>
      <c r="CH73" t="s">
        <v>1814</v>
      </c>
      <c r="CI73" t="s">
        <v>1815</v>
      </c>
      <c r="CJ73" t="s">
        <v>1818</v>
      </c>
      <c r="CK73" t="s">
        <v>1819</v>
      </c>
      <c r="CP73" s="12"/>
      <c r="CV73" s="12"/>
      <c r="DB73" s="12"/>
      <c r="DH73" s="12"/>
    </row>
    <row r="74" spans="1:112">
      <c r="BQ74" s="77" t="s">
        <v>168</v>
      </c>
      <c r="BR74" s="77">
        <v>275.63191860465116</v>
      </c>
      <c r="BS74" s="77">
        <v>22.748355813953467</v>
      </c>
      <c r="BT74" s="77">
        <v>250.76024999999996</v>
      </c>
      <c r="BU74" s="77">
        <v>18.646274999999999</v>
      </c>
      <c r="BV74" s="77">
        <f t="shared" si="181"/>
        <v>24.871668604651205</v>
      </c>
      <c r="BW74" s="77">
        <f t="shared" si="182"/>
        <v>4.1020808139534672</v>
      </c>
      <c r="CD74" s="12"/>
      <c r="CE74" t="s">
        <v>184</v>
      </c>
      <c r="CF74" s="77">
        <f>AVERAGE(CL18:CL32)</f>
        <v>235.05333333333328</v>
      </c>
      <c r="CG74" s="77">
        <f>AVERAGE(CM18:CM32)</f>
        <v>20.000000000000011</v>
      </c>
      <c r="CH74" s="77">
        <f>AVERAGE(CF18:CF32)</f>
        <v>248.47333333333324</v>
      </c>
      <c r="CI74" s="77">
        <f>AVERAGE(CG18:CG32)</f>
        <v>10.800000000000011</v>
      </c>
      <c r="CJ74" s="77">
        <f t="shared" ref="CJ74:CJ77" si="183">CF74-CH74</f>
        <v>-13.419999999999959</v>
      </c>
      <c r="CK74" s="77">
        <f t="shared" ref="CK74:CK77" si="184">CG74-CI74</f>
        <v>9.1999999999999993</v>
      </c>
      <c r="CP74" s="12"/>
      <c r="CV74" s="12"/>
      <c r="DB74" s="12"/>
      <c r="DH74" s="12"/>
    </row>
    <row r="75" spans="1:112">
      <c r="BQ75" s="77" t="s">
        <v>169</v>
      </c>
      <c r="BR75" s="77">
        <v>261.4665313953488</v>
      </c>
      <c r="BS75" s="77">
        <v>21.146733333333326</v>
      </c>
      <c r="BT75" s="77">
        <v>250.76024999999996</v>
      </c>
      <c r="BU75" s="77">
        <v>18.646274999999999</v>
      </c>
      <c r="BV75" s="77">
        <f t="shared" si="181"/>
        <v>10.706281395348839</v>
      </c>
      <c r="BW75" s="77">
        <f t="shared" si="182"/>
        <v>2.5004583333333272</v>
      </c>
      <c r="CD75" s="12"/>
      <c r="CE75" t="s">
        <v>168</v>
      </c>
      <c r="CF75" s="77">
        <f>AVERAGE(CR18:CR32)</f>
        <v>246.03333333333339</v>
      </c>
      <c r="CG75" s="77">
        <f>AVERAGE(CS18:CS32)</f>
        <v>14.799999999999995</v>
      </c>
      <c r="CH75" s="77">
        <v>248.47333333333324</v>
      </c>
      <c r="CI75" s="77">
        <v>10.800000000000011</v>
      </c>
      <c r="CJ75" s="77">
        <f t="shared" si="183"/>
        <v>-2.4399999999998556</v>
      </c>
      <c r="CK75" s="77">
        <f t="shared" si="184"/>
        <v>3.999999999999984</v>
      </c>
      <c r="CP75" s="12"/>
      <c r="CV75" s="12"/>
      <c r="DB75" s="12"/>
      <c r="DH75" s="12"/>
    </row>
    <row r="76" spans="1:112">
      <c r="BQ76" s="77" t="s">
        <v>170</v>
      </c>
      <c r="BR76" s="77">
        <v>262.93191627906981</v>
      </c>
      <c r="BS76" s="77">
        <v>24.353301162790679</v>
      </c>
      <c r="BT76" s="77">
        <v>250.76024999999996</v>
      </c>
      <c r="BU76" s="77">
        <v>18.646274999999999</v>
      </c>
      <c r="BV76" s="77">
        <f t="shared" si="181"/>
        <v>12.171666279069854</v>
      </c>
      <c r="BW76" s="77">
        <f t="shared" si="182"/>
        <v>5.7070261627906795</v>
      </c>
      <c r="CD76" s="12"/>
      <c r="CE76" t="s">
        <v>169</v>
      </c>
      <c r="CF76" s="77">
        <f>AVERAGE(CX18:CX32)</f>
        <v>241.96666666666658</v>
      </c>
      <c r="CG76" s="77">
        <f>AVERAGE(CY18:CY32)</f>
        <v>13.599999999999994</v>
      </c>
      <c r="CH76" s="77">
        <v>248.47333333333324</v>
      </c>
      <c r="CI76" s="77">
        <v>10.800000000000011</v>
      </c>
      <c r="CJ76" s="77">
        <f t="shared" si="183"/>
        <v>-6.5066666666666606</v>
      </c>
      <c r="CK76" s="77">
        <f t="shared" si="184"/>
        <v>2.7999999999999829</v>
      </c>
      <c r="CP76" s="12"/>
      <c r="CV76" s="12"/>
      <c r="DB76" s="12"/>
      <c r="DH76" s="12"/>
    </row>
    <row r="77" spans="1:112">
      <c r="BQ77" s="77" t="s">
        <v>263</v>
      </c>
      <c r="BR77" s="77">
        <v>235.0430833333333</v>
      </c>
      <c r="BS77" s="77">
        <v>24.404473333333325</v>
      </c>
      <c r="BT77" s="77">
        <v>220.91549375</v>
      </c>
      <c r="BU77" s="77">
        <v>32.123535294117595</v>
      </c>
      <c r="BV77" s="77">
        <f t="shared" si="181"/>
        <v>14.127589583333304</v>
      </c>
      <c r="BW77" s="77">
        <f t="shared" si="182"/>
        <v>-7.7190619607842699</v>
      </c>
      <c r="CD77" s="12"/>
      <c r="CE77" t="s">
        <v>170</v>
      </c>
      <c r="CF77" s="77">
        <f>AVERAGE(DD18:DD32)</f>
        <v>227.32666666666665</v>
      </c>
      <c r="CG77" s="77">
        <f>AVERAGE(DE18:DE32)</f>
        <v>18.800000000000011</v>
      </c>
      <c r="CH77" s="77">
        <v>248.47333333333324</v>
      </c>
      <c r="CI77" s="77">
        <v>10.800000000000011</v>
      </c>
      <c r="CJ77" s="77">
        <f t="shared" si="183"/>
        <v>-21.14666666666659</v>
      </c>
      <c r="CK77" s="77">
        <f t="shared" si="184"/>
        <v>8</v>
      </c>
      <c r="CP77" s="12"/>
      <c r="CV77" s="12"/>
      <c r="DB77" s="12"/>
      <c r="DH77" s="12"/>
    </row>
    <row r="78" spans="1:112">
      <c r="BQ78" s="77" t="s">
        <v>1810</v>
      </c>
      <c r="BR78" s="77">
        <v>308</v>
      </c>
      <c r="BS78" s="77">
        <v>18</v>
      </c>
      <c r="BT78" s="77">
        <v>288</v>
      </c>
      <c r="BU78">
        <v>20</v>
      </c>
      <c r="BV78" s="77">
        <f t="shared" si="181"/>
        <v>20</v>
      </c>
      <c r="BW78" s="77">
        <f t="shared" si="182"/>
        <v>-2</v>
      </c>
      <c r="CD78" s="12"/>
      <c r="CJ78" s="12"/>
      <c r="CP78" s="12"/>
      <c r="CV78" s="12"/>
      <c r="DB78" s="12"/>
      <c r="DH78" s="12"/>
    </row>
    <row r="79" spans="1:112">
      <c r="BQ79" s="77" t="s">
        <v>1410</v>
      </c>
      <c r="BR79" s="77">
        <v>289</v>
      </c>
      <c r="BS79" s="77">
        <v>14</v>
      </c>
      <c r="BT79" s="77">
        <v>288</v>
      </c>
      <c r="BU79">
        <v>20</v>
      </c>
      <c r="BV79" s="77">
        <f t="shared" si="181"/>
        <v>1</v>
      </c>
      <c r="BW79" s="77">
        <f t="shared" si="182"/>
        <v>-6</v>
      </c>
      <c r="CD79" s="12"/>
      <c r="CE79" t="s">
        <v>1826</v>
      </c>
      <c r="CF79" t="s">
        <v>1816</v>
      </c>
      <c r="CH79" t="s">
        <v>1817</v>
      </c>
      <c r="CI79" s="12"/>
      <c r="CJ79" t="s">
        <v>1820</v>
      </c>
      <c r="CP79" s="12"/>
      <c r="CV79" s="12"/>
      <c r="DB79" s="12"/>
      <c r="DH79" s="12"/>
    </row>
    <row r="80" spans="1:112">
      <c r="BQ80" s="77" t="s">
        <v>1411</v>
      </c>
      <c r="BR80" s="77">
        <v>301</v>
      </c>
      <c r="BS80" s="77">
        <v>22</v>
      </c>
      <c r="BT80" s="77">
        <v>288</v>
      </c>
      <c r="BU80">
        <v>20</v>
      </c>
      <c r="BV80" s="77">
        <f t="shared" si="181"/>
        <v>13</v>
      </c>
      <c r="BW80" s="77">
        <f t="shared" si="182"/>
        <v>2</v>
      </c>
      <c r="CD80" s="12"/>
      <c r="CE80" t="s">
        <v>1305</v>
      </c>
      <c r="CF80" t="s">
        <v>1814</v>
      </c>
      <c r="CG80" t="s">
        <v>1815</v>
      </c>
      <c r="CH80" t="s">
        <v>1814</v>
      </c>
      <c r="CI80" t="s">
        <v>1815</v>
      </c>
      <c r="CJ80" t="s">
        <v>1818</v>
      </c>
      <c r="CK80" t="s">
        <v>1819</v>
      </c>
      <c r="CP80" s="12"/>
      <c r="CV80" s="12"/>
      <c r="DB80" s="12"/>
      <c r="DH80" s="12"/>
    </row>
    <row r="81" spans="69:112">
      <c r="BQ81" s="77" t="s">
        <v>1811</v>
      </c>
      <c r="BR81" s="77">
        <v>265</v>
      </c>
      <c r="BS81" s="77">
        <v>52</v>
      </c>
      <c r="BT81">
        <v>277</v>
      </c>
      <c r="BU81" s="77">
        <v>54</v>
      </c>
      <c r="BV81" s="77">
        <f t="shared" si="181"/>
        <v>-12</v>
      </c>
      <c r="BW81" s="77">
        <f t="shared" si="182"/>
        <v>-2</v>
      </c>
      <c r="CD81" s="12"/>
      <c r="CE81" t="s">
        <v>184</v>
      </c>
      <c r="CF81" s="77">
        <f>AVERAGE(CL34:CL47)</f>
        <v>282.00769230769231</v>
      </c>
      <c r="CG81" s="77">
        <f>AVERAGE(CM34:CM47)</f>
        <v>36.461538461538453</v>
      </c>
      <c r="CH81" s="77">
        <f>AVERAGE(CF34:CF47)</f>
        <v>225.7</v>
      </c>
      <c r="CI81" s="77">
        <f>AVERAGE(CG34:CG47)</f>
        <v>26.769230769230759</v>
      </c>
      <c r="CJ81" s="77">
        <f t="shared" ref="CJ81:CJ84" si="185">CF81-CH81</f>
        <v>56.307692307692321</v>
      </c>
      <c r="CK81" s="77">
        <f t="shared" ref="CK81:CK84" si="186">CG81-CI81</f>
        <v>9.6923076923076934</v>
      </c>
      <c r="CP81" s="12"/>
      <c r="CV81" s="12"/>
      <c r="DB81" s="12"/>
      <c r="DH81" s="12"/>
    </row>
    <row r="82" spans="69:112">
      <c r="BQ82" s="77" t="s">
        <v>1593</v>
      </c>
      <c r="BR82" s="77">
        <v>306</v>
      </c>
      <c r="BS82" s="77">
        <v>29</v>
      </c>
      <c r="BT82" s="77">
        <v>300</v>
      </c>
      <c r="BU82">
        <v>44</v>
      </c>
      <c r="BV82" s="77">
        <f t="shared" si="181"/>
        <v>6</v>
      </c>
      <c r="BW82" s="77">
        <f t="shared" si="182"/>
        <v>-15</v>
      </c>
      <c r="CD82" s="12"/>
      <c r="CE82" t="s">
        <v>168</v>
      </c>
      <c r="CF82" s="77">
        <f>AVERAGE(CR34:CR47)</f>
        <v>294.2076923076923</v>
      </c>
      <c r="CG82" s="77">
        <f>AVERAGE(CS34:CS47)</f>
        <v>30.923076923076913</v>
      </c>
      <c r="CH82" s="77">
        <v>225.7</v>
      </c>
      <c r="CI82" s="77">
        <v>26.769230769230759</v>
      </c>
      <c r="CJ82" s="77">
        <f t="shared" si="185"/>
        <v>68.507692307692309</v>
      </c>
      <c r="CK82" s="77">
        <f t="shared" si="186"/>
        <v>4.1538461538461533</v>
      </c>
      <c r="CL82" t="s">
        <v>1876</v>
      </c>
      <c r="CP82" s="12"/>
      <c r="CV82" s="12"/>
      <c r="DB82" s="12"/>
      <c r="DH82" s="12"/>
    </row>
    <row r="83" spans="69:112">
      <c r="BQ83" s="77" t="s">
        <v>1594</v>
      </c>
      <c r="BR83" s="77">
        <v>312</v>
      </c>
      <c r="BS83" s="77">
        <v>25</v>
      </c>
      <c r="BT83" s="77">
        <v>300</v>
      </c>
      <c r="BU83">
        <v>44</v>
      </c>
      <c r="BV83" s="77">
        <f t="shared" si="181"/>
        <v>12</v>
      </c>
      <c r="BW83" s="77">
        <f t="shared" si="182"/>
        <v>-19</v>
      </c>
      <c r="CD83" s="12"/>
      <c r="CE83" t="s">
        <v>169</v>
      </c>
      <c r="CF83" s="77">
        <f>AVERAGE(CX34:CX47)</f>
        <v>254.32307692307697</v>
      </c>
      <c r="CG83" s="77">
        <f>AVERAGE(CY34:CY47)</f>
        <v>27.692307692307665</v>
      </c>
      <c r="CH83" s="77">
        <v>225.7</v>
      </c>
      <c r="CI83" s="77">
        <v>26.769230769230759</v>
      </c>
      <c r="CJ83" s="77">
        <f t="shared" si="185"/>
        <v>28.623076923076979</v>
      </c>
      <c r="CK83" s="77">
        <f t="shared" si="186"/>
        <v>0.92307692307690559</v>
      </c>
      <c r="CP83" s="12"/>
      <c r="CV83" s="12"/>
      <c r="DB83" s="12"/>
      <c r="DH83" s="12"/>
    </row>
    <row r="84" spans="69:112">
      <c r="BQ84" s="77" t="s">
        <v>1595</v>
      </c>
      <c r="BR84" s="77">
        <v>294</v>
      </c>
      <c r="BS84" s="77">
        <v>25</v>
      </c>
      <c r="BT84" s="77">
        <v>300</v>
      </c>
      <c r="BU84">
        <v>44</v>
      </c>
      <c r="BV84" s="77">
        <f t="shared" si="181"/>
        <v>-6</v>
      </c>
      <c r="BW84" s="77">
        <f t="shared" si="182"/>
        <v>-19</v>
      </c>
      <c r="CD84" s="12"/>
      <c r="CE84" t="s">
        <v>170</v>
      </c>
      <c r="CF84" s="77">
        <f>AVERAGE(DD34:DD47)</f>
        <v>268.86923076923074</v>
      </c>
      <c r="CG84" s="77">
        <f>AVERAGE(DE34:DE47)</f>
        <v>29.538461538461547</v>
      </c>
      <c r="CH84" s="77">
        <v>225.7</v>
      </c>
      <c r="CI84" s="77">
        <v>26.769230769230759</v>
      </c>
      <c r="CJ84" s="77">
        <f t="shared" si="185"/>
        <v>43.169230769230751</v>
      </c>
      <c r="CK84" s="77">
        <f t="shared" si="186"/>
        <v>2.7692307692307878</v>
      </c>
      <c r="CP84" s="12"/>
      <c r="CV84" s="12"/>
      <c r="DB84" s="12"/>
      <c r="DH84" s="12"/>
    </row>
    <row r="85" spans="69:112">
      <c r="CD85" s="12"/>
      <c r="CJ85" s="12"/>
      <c r="CP85" s="12"/>
      <c r="CV85" s="12"/>
      <c r="DB85" s="12"/>
      <c r="DH85" s="12"/>
    </row>
    <row r="86" spans="69:112">
      <c r="CD86" s="12"/>
      <c r="CJ86" s="12"/>
      <c r="CP86" s="12"/>
      <c r="CV86" s="12"/>
      <c r="DB86" s="12"/>
      <c r="DH86" s="12"/>
    </row>
    <row r="87" spans="69:112">
      <c r="CD87" s="12"/>
      <c r="CJ87" s="12"/>
      <c r="CP87" s="12"/>
      <c r="CV87" s="12"/>
      <c r="DB87" s="12"/>
      <c r="DH87" s="12"/>
    </row>
    <row r="88" spans="69:112">
      <c r="CD88" s="12"/>
      <c r="CJ88" s="12"/>
      <c r="CP88" s="12"/>
      <c r="CV88" s="12"/>
      <c r="DB88" s="12"/>
      <c r="DH88" s="12"/>
    </row>
    <row r="89" spans="69:112">
      <c r="CD89" s="12"/>
      <c r="CJ89" s="12"/>
      <c r="CP89" s="12"/>
      <c r="CV89" s="12"/>
      <c r="DB89" s="12"/>
      <c r="DH89" s="12"/>
    </row>
    <row r="90" spans="69:112">
      <c r="CD90" s="12"/>
      <c r="CJ90" s="12"/>
      <c r="CP90" s="12"/>
      <c r="CV90" s="12"/>
      <c r="DB90" s="12"/>
      <c r="DH90" s="12"/>
    </row>
    <row r="91" spans="69:112">
      <c r="CD91" s="12"/>
      <c r="CJ91" s="12"/>
      <c r="CP91" s="12"/>
      <c r="CV91" s="12"/>
      <c r="DB91" s="12"/>
      <c r="DH91" s="12"/>
    </row>
    <row r="92" spans="69:112">
      <c r="CD92" s="12"/>
      <c r="CJ92" s="12"/>
      <c r="CP92" s="12"/>
      <c r="CV92" s="12"/>
      <c r="DB92" s="12"/>
      <c r="DH92" s="12"/>
    </row>
    <row r="93" spans="69:112">
      <c r="CD93" s="12"/>
      <c r="CJ93" s="12"/>
      <c r="CP93" s="12"/>
      <c r="CV93" s="12"/>
      <c r="DB93" s="12"/>
      <c r="DH93" s="12"/>
    </row>
    <row r="94" spans="69:112">
      <c r="CD94" s="12"/>
      <c r="CJ94" s="12"/>
      <c r="CP94" s="12"/>
      <c r="CV94" s="12"/>
      <c r="DB94" s="12"/>
      <c r="DH94" s="12"/>
    </row>
    <row r="95" spans="69:112">
      <c r="CD95" s="12"/>
      <c r="CJ95" s="12"/>
      <c r="CP95" s="12"/>
      <c r="CV95" s="12"/>
      <c r="DB95" s="12"/>
      <c r="DH95" s="12"/>
    </row>
    <row r="96" spans="69:112">
      <c r="CD96" s="12"/>
      <c r="CJ96" s="12"/>
      <c r="CP96" s="12"/>
      <c r="CV96" s="12"/>
      <c r="DB96" s="12"/>
      <c r="DH96" s="12"/>
    </row>
    <row r="97" spans="82:112">
      <c r="CD97" s="12"/>
      <c r="CJ97" s="12"/>
      <c r="CP97" s="12"/>
      <c r="CV97" s="12"/>
      <c r="DB97" s="12"/>
      <c r="DH97" s="12"/>
    </row>
    <row r="98" spans="82:112">
      <c r="CD98" s="12"/>
      <c r="CJ98" s="12"/>
      <c r="CP98" s="12"/>
      <c r="CV98" s="12"/>
      <c r="DB98" s="12"/>
      <c r="DH98" s="12"/>
    </row>
    <row r="99" spans="82:112">
      <c r="CD99" s="12"/>
      <c r="CJ99" s="12"/>
      <c r="CP99" s="12"/>
      <c r="CV99" s="12"/>
      <c r="DB99" s="12"/>
      <c r="DH99" s="12"/>
    </row>
    <row r="100" spans="82:112">
      <c r="CD100" s="12"/>
      <c r="CJ100" s="12"/>
      <c r="CP100" s="12"/>
      <c r="CV100" s="12"/>
      <c r="DB100" s="12"/>
      <c r="DH100" s="12"/>
    </row>
    <row r="101" spans="82:112">
      <c r="CD101" s="12"/>
      <c r="CJ101" s="12"/>
      <c r="CP101" s="12"/>
      <c r="CV101" s="12"/>
      <c r="DB101" s="12"/>
      <c r="DH101" s="12"/>
    </row>
    <row r="102" spans="82:112">
      <c r="CD102" s="12"/>
      <c r="CJ102" s="12"/>
      <c r="CP102" s="12"/>
      <c r="CV102" s="12"/>
      <c r="DB102" s="12"/>
      <c r="DH102" s="12"/>
    </row>
    <row r="103" spans="82:112">
      <c r="CD103" s="12"/>
      <c r="CJ103" s="12"/>
      <c r="CP103" s="12"/>
      <c r="CV103" s="12"/>
      <c r="DB103" s="12"/>
      <c r="DH103" s="12"/>
    </row>
    <row r="104" spans="82:112">
      <c r="CD104" s="12"/>
      <c r="CJ104" s="12"/>
      <c r="CP104" s="12"/>
      <c r="CV104" s="12"/>
      <c r="DB104" s="12"/>
      <c r="DH104" s="12"/>
    </row>
    <row r="105" spans="82:112">
      <c r="CD105" s="12"/>
      <c r="CJ105" s="12"/>
      <c r="CP105" s="12"/>
      <c r="CV105" s="12"/>
      <c r="DB105" s="12"/>
      <c r="DH105" s="12"/>
    </row>
    <row r="106" spans="82:112">
      <c r="CD106" s="12"/>
      <c r="CJ106" s="12"/>
      <c r="CP106" s="12"/>
      <c r="CV106" s="12"/>
      <c r="DB106" s="12"/>
      <c r="DH106" s="12"/>
    </row>
    <row r="107" spans="82:112">
      <c r="CD107" s="12"/>
      <c r="CJ107" s="12"/>
      <c r="CP107" s="12"/>
      <c r="CV107" s="12"/>
      <c r="DB107" s="12"/>
      <c r="DH107" s="12"/>
    </row>
    <row r="108" spans="82:112">
      <c r="CD108" s="12"/>
      <c r="CJ108" s="12"/>
      <c r="CP108" s="12"/>
      <c r="CV108" s="12"/>
      <c r="DB108" s="12"/>
      <c r="DH108" s="12"/>
    </row>
    <row r="109" spans="82:112">
      <c r="CD109" s="12"/>
      <c r="CJ109" s="12"/>
      <c r="CP109" s="12"/>
      <c r="CV109" s="12"/>
      <c r="DB109" s="12"/>
      <c r="DH109" s="12"/>
    </row>
    <row r="110" spans="82:112">
      <c r="CD110" s="12"/>
      <c r="CJ110" s="12"/>
      <c r="CP110" s="12"/>
      <c r="CV110" s="12"/>
      <c r="DB110" s="12"/>
      <c r="DH110" s="12"/>
    </row>
    <row r="111" spans="82:112">
      <c r="CD111" s="12"/>
      <c r="CJ111" s="12"/>
      <c r="CP111" s="12"/>
      <c r="CV111" s="12"/>
      <c r="DB111" s="12"/>
      <c r="DH111" s="12"/>
    </row>
    <row r="112" spans="82:112">
      <c r="CD112" s="12"/>
      <c r="CJ112" s="12"/>
      <c r="CP112" s="12"/>
      <c r="CV112" s="12"/>
      <c r="DB112" s="12"/>
      <c r="DH112" s="12"/>
    </row>
    <row r="113" spans="82:112">
      <c r="CD113" s="12"/>
      <c r="CJ113" s="12"/>
      <c r="CP113" s="12"/>
      <c r="CV113" s="12"/>
      <c r="DB113" s="12"/>
      <c r="DH113" s="12"/>
    </row>
    <row r="114" spans="82:112">
      <c r="CD114" s="12"/>
      <c r="CJ114" s="12"/>
      <c r="CP114" s="12"/>
      <c r="CV114" s="12"/>
      <c r="DB114" s="12"/>
      <c r="DH114" s="12"/>
    </row>
    <row r="115" spans="82:112">
      <c r="CD115" s="12"/>
      <c r="CJ115" s="12"/>
      <c r="CP115" s="12"/>
      <c r="CV115" s="12"/>
      <c r="DB115" s="12"/>
      <c r="DH115" s="12"/>
    </row>
    <row r="116" spans="82:112">
      <c r="CD116" s="12"/>
      <c r="CJ116" s="12"/>
      <c r="CP116" s="12"/>
      <c r="CV116" s="12"/>
      <c r="DB116" s="12"/>
      <c r="DH116" s="12"/>
    </row>
    <row r="117" spans="82:112">
      <c r="CD117" s="12"/>
      <c r="CJ117" s="12"/>
      <c r="CP117" s="12"/>
      <c r="CV117" s="12"/>
      <c r="DB117" s="12"/>
      <c r="DH117" s="12"/>
    </row>
    <row r="118" spans="82:112">
      <c r="CD118" s="12"/>
      <c r="CJ118" s="12"/>
      <c r="CP118" s="12"/>
      <c r="CV118" s="12"/>
      <c r="DB118" s="12"/>
      <c r="DH118" s="12"/>
    </row>
    <row r="119" spans="82:112">
      <c r="CD119" s="12"/>
      <c r="CJ119" s="12"/>
      <c r="CP119" s="12"/>
      <c r="CV119" s="12"/>
      <c r="DB119" s="12"/>
      <c r="DH119" s="12"/>
    </row>
    <row r="120" spans="82:112">
      <c r="CD120" s="12"/>
      <c r="CJ120" s="12"/>
      <c r="CP120" s="12"/>
      <c r="CV120" s="12"/>
      <c r="DB120" s="12"/>
      <c r="DH120" s="12"/>
    </row>
    <row r="121" spans="82:112">
      <c r="CD121" s="12"/>
      <c r="CJ121" s="12"/>
      <c r="CP121" s="12"/>
      <c r="CV121" s="12"/>
      <c r="DB121" s="12"/>
      <c r="DH121" s="12"/>
    </row>
    <row r="122" spans="82:112">
      <c r="CD122" s="12"/>
      <c r="CJ122" s="12"/>
      <c r="CP122" s="12"/>
      <c r="CV122" s="12"/>
      <c r="DB122" s="12"/>
      <c r="DH122" s="12"/>
    </row>
    <row r="123" spans="82:112">
      <c r="CD123" s="12"/>
      <c r="CJ123" s="12"/>
      <c r="CP123" s="12"/>
      <c r="CV123" s="12"/>
      <c r="DB123" s="12"/>
      <c r="DH123" s="12"/>
    </row>
    <row r="124" spans="82:112">
      <c r="CD124" s="12"/>
      <c r="CJ124" s="12"/>
      <c r="CP124" s="12"/>
      <c r="CV124" s="12"/>
      <c r="DB124" s="12"/>
      <c r="DH124" s="12"/>
    </row>
    <row r="125" spans="82:112">
      <c r="CD125" s="12"/>
      <c r="CJ125" s="12"/>
      <c r="CP125" s="12"/>
      <c r="CV125" s="12"/>
      <c r="DB125" s="12"/>
      <c r="DH125" s="12"/>
    </row>
    <row r="126" spans="82:112">
      <c r="CD126" s="12"/>
      <c r="CJ126" s="12"/>
      <c r="CP126" s="12"/>
      <c r="CV126" s="12"/>
      <c r="DB126" s="12"/>
      <c r="DH126" s="12"/>
    </row>
    <row r="127" spans="82:112">
      <c r="CD127" s="12"/>
      <c r="CJ127" s="12"/>
      <c r="CP127" s="12"/>
      <c r="CV127" s="12"/>
      <c r="DB127" s="12"/>
      <c r="DH127" s="12"/>
    </row>
    <row r="128" spans="82:112">
      <c r="CD128" s="12"/>
      <c r="CJ128" s="12"/>
      <c r="CP128" s="12"/>
      <c r="CV128" s="12"/>
      <c r="DB128" s="12"/>
      <c r="DH128" s="12"/>
    </row>
    <row r="129" spans="82:112">
      <c r="CD129" s="12"/>
      <c r="CJ129" s="12"/>
      <c r="CP129" s="12"/>
      <c r="CV129" s="12"/>
      <c r="DB129" s="12"/>
      <c r="DH129" s="12"/>
    </row>
    <row r="130" spans="82:112">
      <c r="CD130" s="12"/>
      <c r="CJ130" s="12"/>
      <c r="CP130" s="12"/>
      <c r="CV130" s="12"/>
      <c r="DB130" s="12"/>
      <c r="DH130" s="12"/>
    </row>
    <row r="131" spans="82:112">
      <c r="CD131" s="12"/>
      <c r="CJ131" s="12"/>
      <c r="CP131" s="12"/>
      <c r="CV131" s="12"/>
      <c r="DB131" s="12"/>
      <c r="DH131" s="12"/>
    </row>
    <row r="132" spans="82:112">
      <c r="CD132" s="12"/>
      <c r="CJ132" s="12"/>
      <c r="CP132" s="12"/>
      <c r="CV132" s="12"/>
      <c r="DB132" s="12"/>
      <c r="DH132" s="12"/>
    </row>
    <row r="133" spans="82:112">
      <c r="CD133" s="12"/>
      <c r="CJ133" s="12"/>
      <c r="CP133" s="12"/>
      <c r="CV133" s="12"/>
      <c r="DB133" s="12"/>
      <c r="DH133" s="12"/>
    </row>
    <row r="134" spans="82:112">
      <c r="CD134" s="12"/>
      <c r="CJ134" s="12"/>
      <c r="CP134" s="12"/>
      <c r="CV134" s="12"/>
      <c r="DB134" s="12"/>
      <c r="DH134" s="12"/>
    </row>
    <row r="135" spans="82:112">
      <c r="CD135" s="12"/>
      <c r="CJ135" s="12"/>
      <c r="CP135" s="12"/>
      <c r="CV135" s="12"/>
      <c r="DB135" s="12"/>
      <c r="DH135" s="12"/>
    </row>
    <row r="136" spans="82:112">
      <c r="CD136" s="12"/>
      <c r="CJ136" s="12"/>
      <c r="CP136" s="12"/>
      <c r="CV136" s="12"/>
      <c r="DB136" s="12"/>
      <c r="DH136" s="12"/>
    </row>
    <row r="137" spans="82:112">
      <c r="CD137" s="12"/>
      <c r="CJ137" s="12"/>
      <c r="CP137" s="12"/>
      <c r="CV137" s="12"/>
      <c r="DB137" s="12"/>
      <c r="DH137" s="12"/>
    </row>
    <row r="138" spans="82:112">
      <c r="CD138" s="12"/>
      <c r="CJ138" s="12"/>
      <c r="CP138" s="12"/>
      <c r="CV138" s="12"/>
      <c r="DB138" s="12"/>
      <c r="DH138" s="12"/>
    </row>
    <row r="139" spans="82:112">
      <c r="CD139" s="12"/>
      <c r="CJ139" s="12"/>
      <c r="CP139" s="12"/>
      <c r="CV139" s="12"/>
      <c r="DB139" s="12"/>
      <c r="DH139" s="12"/>
    </row>
    <row r="140" spans="82:112">
      <c r="CD140" s="12"/>
      <c r="CJ140" s="12"/>
      <c r="CP140" s="12"/>
      <c r="CV140" s="12"/>
      <c r="DB140" s="12"/>
      <c r="DH140" s="12"/>
    </row>
    <row r="141" spans="82:112">
      <c r="CD141" s="12"/>
      <c r="CJ141" s="12"/>
      <c r="CP141" s="12"/>
      <c r="CV141" s="12"/>
      <c r="DB141" s="12"/>
      <c r="DH141" s="12"/>
    </row>
    <row r="142" spans="82:112">
      <c r="CD142" s="12"/>
      <c r="CJ142" s="12"/>
      <c r="CP142" s="12"/>
      <c r="CV142" s="12"/>
      <c r="DB142" s="12"/>
      <c r="DH142" s="12"/>
    </row>
    <row r="143" spans="82:112">
      <c r="CD143" s="12"/>
      <c r="CJ143" s="12"/>
      <c r="CP143" s="12"/>
      <c r="CV143" s="12"/>
      <c r="DB143" s="12"/>
      <c r="DH143" s="12"/>
    </row>
    <row r="144" spans="82:112">
      <c r="CD144" s="12"/>
      <c r="CJ144" s="12"/>
      <c r="CP144" s="12"/>
      <c r="CV144" s="12"/>
      <c r="DB144" s="12"/>
      <c r="DH144" s="12"/>
    </row>
    <row r="145" spans="82:112">
      <c r="CD145" s="12"/>
      <c r="CJ145" s="12"/>
      <c r="CP145" s="12"/>
      <c r="CV145" s="12"/>
      <c r="DB145" s="12"/>
      <c r="DH145" s="12"/>
    </row>
    <row r="146" spans="82:112">
      <c r="CD146" s="12"/>
      <c r="CJ146" s="12"/>
      <c r="CP146" s="12"/>
      <c r="CV146" s="12"/>
      <c r="DB146" s="12"/>
      <c r="DH146" s="12"/>
    </row>
    <row r="147" spans="82:112">
      <c r="CD147" s="12"/>
      <c r="CJ147" s="12"/>
      <c r="CP147" s="12"/>
      <c r="CV147" s="12"/>
      <c r="DB147" s="12"/>
      <c r="DH147" s="12"/>
    </row>
    <row r="148" spans="82:112">
      <c r="CD148" s="12"/>
      <c r="CJ148" s="12"/>
      <c r="CP148" s="12"/>
      <c r="CV148" s="12"/>
      <c r="DB148" s="12"/>
      <c r="DH148" s="12"/>
    </row>
    <row r="149" spans="82:112">
      <c r="CD149" s="12"/>
      <c r="CJ149" s="12"/>
      <c r="CP149" s="12"/>
      <c r="CV149" s="12"/>
      <c r="DB149" s="12"/>
      <c r="DH149" s="12"/>
    </row>
    <row r="150" spans="82:112">
      <c r="CD150" s="12"/>
      <c r="CJ150" s="12"/>
      <c r="CP150" s="12"/>
      <c r="CV150" s="12"/>
      <c r="DB150" s="12"/>
      <c r="DH150" s="12"/>
    </row>
    <row r="151" spans="82:112">
      <c r="CD151" s="12"/>
      <c r="CJ151" s="12"/>
      <c r="CP151" s="12"/>
      <c r="CV151" s="12"/>
      <c r="DB151" s="12"/>
      <c r="DH151" s="12"/>
    </row>
    <row r="152" spans="82:112">
      <c r="CD152" s="12"/>
      <c r="CJ152" s="12"/>
      <c r="CP152" s="12"/>
      <c r="CV152" s="12"/>
      <c r="DB152" s="12"/>
      <c r="DH152" s="12"/>
    </row>
    <row r="153" spans="82:112">
      <c r="CD153" s="12"/>
      <c r="CJ153" s="12"/>
      <c r="CP153" s="12"/>
      <c r="CV153" s="12"/>
      <c r="DB153" s="12"/>
      <c r="DH153" s="12"/>
    </row>
    <row r="154" spans="82:112">
      <c r="CD154" s="12"/>
      <c r="CJ154" s="12"/>
      <c r="CP154" s="12"/>
      <c r="CV154" s="12"/>
      <c r="DB154" s="12"/>
      <c r="DH154" s="12"/>
    </row>
    <row r="155" spans="82:112">
      <c r="CD155" s="12"/>
      <c r="CJ155" s="12"/>
      <c r="CP155" s="12"/>
      <c r="CV155" s="12"/>
      <c r="DB155" s="12"/>
      <c r="DH155" s="12"/>
    </row>
    <row r="156" spans="82:112">
      <c r="CD156" s="12"/>
      <c r="CJ156" s="12"/>
      <c r="CP156" s="12"/>
      <c r="CV156" s="12"/>
      <c r="DB156" s="12"/>
      <c r="DH156" s="12"/>
    </row>
    <row r="157" spans="82:112">
      <c r="CD157" s="12"/>
      <c r="CJ157" s="12"/>
      <c r="CP157" s="12"/>
      <c r="CV157" s="12"/>
      <c r="DB157" s="12"/>
      <c r="DH157" s="12"/>
    </row>
    <row r="158" spans="82:112">
      <c r="CD158" s="12"/>
      <c r="CJ158" s="12"/>
      <c r="CP158" s="12"/>
      <c r="CV158" s="12"/>
      <c r="DB158" s="12"/>
      <c r="DH158" s="12"/>
    </row>
    <row r="159" spans="82:112">
      <c r="CD159" s="12"/>
      <c r="CJ159" s="12"/>
      <c r="CP159" s="12"/>
      <c r="CV159" s="12"/>
      <c r="DB159" s="12"/>
      <c r="DH159" s="12"/>
    </row>
    <row r="160" spans="82:112">
      <c r="CD160" s="12"/>
      <c r="CJ160" s="12"/>
      <c r="CP160" s="12"/>
      <c r="CV160" s="12"/>
      <c r="DB160" s="12"/>
      <c r="DH160" s="12"/>
    </row>
    <row r="161" spans="82:112">
      <c r="CD161" s="12"/>
      <c r="CJ161" s="12"/>
      <c r="CP161" s="12"/>
      <c r="CV161" s="12"/>
      <c r="DB161" s="12"/>
      <c r="DH161" s="12"/>
    </row>
    <row r="162" spans="82:112">
      <c r="CD162" s="12"/>
      <c r="CJ162" s="12"/>
      <c r="CP162" s="12"/>
      <c r="CV162" s="12"/>
      <c r="DB162" s="12"/>
      <c r="DH162" s="12"/>
    </row>
    <row r="163" spans="82:112">
      <c r="CD163" s="12"/>
      <c r="CJ163" s="12"/>
      <c r="CP163" s="12"/>
      <c r="CV163" s="12"/>
      <c r="DB163" s="12"/>
      <c r="DH163" s="12"/>
    </row>
    <row r="164" spans="82:112">
      <c r="CD164" s="12"/>
      <c r="CJ164" s="12"/>
      <c r="CP164" s="12"/>
      <c r="CV164" s="12"/>
      <c r="DB164" s="12"/>
      <c r="DH164" s="12"/>
    </row>
    <row r="165" spans="82:112">
      <c r="CD165" s="12"/>
      <c r="CJ165" s="12"/>
      <c r="CP165" s="12"/>
      <c r="CV165" s="12"/>
      <c r="DB165" s="12"/>
      <c r="DH165" s="12"/>
    </row>
    <row r="166" spans="82:112">
      <c r="CD166" s="12"/>
      <c r="CJ166" s="12"/>
      <c r="CP166" s="12"/>
      <c r="CV166" s="12"/>
      <c r="DB166" s="12"/>
      <c r="DH166" s="12"/>
    </row>
    <row r="167" spans="82:112">
      <c r="CD167" s="12"/>
      <c r="CJ167" s="12"/>
      <c r="CP167" s="12"/>
      <c r="CV167" s="12"/>
      <c r="DB167" s="12"/>
      <c r="DH167" s="12"/>
    </row>
    <row r="168" spans="82:112">
      <c r="CD168" s="12"/>
      <c r="CJ168" s="12"/>
      <c r="CP168" s="12"/>
      <c r="CV168" s="12"/>
      <c r="DB168" s="12"/>
      <c r="DH168" s="12"/>
    </row>
    <row r="169" spans="82:112">
      <c r="CD169" s="12"/>
      <c r="CJ169" s="12"/>
      <c r="CP169" s="12"/>
      <c r="CV169" s="12"/>
      <c r="DB169" s="12"/>
      <c r="DH169" s="12"/>
    </row>
    <row r="170" spans="82:112">
      <c r="CD170" s="12"/>
      <c r="CJ170" s="12"/>
      <c r="CP170" s="12"/>
      <c r="CV170" s="12"/>
      <c r="DB170" s="12"/>
      <c r="DH170" s="12"/>
    </row>
    <row r="171" spans="82:112">
      <c r="CD171" s="12"/>
      <c r="CJ171" s="12"/>
      <c r="CP171" s="12"/>
      <c r="CV171" s="12"/>
      <c r="DB171" s="12"/>
      <c r="DH171" s="12"/>
    </row>
    <row r="172" spans="82:112">
      <c r="CD172" s="12"/>
      <c r="CJ172" s="12"/>
      <c r="CP172" s="12"/>
      <c r="CV172" s="12"/>
      <c r="DB172" s="12"/>
      <c r="DH172" s="12"/>
    </row>
    <row r="173" spans="82:112">
      <c r="CD173" s="12"/>
      <c r="CJ173" s="12"/>
      <c r="CP173" s="12"/>
      <c r="CV173" s="12"/>
      <c r="DB173" s="12"/>
      <c r="DH173" s="12"/>
    </row>
    <row r="174" spans="82:112">
      <c r="CD174" s="12"/>
      <c r="CJ174" s="12"/>
      <c r="CP174" s="12"/>
      <c r="CV174" s="12"/>
      <c r="DB174" s="12"/>
      <c r="DH174" s="12"/>
    </row>
    <row r="175" spans="82:112">
      <c r="CD175" s="12"/>
      <c r="CJ175" s="12"/>
      <c r="CP175" s="12"/>
      <c r="CV175" s="12"/>
      <c r="DB175" s="12"/>
      <c r="DH175" s="12"/>
    </row>
    <row r="176" spans="82:112">
      <c r="CD176" s="12"/>
      <c r="CJ176" s="12"/>
      <c r="CP176" s="12"/>
      <c r="CV176" s="12"/>
      <c r="DB176" s="12"/>
      <c r="DH176" s="12"/>
    </row>
    <row r="177" spans="82:112">
      <c r="CD177" s="12"/>
      <c r="CJ177" s="12"/>
      <c r="CP177" s="12"/>
      <c r="CV177" s="12"/>
      <c r="DB177" s="12"/>
      <c r="DH177" s="12"/>
    </row>
    <row r="178" spans="82:112">
      <c r="CD178" s="12"/>
      <c r="CJ178" s="12"/>
      <c r="CP178" s="12"/>
      <c r="CV178" s="12"/>
      <c r="DB178" s="12"/>
      <c r="DH178" s="12"/>
    </row>
    <row r="179" spans="82:112">
      <c r="CD179" s="12"/>
      <c r="CJ179" s="12"/>
      <c r="CP179" s="12"/>
      <c r="CV179" s="12"/>
      <c r="DB179" s="12"/>
      <c r="DH179" s="12"/>
    </row>
    <row r="180" spans="82:112">
      <c r="CD180" s="12"/>
      <c r="CJ180" s="12"/>
      <c r="CP180" s="12"/>
      <c r="CV180" s="12"/>
      <c r="DB180" s="12"/>
      <c r="DH180" s="12"/>
    </row>
    <row r="181" spans="82:112">
      <c r="CD181" s="12"/>
      <c r="CJ181" s="12"/>
      <c r="CP181" s="12"/>
      <c r="CV181" s="12"/>
      <c r="DB181" s="12"/>
      <c r="DH181" s="12"/>
    </row>
    <row r="182" spans="82:112">
      <c r="CD182" s="12"/>
      <c r="CJ182" s="12"/>
      <c r="CP182" s="12"/>
      <c r="CV182" s="12"/>
      <c r="DB182" s="12"/>
      <c r="DH182" s="12"/>
    </row>
    <row r="183" spans="82:112">
      <c r="CD183" s="12"/>
      <c r="CJ183" s="12"/>
      <c r="CP183" s="12"/>
      <c r="CV183" s="12"/>
      <c r="DB183" s="12"/>
      <c r="DH183" s="12"/>
    </row>
    <row r="184" spans="82:112">
      <c r="CD184" s="12"/>
      <c r="CJ184" s="12"/>
      <c r="CP184" s="12"/>
      <c r="CV184" s="12"/>
      <c r="DB184" s="12"/>
      <c r="DH184" s="12"/>
    </row>
    <row r="185" spans="82:112">
      <c r="CD185" s="12"/>
      <c r="CJ185" s="12"/>
      <c r="CP185" s="12"/>
      <c r="CV185" s="12"/>
      <c r="DB185" s="12"/>
      <c r="DH185" s="12"/>
    </row>
    <row r="186" spans="82:112">
      <c r="CD186" s="12"/>
      <c r="CJ186" s="12"/>
      <c r="CP186" s="12"/>
      <c r="CV186" s="12"/>
      <c r="DB186" s="12"/>
      <c r="DH186" s="12"/>
    </row>
    <row r="187" spans="82:112">
      <c r="CD187" s="12"/>
      <c r="CJ187" s="12"/>
      <c r="CP187" s="12"/>
      <c r="CV187" s="12"/>
      <c r="DB187" s="12"/>
      <c r="DH187" s="12"/>
    </row>
    <row r="188" spans="82:112">
      <c r="CD188" s="12"/>
      <c r="CJ188" s="12"/>
      <c r="CP188" s="12"/>
      <c r="CV188" s="12"/>
      <c r="DB188" s="12"/>
      <c r="DH188" s="12"/>
    </row>
    <row r="189" spans="82:112">
      <c r="CD189" s="12"/>
      <c r="CJ189" s="12"/>
      <c r="CP189" s="12"/>
      <c r="CV189" s="12"/>
      <c r="DB189" s="12"/>
      <c r="DH189" s="12"/>
    </row>
    <row r="190" spans="82:112">
      <c r="CD190" s="12"/>
      <c r="CJ190" s="12"/>
      <c r="CP190" s="12"/>
      <c r="CV190" s="12"/>
      <c r="DB190" s="12"/>
      <c r="DH190" s="12"/>
    </row>
    <row r="191" spans="82:112">
      <c r="CD191" s="12"/>
      <c r="CJ191" s="12"/>
      <c r="CP191" s="12"/>
      <c r="CV191" s="12"/>
      <c r="DB191" s="12"/>
      <c r="DH191" s="12"/>
    </row>
  </sheetData>
  <mergeCells count="8">
    <mergeCell ref="CV1:DA1"/>
    <mergeCell ref="DB1:DG1"/>
    <mergeCell ref="DH1:DM1"/>
    <mergeCell ref="BR71:BS71"/>
    <mergeCell ref="BT71:BU71"/>
    <mergeCell ref="CD1:CI1"/>
    <mergeCell ref="CJ1:CO1"/>
    <mergeCell ref="CP1:CU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4AB24-0861-3D47-92BA-1C225B67DD8D}">
  <dimension ref="A1:CW37"/>
  <sheetViews>
    <sheetView workbookViewId="0">
      <pane xSplit="1" topLeftCell="B1" activePane="topRight" state="frozen"/>
      <selection pane="topRight" activeCell="BO34" sqref="BO34"/>
    </sheetView>
  </sheetViews>
  <sheetFormatPr defaultColWidth="10.6640625" defaultRowHeight="15.5"/>
  <cols>
    <col min="2" max="3" width="10.83203125" style="305"/>
    <col min="4" max="4" width="10.83203125" style="331"/>
    <col min="5" max="6" width="10.83203125" style="332"/>
    <col min="7" max="7" width="10.83203125" style="333"/>
    <col min="8" max="9" width="10.83203125" style="334"/>
    <col min="10" max="10" width="10.83203125" style="335"/>
    <col min="11" max="12" width="10.83203125" style="336"/>
    <col min="13" max="13" width="10.83203125" style="337"/>
    <col min="14" max="15" width="10.83203125" style="338"/>
    <col min="16" max="16" width="10.83203125" style="339"/>
    <col min="17" max="18" width="10.83203125" style="305"/>
    <col min="19" max="19" width="10.83203125" style="331"/>
    <col min="20" max="20" width="10.83203125" style="305"/>
    <col min="21" max="22" width="10.83203125" style="77" customWidth="1"/>
    <col min="23" max="24" width="10.83203125" style="296" customWidth="1"/>
    <col min="25" max="26" width="10.83203125" style="297" customWidth="1"/>
    <col min="27" max="28" width="10.83203125" style="298" customWidth="1"/>
    <col min="29" max="32" width="10.83203125" style="346" customWidth="1"/>
    <col min="33" max="35" width="10.83203125" style="77" customWidth="1"/>
    <col min="36" max="37" width="10.83203125" style="296" customWidth="1"/>
    <col min="38" max="39" width="10.83203125" style="297" customWidth="1"/>
    <col min="40" max="41" width="10.83203125" style="298" customWidth="1"/>
    <col min="42" max="45" width="10.83203125" style="346" customWidth="1"/>
    <col min="46" max="48" width="10.83203125" style="77" customWidth="1"/>
    <col min="49" max="50" width="10.83203125" style="296" customWidth="1"/>
    <col min="51" max="52" width="10.83203125" style="297" customWidth="1"/>
    <col min="53" max="54" width="10.83203125" style="298" customWidth="1"/>
    <col min="55" max="58" width="10.83203125" style="346" customWidth="1"/>
  </cols>
  <sheetData>
    <row r="1" spans="1:101">
      <c r="B1" s="305" t="s">
        <v>1413</v>
      </c>
      <c r="E1" s="332" t="s">
        <v>184</v>
      </c>
      <c r="H1" s="334" t="s">
        <v>1410</v>
      </c>
      <c r="K1" s="336" t="s">
        <v>1411</v>
      </c>
      <c r="N1" s="338" t="s">
        <v>1412</v>
      </c>
      <c r="Q1" s="338" t="s">
        <v>1417</v>
      </c>
      <c r="R1" s="338"/>
      <c r="S1" s="339"/>
      <c r="U1" s="77" t="s">
        <v>1413</v>
      </c>
      <c r="W1" s="296" t="s">
        <v>1409</v>
      </c>
      <c r="Y1" s="297" t="s">
        <v>1410</v>
      </c>
      <c r="AA1" s="298" t="s">
        <v>1411</v>
      </c>
      <c r="AC1" s="346" t="s">
        <v>1412</v>
      </c>
      <c r="AE1" s="346" t="s">
        <v>1418</v>
      </c>
      <c r="AH1" s="77" t="s">
        <v>1413</v>
      </c>
      <c r="AJ1" s="296" t="s">
        <v>1409</v>
      </c>
      <c r="AL1" s="297" t="s">
        <v>1410</v>
      </c>
      <c r="AN1" s="298" t="s">
        <v>1411</v>
      </c>
      <c r="AP1" s="346" t="s">
        <v>1412</v>
      </c>
      <c r="AR1" s="346" t="s">
        <v>1418</v>
      </c>
      <c r="AU1" s="77" t="s">
        <v>1413</v>
      </c>
      <c r="AW1" s="296" t="s">
        <v>1409</v>
      </c>
      <c r="AY1" s="297" t="s">
        <v>1410</v>
      </c>
      <c r="BA1" s="298" t="s">
        <v>1411</v>
      </c>
      <c r="BC1" s="346" t="s">
        <v>1412</v>
      </c>
      <c r="BE1" s="346" t="s">
        <v>1418</v>
      </c>
      <c r="BI1" s="690" t="s">
        <v>183</v>
      </c>
      <c r="BJ1" s="690"/>
      <c r="BK1" s="690"/>
      <c r="BL1" s="690"/>
      <c r="BM1" s="690"/>
      <c r="BN1" s="690"/>
      <c r="BO1" s="690" t="s">
        <v>184</v>
      </c>
      <c r="BP1" s="690"/>
      <c r="BQ1" s="690"/>
      <c r="BR1" s="690"/>
      <c r="BS1" s="690"/>
      <c r="BT1" s="690"/>
      <c r="BU1" s="690" t="s">
        <v>1410</v>
      </c>
      <c r="BV1" s="690"/>
      <c r="BW1" s="690"/>
      <c r="BX1" s="690"/>
      <c r="BY1" s="690"/>
      <c r="BZ1" s="690"/>
      <c r="CA1" s="689" t="s">
        <v>1411</v>
      </c>
      <c r="CB1" s="689"/>
      <c r="CC1" s="689"/>
      <c r="CD1" s="689"/>
      <c r="CE1" s="689"/>
      <c r="CF1" s="689"/>
      <c r="CG1" s="689" t="s">
        <v>1811</v>
      </c>
      <c r="CH1" s="689"/>
      <c r="CI1" s="689"/>
      <c r="CJ1" s="689"/>
      <c r="CK1" s="689"/>
      <c r="CL1" s="689"/>
      <c r="CM1" t="s">
        <v>343</v>
      </c>
      <c r="CT1" t="s">
        <v>1834</v>
      </c>
    </row>
    <row r="2" spans="1:101" s="35" customFormat="1" ht="31">
      <c r="A2" s="35" t="s">
        <v>160</v>
      </c>
      <c r="B2" s="340" t="s">
        <v>181</v>
      </c>
      <c r="C2" s="340" t="s">
        <v>179</v>
      </c>
      <c r="D2" s="341" t="s">
        <v>180</v>
      </c>
      <c r="E2" s="342" t="s">
        <v>181</v>
      </c>
      <c r="F2" s="342" t="s">
        <v>179</v>
      </c>
      <c r="G2" s="333" t="s">
        <v>180</v>
      </c>
      <c r="H2" s="343" t="s">
        <v>181</v>
      </c>
      <c r="I2" s="343" t="s">
        <v>179</v>
      </c>
      <c r="J2" s="335" t="s">
        <v>180</v>
      </c>
      <c r="K2" s="344" t="s">
        <v>181</v>
      </c>
      <c r="L2" s="344" t="s">
        <v>179</v>
      </c>
      <c r="M2" s="337" t="s">
        <v>180</v>
      </c>
      <c r="N2" s="345" t="s">
        <v>181</v>
      </c>
      <c r="O2" s="345" t="s">
        <v>179</v>
      </c>
      <c r="P2" s="339" t="s">
        <v>180</v>
      </c>
      <c r="Q2" s="345" t="s">
        <v>181</v>
      </c>
      <c r="R2" s="345" t="s">
        <v>179</v>
      </c>
      <c r="S2" s="339" t="s">
        <v>180</v>
      </c>
      <c r="T2" s="649"/>
      <c r="U2" s="650" t="s">
        <v>185</v>
      </c>
      <c r="V2" s="650" t="s">
        <v>186</v>
      </c>
      <c r="W2" s="651" t="s">
        <v>185</v>
      </c>
      <c r="X2" s="651" t="s">
        <v>186</v>
      </c>
      <c r="Y2" s="652" t="s">
        <v>185</v>
      </c>
      <c r="Z2" s="652" t="s">
        <v>186</v>
      </c>
      <c r="AA2" s="653" t="s">
        <v>185</v>
      </c>
      <c r="AB2" s="653" t="s">
        <v>186</v>
      </c>
      <c r="AC2" s="654" t="s">
        <v>185</v>
      </c>
      <c r="AD2" s="654" t="s">
        <v>186</v>
      </c>
      <c r="AE2" s="654" t="s">
        <v>185</v>
      </c>
      <c r="AF2" s="654" t="s">
        <v>186</v>
      </c>
      <c r="AG2" s="655"/>
      <c r="AH2" s="650" t="s">
        <v>187</v>
      </c>
      <c r="AI2" s="650" t="s">
        <v>188</v>
      </c>
      <c r="AJ2" s="651" t="s">
        <v>187</v>
      </c>
      <c r="AK2" s="651" t="s">
        <v>188</v>
      </c>
      <c r="AL2" s="652" t="s">
        <v>187</v>
      </c>
      <c r="AM2" s="652" t="s">
        <v>188</v>
      </c>
      <c r="AN2" s="653" t="s">
        <v>187</v>
      </c>
      <c r="AO2" s="653" t="s">
        <v>188</v>
      </c>
      <c r="AP2" s="656" t="s">
        <v>187</v>
      </c>
      <c r="AQ2" s="656" t="s">
        <v>188</v>
      </c>
      <c r="AR2" s="656" t="s">
        <v>187</v>
      </c>
      <c r="AS2" s="656" t="s">
        <v>188</v>
      </c>
      <c r="AT2" s="655"/>
      <c r="AU2" s="650" t="s">
        <v>1310</v>
      </c>
      <c r="AV2" s="650" t="s">
        <v>1311</v>
      </c>
      <c r="AW2" s="651" t="s">
        <v>1310</v>
      </c>
      <c r="AX2" s="651" t="s">
        <v>1311</v>
      </c>
      <c r="AY2" s="652" t="s">
        <v>1310</v>
      </c>
      <c r="AZ2" s="652" t="s">
        <v>1311</v>
      </c>
      <c r="BA2" s="653" t="s">
        <v>1310</v>
      </c>
      <c r="BB2" s="653" t="s">
        <v>1311</v>
      </c>
      <c r="BC2" s="654" t="s">
        <v>1310</v>
      </c>
      <c r="BD2" s="654" t="s">
        <v>1311</v>
      </c>
      <c r="BE2" s="654" t="s">
        <v>1310</v>
      </c>
      <c r="BF2" s="654" t="s">
        <v>1311</v>
      </c>
      <c r="BI2" s="35" t="s">
        <v>1801</v>
      </c>
      <c r="BJ2" s="35" t="s">
        <v>1802</v>
      </c>
      <c r="BK2" s="35" t="s">
        <v>1794</v>
      </c>
      <c r="BL2" s="35" t="s">
        <v>1797</v>
      </c>
      <c r="BM2" s="35" t="s">
        <v>1786</v>
      </c>
      <c r="BN2" s="35" t="s">
        <v>1785</v>
      </c>
      <c r="BO2" s="35" t="s">
        <v>1801</v>
      </c>
      <c r="BP2" s="35" t="s">
        <v>1802</v>
      </c>
      <c r="BQ2" s="35" t="s">
        <v>1794</v>
      </c>
      <c r="BR2" s="35" t="s">
        <v>1797</v>
      </c>
      <c r="BS2" s="35" t="s">
        <v>1786</v>
      </c>
      <c r="BT2" s="35" t="s">
        <v>1785</v>
      </c>
      <c r="BU2" s="35" t="s">
        <v>1801</v>
      </c>
      <c r="BV2" s="35" t="s">
        <v>1802</v>
      </c>
      <c r="BW2" s="35" t="s">
        <v>1794</v>
      </c>
      <c r="BX2" s="35" t="s">
        <v>1797</v>
      </c>
      <c r="BY2" s="35" t="s">
        <v>1786</v>
      </c>
      <c r="BZ2" s="35" t="s">
        <v>1785</v>
      </c>
      <c r="CA2" s="35" t="s">
        <v>1801</v>
      </c>
      <c r="CB2" s="35" t="s">
        <v>1802</v>
      </c>
      <c r="CC2" s="35" t="s">
        <v>1794</v>
      </c>
      <c r="CD2" s="35" t="s">
        <v>1797</v>
      </c>
      <c r="CE2" s="35" t="s">
        <v>1786</v>
      </c>
      <c r="CF2" s="35" t="s">
        <v>1785</v>
      </c>
      <c r="CG2" s="35" t="s">
        <v>1801</v>
      </c>
      <c r="CH2" s="35" t="s">
        <v>1802</v>
      </c>
      <c r="CI2" s="35" t="s">
        <v>1794</v>
      </c>
      <c r="CJ2" s="35" t="s">
        <v>1797</v>
      </c>
      <c r="CK2" s="35" t="s">
        <v>1786</v>
      </c>
      <c r="CL2" s="35" t="s">
        <v>1785</v>
      </c>
      <c r="CM2" s="35" t="s">
        <v>1801</v>
      </c>
      <c r="CN2" s="35" t="s">
        <v>1802</v>
      </c>
      <c r="CO2" s="35" t="s">
        <v>1794</v>
      </c>
      <c r="CP2" s="35" t="s">
        <v>1797</v>
      </c>
      <c r="CQ2" s="35" t="s">
        <v>1786</v>
      </c>
      <c r="CR2" s="35" t="s">
        <v>1785</v>
      </c>
      <c r="CT2" s="34" t="s">
        <v>1835</v>
      </c>
      <c r="CU2" s="34" t="s">
        <v>1836</v>
      </c>
      <c r="CV2" s="34" t="s">
        <v>1837</v>
      </c>
      <c r="CW2" s="34" t="s">
        <v>227</v>
      </c>
    </row>
    <row r="3" spans="1:101">
      <c r="A3" s="637">
        <v>44638</v>
      </c>
      <c r="B3" s="305">
        <v>16.600000000000001</v>
      </c>
      <c r="C3" s="305">
        <v>16.7</v>
      </c>
      <c r="D3" s="331">
        <v>17.8</v>
      </c>
      <c r="E3" s="342">
        <v>17.8</v>
      </c>
      <c r="F3" s="342">
        <v>17.899999999999999</v>
      </c>
      <c r="G3" s="333">
        <v>18.899999999999999</v>
      </c>
      <c r="H3" s="343">
        <v>18.899999999999999</v>
      </c>
      <c r="I3" s="343">
        <v>18.95</v>
      </c>
      <c r="J3" s="335">
        <v>19.899999999999999</v>
      </c>
      <c r="K3" s="344">
        <v>19.899999999999999</v>
      </c>
      <c r="L3" s="344">
        <v>20.100000000000001</v>
      </c>
      <c r="M3" s="337">
        <v>21.2</v>
      </c>
      <c r="N3" s="338">
        <v>21.2</v>
      </c>
      <c r="O3" s="338">
        <v>21.3</v>
      </c>
      <c r="P3" s="339">
        <v>22.3</v>
      </c>
      <c r="Q3" s="305">
        <v>14.7</v>
      </c>
      <c r="R3" s="305">
        <v>15</v>
      </c>
      <c r="S3" s="331">
        <v>16.600000000000001</v>
      </c>
      <c r="U3" s="77">
        <f>((((D3-C3)*0.06)/20)*1000)*100</f>
        <v>330.00000000000045</v>
      </c>
      <c r="V3" s="77">
        <f>((((C3-B3)*0.06)/20)*1000)*100</f>
        <v>29.999999999999353</v>
      </c>
      <c r="W3" s="77">
        <f>((((G3-F3)*0.06)/20)*1000)*100</f>
        <v>300</v>
      </c>
      <c r="X3" s="77">
        <f>((((F3-E3)*0.06)/20)*1000)*100</f>
        <v>29.999999999999353</v>
      </c>
      <c r="Y3" s="297">
        <f>((((J3-I3)*0.06)/20)*1000)*100</f>
        <v>284.99999999999972</v>
      </c>
      <c r="Z3" s="297">
        <f>((((I3-H3)*0.06)/20)*1000)*100</f>
        <v>15.000000000000213</v>
      </c>
      <c r="AA3" s="298">
        <f>((((M3-L3)*0.06)/20*1000)*100)</f>
        <v>329.99999999999932</v>
      </c>
      <c r="AB3" s="298">
        <f>((((L3-K3)*0.06)/20)*1000)*100</f>
        <v>60.000000000000853</v>
      </c>
      <c r="AC3" s="77">
        <f>((((P3-O3)*0.06)/20)*1000)*100</f>
        <v>300</v>
      </c>
      <c r="AD3" s="77">
        <f>((((O3-N3)*0.06)/20)*1000)*100</f>
        <v>30.000000000000426</v>
      </c>
      <c r="AE3" s="77">
        <f>((((S3-R3)*0.06)/20)*1000)*100</f>
        <v>480.00000000000045</v>
      </c>
      <c r="AF3" s="77">
        <f>((((R3-Q3)*0.06)/20)*1000)*100</f>
        <v>90.000000000000199</v>
      </c>
      <c r="AH3" s="77">
        <f>(U3/100)*84</f>
        <v>277.20000000000039</v>
      </c>
      <c r="AI3" s="77">
        <f t="shared" ref="AI3:AS3" si="0">(V3/100)*84</f>
        <v>25.199999999999459</v>
      </c>
      <c r="AJ3" s="296">
        <f t="shared" si="0"/>
        <v>252</v>
      </c>
      <c r="AK3" s="296">
        <f t="shared" si="0"/>
        <v>25.199999999999459</v>
      </c>
      <c r="AL3" s="297">
        <f t="shared" si="0"/>
        <v>239.39999999999975</v>
      </c>
      <c r="AM3" s="297">
        <f t="shared" si="0"/>
        <v>12.600000000000179</v>
      </c>
      <c r="AN3" s="298">
        <f t="shared" si="0"/>
        <v>277.19999999999942</v>
      </c>
      <c r="AO3" s="298">
        <f t="shared" si="0"/>
        <v>50.400000000000716</v>
      </c>
      <c r="AP3" s="346">
        <f t="shared" si="0"/>
        <v>252</v>
      </c>
      <c r="AQ3" s="346">
        <f t="shared" si="0"/>
        <v>25.200000000000358</v>
      </c>
      <c r="AR3" s="346">
        <f t="shared" si="0"/>
        <v>403.20000000000039</v>
      </c>
      <c r="AS3" s="346">
        <f t="shared" si="0"/>
        <v>75.600000000000165</v>
      </c>
      <c r="AU3" s="77">
        <f>(U3/100)*60.011</f>
        <v>198.0363000000003</v>
      </c>
      <c r="AV3" s="77">
        <f t="shared" ref="AV3:BF3" si="1">(V3/100)*60.011</f>
        <v>18.003299999999612</v>
      </c>
      <c r="AW3" s="296">
        <f t="shared" si="1"/>
        <v>180.03300000000002</v>
      </c>
      <c r="AX3" s="296">
        <f t="shared" si="1"/>
        <v>18.003299999999612</v>
      </c>
      <c r="AY3" s="297">
        <f t="shared" si="1"/>
        <v>171.03134999999983</v>
      </c>
      <c r="AZ3" s="297">
        <f t="shared" si="1"/>
        <v>9.0016500000001276</v>
      </c>
      <c r="BA3" s="298">
        <f t="shared" si="1"/>
        <v>198.03629999999958</v>
      </c>
      <c r="BB3" s="298">
        <f t="shared" si="1"/>
        <v>36.00660000000051</v>
      </c>
      <c r="BC3" s="346">
        <f t="shared" si="1"/>
        <v>180.03300000000002</v>
      </c>
      <c r="BD3" s="346">
        <f t="shared" si="1"/>
        <v>18.003300000000255</v>
      </c>
      <c r="BE3" s="346">
        <f t="shared" si="1"/>
        <v>288.05280000000027</v>
      </c>
      <c r="BF3" s="346">
        <f t="shared" si="1"/>
        <v>54.009900000000123</v>
      </c>
      <c r="BI3" s="500">
        <f>(((((BM3-BN3)*0.06)/20)*1000)*$BI$21)/$BI$20</f>
        <v>3.0000000000000107</v>
      </c>
      <c r="BJ3" s="266">
        <f>((((BN3*0.06)/20)*1000)*$BI$21)/$BI$20</f>
        <v>0.29999999999999355</v>
      </c>
      <c r="BK3">
        <f>BI3*$BI$23</f>
        <v>183.00000000000065</v>
      </c>
      <c r="BL3">
        <f>BJ3*$BI$24</f>
        <v>17.999999999999613</v>
      </c>
      <c r="BM3" s="305">
        <f>D3-C3</f>
        <v>1.1000000000000014</v>
      </c>
      <c r="BN3" s="305">
        <f>C3-B3</f>
        <v>9.9999999999997868E-2</v>
      </c>
      <c r="BO3" s="500">
        <f>(((((BS3-BT3)*0.06)/20)*1000)*$BI$21)/$BI$20</f>
        <v>2.7000000000000064</v>
      </c>
      <c r="BP3" s="266">
        <f>((((BT3*0.06)/20)*1000)*$BI$21)/$BI$20</f>
        <v>0.29999999999999355</v>
      </c>
      <c r="BQ3">
        <f>BO3*$BI$23</f>
        <v>164.70000000000039</v>
      </c>
      <c r="BR3">
        <f>BP3*$BI$24</f>
        <v>17.999999999999613</v>
      </c>
      <c r="BS3" s="305">
        <f>G3-F3</f>
        <v>1</v>
      </c>
      <c r="BT3" s="305">
        <f>F3-E3</f>
        <v>9.9999999999997868E-2</v>
      </c>
      <c r="BU3" s="500">
        <f>(((((BY3-BZ3)*0.06)/20)*1000)*$BI$21)/$BI$20</f>
        <v>2.6999999999999957</v>
      </c>
      <c r="BV3" s="266">
        <f>((((BZ3*0.06)/20)*1000)*$BI$21)/$BI$20</f>
        <v>0.15000000000000213</v>
      </c>
      <c r="BW3">
        <f>BU3*$BI$23</f>
        <v>164.69999999999973</v>
      </c>
      <c r="BX3">
        <f>BV3*$BI$24</f>
        <v>9.0000000000001279</v>
      </c>
      <c r="BY3" s="305">
        <f>J3-I3</f>
        <v>0.94999999999999929</v>
      </c>
      <c r="BZ3" s="305">
        <f>I3-H3</f>
        <v>5.0000000000000711E-2</v>
      </c>
      <c r="CA3" s="500">
        <f>(((((CE3-CF3)*0.06)/20)*1000)*$BI$21)/$BI$20</f>
        <v>2.6999999999999851</v>
      </c>
      <c r="CB3" s="266">
        <f>((((CF3*0.06)/20)*1000)*$BI$21)/$BI$20</f>
        <v>0.60000000000000853</v>
      </c>
      <c r="CC3">
        <f>CA3*$BI$23</f>
        <v>164.69999999999908</v>
      </c>
      <c r="CD3">
        <f>CB3*$BI$24</f>
        <v>36.000000000000512</v>
      </c>
      <c r="CE3" s="305">
        <f>M3-L3</f>
        <v>1.0999999999999979</v>
      </c>
      <c r="CF3" s="305">
        <f>L3-K3</f>
        <v>0.20000000000000284</v>
      </c>
      <c r="CG3" s="500">
        <f>(((((CK3-CL3)*0.06)/20)*1000)*$BI$21)/$BI$20</f>
        <v>2.6999999999999957</v>
      </c>
      <c r="CH3" s="266">
        <f>((((CL3*0.06)/20)*1000)*$BI$21)/$BI$20</f>
        <v>0.30000000000000426</v>
      </c>
      <c r="CI3">
        <f>CG3*$BI$23</f>
        <v>164.69999999999973</v>
      </c>
      <c r="CJ3">
        <f>CH3*$BI$24</f>
        <v>18.000000000000256</v>
      </c>
      <c r="CK3" s="305">
        <f>P3-O3</f>
        <v>1</v>
      </c>
      <c r="CL3" s="305">
        <f>O3-N3</f>
        <v>0.10000000000000142</v>
      </c>
      <c r="CM3" s="500">
        <f>(((((CQ3-CR3)*0.06)/20)*1000)*$BI$21)/$BI$20</f>
        <v>3.9000000000000021</v>
      </c>
      <c r="CN3" s="266">
        <f>((((CR3*0.06)/20)*1000)*$BI$21)/$BI$20</f>
        <v>0.90000000000000191</v>
      </c>
      <c r="CO3">
        <f>CM3*$BI$23</f>
        <v>237.90000000000012</v>
      </c>
      <c r="CP3">
        <f>CN3*$BI$24</f>
        <v>54.000000000000114</v>
      </c>
      <c r="CQ3" s="305">
        <f>S3-R3</f>
        <v>1.6000000000000014</v>
      </c>
      <c r="CR3" s="305">
        <f>R3-Q3</f>
        <v>0.30000000000000071</v>
      </c>
      <c r="CT3">
        <f>BQ3-BK3</f>
        <v>-18.300000000000267</v>
      </c>
      <c r="CU3">
        <f>BW3-BK3</f>
        <v>-18.300000000000921</v>
      </c>
      <c r="CV3">
        <f>CC3-BK3</f>
        <v>-18.300000000001575</v>
      </c>
      <c r="CW3">
        <f>AVERAGE(CU3:CV3)</f>
        <v>-18.300000000001248</v>
      </c>
    </row>
    <row r="4" spans="1:101">
      <c r="A4" s="637">
        <v>44641</v>
      </c>
      <c r="B4" s="305">
        <v>4.9000000000000004</v>
      </c>
      <c r="C4" s="305">
        <v>5</v>
      </c>
      <c r="D4" s="331">
        <v>7</v>
      </c>
      <c r="E4" s="342">
        <v>7</v>
      </c>
      <c r="F4" s="342">
        <v>7.1</v>
      </c>
      <c r="G4" s="333">
        <v>10.6</v>
      </c>
      <c r="H4" s="343">
        <v>10.4</v>
      </c>
      <c r="I4" s="343">
        <v>10.4</v>
      </c>
      <c r="J4" s="335">
        <v>12.6</v>
      </c>
      <c r="K4" s="344">
        <v>12.6</v>
      </c>
      <c r="L4" s="344">
        <v>12.6</v>
      </c>
      <c r="M4" s="337">
        <v>15.3</v>
      </c>
      <c r="N4" s="338">
        <v>15.3</v>
      </c>
      <c r="O4" s="338">
        <v>16</v>
      </c>
      <c r="P4" s="339">
        <v>18.3</v>
      </c>
      <c r="Q4" s="345">
        <v>2.5</v>
      </c>
      <c r="R4" s="345">
        <v>3.6</v>
      </c>
      <c r="S4" s="331">
        <v>4.9000000000000004</v>
      </c>
      <c r="U4" s="77">
        <f>((((D4-C4)*0.06)/20)*1000)*100</f>
        <v>600</v>
      </c>
      <c r="V4" s="77">
        <f>((((C4-B4)*0.06)/20)*1000)*100</f>
        <v>29.999999999999893</v>
      </c>
      <c r="W4" s="77">
        <f>((((G4-F4)*0.06)/20)*1000)*100</f>
        <v>1049.9999999999998</v>
      </c>
      <c r="X4" s="77">
        <f>((((F4-E4)*0.06)/20)*1000)*100</f>
        <v>29.999999999999893</v>
      </c>
      <c r="Y4" s="297">
        <f>((((J4-I4)*0.06)/20)*1000)*100</f>
        <v>659.99999999999966</v>
      </c>
      <c r="Z4" s="297">
        <f>((((I4-H4)*0.06)/20)*1000)*100</f>
        <v>0</v>
      </c>
      <c r="AA4" s="298">
        <f>((((M4-L4)*0.06)/20*1000)*100)</f>
        <v>810.00000000000034</v>
      </c>
      <c r="AB4" s="298">
        <f>((((L4-K4)*0.06)/20)*1000)*100</f>
        <v>0</v>
      </c>
      <c r="AC4" s="77">
        <f>((((P4-O4)*0.06)/20)*1000)*100</f>
        <v>690.00000000000011</v>
      </c>
      <c r="AD4" s="77">
        <f>((((O4-N4)*0.06)/20)*1000)*100</f>
        <v>209.99999999999977</v>
      </c>
      <c r="AE4" s="77">
        <f>((((S4-R4)*0.06)/20)*1000)*100</f>
        <v>390.00000000000006</v>
      </c>
      <c r="AF4" s="77">
        <f>((((R4-Q4)*0.06)/20)*1000)*100</f>
        <v>330</v>
      </c>
      <c r="AH4" s="77">
        <f t="shared" ref="AH4:AH6" si="2">(U4/100)*84</f>
        <v>504</v>
      </c>
      <c r="AI4" s="77">
        <f t="shared" ref="AI4:AI6" si="3">(V4/100)*84</f>
        <v>25.19999999999991</v>
      </c>
      <c r="AJ4" s="296">
        <f t="shared" ref="AJ4:AJ6" si="4">(W4/100)*84</f>
        <v>881.99999999999989</v>
      </c>
      <c r="AK4" s="296">
        <f t="shared" ref="AK4:AK6" si="5">(X4/100)*84</f>
        <v>25.19999999999991</v>
      </c>
      <c r="AL4" s="297">
        <f t="shared" ref="AL4:AL6" si="6">(Y4/100)*84</f>
        <v>554.39999999999975</v>
      </c>
      <c r="AM4" s="297">
        <f t="shared" ref="AM4:AM6" si="7">(Z4/100)*84</f>
        <v>0</v>
      </c>
      <c r="AN4" s="298">
        <f t="shared" ref="AN4:AN6" si="8">(AA4/100)*84</f>
        <v>680.40000000000032</v>
      </c>
      <c r="AO4" s="298">
        <f t="shared" ref="AO4:AO6" si="9">(AB4/100)*84</f>
        <v>0</v>
      </c>
      <c r="AP4" s="346">
        <f t="shared" ref="AP4:AP6" si="10">(AC4/100)*84</f>
        <v>579.60000000000014</v>
      </c>
      <c r="AQ4" s="346">
        <f t="shared" ref="AQ4:AQ6" si="11">(AD4/100)*84</f>
        <v>176.39999999999981</v>
      </c>
      <c r="AR4" s="346">
        <f t="shared" ref="AR4:AR6" si="12">(AE4/100)*84</f>
        <v>327.60000000000002</v>
      </c>
      <c r="AS4" s="346">
        <f t="shared" ref="AS4:AS6" si="13">(AF4/100)*84</f>
        <v>277.2</v>
      </c>
      <c r="AU4" s="77">
        <f t="shared" ref="AU4:AU6" si="14">(U4/100)*60.011</f>
        <v>360.06600000000003</v>
      </c>
      <c r="AV4" s="77">
        <f t="shared" ref="AV4:AV6" si="15">(V4/100)*60.011</f>
        <v>18.003299999999935</v>
      </c>
      <c r="AW4" s="296">
        <f t="shared" ref="AW4:AW6" si="16">(W4/100)*60.011</f>
        <v>630.11549999999988</v>
      </c>
      <c r="AX4" s="296">
        <f t="shared" ref="AX4:AX6" si="17">(X4/100)*60.011</f>
        <v>18.003299999999935</v>
      </c>
      <c r="AY4" s="297">
        <f t="shared" ref="AY4:AY6" si="18">(Y4/100)*60.011</f>
        <v>396.07259999999985</v>
      </c>
      <c r="AZ4" s="297">
        <f t="shared" ref="AZ4:AZ6" si="19">(Z4/100)*60.011</f>
        <v>0</v>
      </c>
      <c r="BA4" s="298">
        <f t="shared" ref="BA4:BA6" si="20">(AA4/100)*60.011</f>
        <v>486.0891000000002</v>
      </c>
      <c r="BB4" s="298">
        <f t="shared" ref="BB4:BB6" si="21">(AB4/100)*60.011</f>
        <v>0</v>
      </c>
      <c r="BC4" s="346">
        <f t="shared" ref="BC4:BC6" si="22">(AC4/100)*60.011</f>
        <v>414.0759000000001</v>
      </c>
      <c r="BD4" s="346">
        <f t="shared" ref="BD4:BD6" si="23">(AD4/100)*60.011</f>
        <v>126.02309999999987</v>
      </c>
      <c r="BE4" s="346">
        <f t="shared" ref="BE4:BE6" si="24">(AE4/100)*60.011</f>
        <v>234.04290000000003</v>
      </c>
      <c r="BF4" s="346">
        <f t="shared" ref="BF4:BF6" si="25">(AF4/100)*60.011</f>
        <v>198.03630000000001</v>
      </c>
      <c r="BI4" s="500">
        <f>(((((BM4-BN4)*0.06)/20)*1000)*$BI$21)/$BI$20</f>
        <v>5.7000000000000011</v>
      </c>
      <c r="BJ4" s="266">
        <f>((((BN4*0.06)/20)*1000)*$BI$21)/$BI$20</f>
        <v>0.29999999999999893</v>
      </c>
      <c r="BK4">
        <f>BI4*$BI$23</f>
        <v>347.70000000000005</v>
      </c>
      <c r="BL4">
        <f>BJ4*$BI$24</f>
        <v>17.999999999999936</v>
      </c>
      <c r="BM4" s="305">
        <f t="shared" ref="BM4:BM13" si="26">D4-C4</f>
        <v>2</v>
      </c>
      <c r="BN4" s="305">
        <f t="shared" ref="BN4:BN13" si="27">C4-B4</f>
        <v>9.9999999999999645E-2</v>
      </c>
      <c r="BO4" s="500">
        <f>((BS4-BT4)*$BI$21)/$BI$20</f>
        <v>3.4</v>
      </c>
      <c r="BP4" s="266">
        <f>(BT4*$BI$21)/$BI$20</f>
        <v>9.9999999999999645E-2</v>
      </c>
      <c r="BQ4">
        <f>BO4*$BI$23</f>
        <v>207.4</v>
      </c>
      <c r="BR4">
        <f>BP4*$BI$24</f>
        <v>5.9999999999999787</v>
      </c>
      <c r="BS4" s="305">
        <f t="shared" ref="BS4:BS13" si="28">G4-F4</f>
        <v>3.5</v>
      </c>
      <c r="BT4" s="305">
        <f t="shared" ref="BT4:BT13" si="29">F4-E4</f>
        <v>9.9999999999999645E-2</v>
      </c>
      <c r="BU4" s="500">
        <f>(((((BY4-BZ4)*0.06)/20)*1000)*$BI$21)/$BI$20</f>
        <v>6.599999999999997</v>
      </c>
      <c r="BV4" s="266">
        <f>((((BZ4*0.06)/20)*1000)*$BI$21)/$BI$20</f>
        <v>0</v>
      </c>
      <c r="BW4">
        <f>BU4*$BI$23</f>
        <v>402.5999999999998</v>
      </c>
      <c r="BX4">
        <f>BV4*$BI$24</f>
        <v>0</v>
      </c>
      <c r="BY4" s="305">
        <f t="shared" ref="BY4:BY13" si="30">J4-I4</f>
        <v>2.1999999999999993</v>
      </c>
      <c r="BZ4" s="305">
        <f t="shared" ref="BZ4:BZ13" si="31">I4-H4</f>
        <v>0</v>
      </c>
      <c r="CA4" s="500">
        <f>((CE4-CF4)*$BI$21)/$BI$20</f>
        <v>2.7000000000000011</v>
      </c>
      <c r="CB4" s="266">
        <f>((((CF4*0.06)/20)*1000)*$BI$21)/$BI$20</f>
        <v>0</v>
      </c>
      <c r="CC4">
        <f>CA4*$BI$23</f>
        <v>164.70000000000007</v>
      </c>
      <c r="CD4">
        <f>CB4*$BI$24</f>
        <v>0</v>
      </c>
      <c r="CE4" s="305">
        <f t="shared" ref="CE4:CE13" si="32">M4-L4</f>
        <v>2.7000000000000011</v>
      </c>
      <c r="CF4" s="305">
        <f t="shared" ref="CF4:CF13" si="33">L4-K4</f>
        <v>0</v>
      </c>
      <c r="CG4" s="500">
        <f>((CK4-CL4)*$BI$21)/$BI$20</f>
        <v>1.6000000000000014</v>
      </c>
      <c r="CH4" s="266">
        <f>((((CL4*0.06)/20)*1000)*$BI$21)/$BI$20</f>
        <v>2.0999999999999979</v>
      </c>
      <c r="CI4">
        <f>CG4*$BI$23</f>
        <v>97.60000000000008</v>
      </c>
      <c r="CJ4">
        <f>CH4*$BI$24</f>
        <v>125.99999999999987</v>
      </c>
      <c r="CK4" s="305">
        <f t="shared" ref="CK4:CK13" si="34">P4-O4</f>
        <v>2.3000000000000007</v>
      </c>
      <c r="CL4" s="305">
        <f t="shared" ref="CL4:CL13" si="35">O4-N4</f>
        <v>0.69999999999999929</v>
      </c>
      <c r="CM4" s="500">
        <f>(((((CQ4-CR4)*0.06)/20)*1000)*$BI$21)/$BI$20</f>
        <v>0.60000000000000053</v>
      </c>
      <c r="CN4" s="266">
        <f>((((CR4*0.06)/20)*1000)*$BI$21)/$BI$20</f>
        <v>3.3</v>
      </c>
      <c r="CO4">
        <f>CM4*$BI$23</f>
        <v>36.60000000000003</v>
      </c>
      <c r="CP4">
        <f>CN4*$BI$24</f>
        <v>198</v>
      </c>
      <c r="CQ4" s="305">
        <f>S4-R4</f>
        <v>1.3000000000000003</v>
      </c>
      <c r="CR4" s="305">
        <f t="shared" ref="CR4:CR13" si="36">R4-Q4</f>
        <v>1.1000000000000001</v>
      </c>
      <c r="CT4">
        <f>BQ4-BK4</f>
        <v>-140.30000000000004</v>
      </c>
      <c r="CU4">
        <f t="shared" ref="CU4:CU13" si="37">BW4-BK4</f>
        <v>54.89999999999975</v>
      </c>
      <c r="CV4">
        <f t="shared" ref="CV4:CV13" si="38">CC4-BK4</f>
        <v>-182.99999999999997</v>
      </c>
      <c r="CW4">
        <f t="shared" ref="CW4:CW13" si="39">AVERAGE(CU4:CV4)</f>
        <v>-64.050000000000111</v>
      </c>
    </row>
    <row r="5" spans="1:101" s="619" customFormat="1" ht="16" thickBot="1">
      <c r="A5" s="618">
        <v>44644</v>
      </c>
      <c r="B5" s="638">
        <v>20.5</v>
      </c>
      <c r="C5" s="638">
        <v>20.7</v>
      </c>
      <c r="D5" s="639">
        <v>25.2</v>
      </c>
      <c r="E5" s="640">
        <v>25.3</v>
      </c>
      <c r="F5" s="640">
        <v>25.4</v>
      </c>
      <c r="G5" s="641">
        <v>30.3</v>
      </c>
      <c r="H5" s="642">
        <v>30.3</v>
      </c>
      <c r="I5" s="642">
        <v>30.5</v>
      </c>
      <c r="J5" s="643">
        <v>35.1</v>
      </c>
      <c r="K5" s="644">
        <v>35.1</v>
      </c>
      <c r="L5" s="644">
        <v>35.200000000000003</v>
      </c>
      <c r="M5" s="645">
        <v>39.799999999999997</v>
      </c>
      <c r="N5" s="646">
        <v>39.799999999999997</v>
      </c>
      <c r="O5" s="646">
        <v>42.4</v>
      </c>
      <c r="P5" s="647">
        <v>46.4</v>
      </c>
      <c r="Q5" s="638">
        <v>13.8</v>
      </c>
      <c r="R5" s="638">
        <v>16.3</v>
      </c>
      <c r="S5" s="639">
        <v>20.5</v>
      </c>
      <c r="T5" s="638"/>
      <c r="U5" s="632">
        <f t="shared" ref="U5:U6" si="40">(D5-C5)*100</f>
        <v>450</v>
      </c>
      <c r="V5" s="632">
        <f t="shared" ref="V5:V6" si="41">(C5-B5)*100</f>
        <v>19.999999999999929</v>
      </c>
      <c r="W5" s="633">
        <f t="shared" ref="W5:W6" si="42">(G5-F5)*100</f>
        <v>490.00000000000023</v>
      </c>
      <c r="X5" s="633">
        <f t="shared" ref="X5:X6" si="43">(F5-E5)*100</f>
        <v>9.9999999999997868</v>
      </c>
      <c r="Y5" s="634">
        <f t="shared" ref="Y5:Y6" si="44">(J5-I5)*100</f>
        <v>460.00000000000011</v>
      </c>
      <c r="Z5" s="634">
        <f t="shared" ref="Z5:Z6" si="45">(I5-H5)*100</f>
        <v>19.999999999999929</v>
      </c>
      <c r="AA5" s="635">
        <f t="shared" ref="AA5:AA6" si="46">(M5-L5)*100</f>
        <v>459.99999999999943</v>
      </c>
      <c r="AB5" s="635">
        <f t="shared" ref="AB5:AB6" si="47">(L5-K5)*100</f>
        <v>10.000000000000142</v>
      </c>
      <c r="AC5" s="632">
        <f t="shared" ref="AC5:AC6" si="48">(P5-O5)*100</f>
        <v>400</v>
      </c>
      <c r="AD5" s="632">
        <f t="shared" ref="AD5:AD6" si="49">(O5-N5)*100</f>
        <v>260.00000000000011</v>
      </c>
      <c r="AE5" s="632">
        <f t="shared" ref="AE5:AE6" si="50">(S5-R5)*100</f>
        <v>419.99999999999994</v>
      </c>
      <c r="AF5" s="632">
        <f t="shared" ref="AF5:AF6" si="51">(R5-Q5)*100</f>
        <v>250</v>
      </c>
      <c r="AG5" s="632"/>
      <c r="AH5" s="632">
        <f t="shared" si="2"/>
        <v>378</v>
      </c>
      <c r="AI5" s="632">
        <f t="shared" si="3"/>
        <v>16.79999999999994</v>
      </c>
      <c r="AJ5" s="633">
        <f t="shared" si="4"/>
        <v>411.60000000000019</v>
      </c>
      <c r="AK5" s="633">
        <f t="shared" si="5"/>
        <v>8.3999999999998209</v>
      </c>
      <c r="AL5" s="634">
        <f t="shared" si="6"/>
        <v>386.40000000000009</v>
      </c>
      <c r="AM5" s="634">
        <f t="shared" si="7"/>
        <v>16.79999999999994</v>
      </c>
      <c r="AN5" s="635">
        <f t="shared" si="8"/>
        <v>386.39999999999952</v>
      </c>
      <c r="AO5" s="635">
        <f t="shared" si="9"/>
        <v>8.4000000000001194</v>
      </c>
      <c r="AP5" s="648">
        <f t="shared" si="10"/>
        <v>336</v>
      </c>
      <c r="AQ5" s="648">
        <f t="shared" si="11"/>
        <v>218.40000000000009</v>
      </c>
      <c r="AR5" s="648">
        <f t="shared" si="12"/>
        <v>352.79999999999995</v>
      </c>
      <c r="AS5" s="648">
        <f t="shared" si="13"/>
        <v>210</v>
      </c>
      <c r="AT5" s="632"/>
      <c r="AU5" s="632">
        <f t="shared" si="14"/>
        <v>270.04950000000002</v>
      </c>
      <c r="AV5" s="632">
        <f t="shared" si="15"/>
        <v>12.002199999999958</v>
      </c>
      <c r="AW5" s="633">
        <f t="shared" si="16"/>
        <v>294.05390000000017</v>
      </c>
      <c r="AX5" s="633">
        <f t="shared" si="17"/>
        <v>6.0010999999998722</v>
      </c>
      <c r="AY5" s="634">
        <f t="shared" si="18"/>
        <v>276.05060000000009</v>
      </c>
      <c r="AZ5" s="634">
        <f t="shared" si="19"/>
        <v>12.002199999999958</v>
      </c>
      <c r="BA5" s="635">
        <f t="shared" si="20"/>
        <v>276.05059999999969</v>
      </c>
      <c r="BB5" s="635">
        <f t="shared" si="21"/>
        <v>6.0011000000000854</v>
      </c>
      <c r="BC5" s="648">
        <f t="shared" si="22"/>
        <v>240.04400000000001</v>
      </c>
      <c r="BD5" s="648">
        <f t="shared" si="23"/>
        <v>156.02860000000007</v>
      </c>
      <c r="BE5" s="648">
        <f t="shared" si="24"/>
        <v>252.04619999999997</v>
      </c>
      <c r="BF5" s="648">
        <f t="shared" si="25"/>
        <v>150.0275</v>
      </c>
      <c r="BI5" s="191">
        <f>((BM5-BN5)*$BI$21)/$BI$20</f>
        <v>4.3000000000000007</v>
      </c>
      <c r="BJ5" s="619">
        <f>(BN5*$BI$21)/$BI$20</f>
        <v>0.19999999999999929</v>
      </c>
      <c r="BK5" s="619">
        <f t="shared" ref="BK5:BK13" si="52">BI5*$BI$23</f>
        <v>262.30000000000007</v>
      </c>
      <c r="BL5" s="619">
        <f t="shared" ref="BL5:BL13" si="53">BJ5*$BI$24</f>
        <v>11.999999999999957</v>
      </c>
      <c r="BM5" s="638">
        <f t="shared" si="26"/>
        <v>4.5</v>
      </c>
      <c r="BN5" s="638">
        <f t="shared" si="27"/>
        <v>0.19999999999999929</v>
      </c>
      <c r="BO5" s="191">
        <f>((BS5-BT5)*$BI$21)/$BI$20</f>
        <v>4.8000000000000043</v>
      </c>
      <c r="BP5" s="619">
        <f>(BT5*$BI$21)/$BI$20</f>
        <v>9.9999999999997868E-2</v>
      </c>
      <c r="BQ5" s="619">
        <f t="shared" ref="BQ5:BQ13" si="54">BO5*$BI$23</f>
        <v>292.80000000000024</v>
      </c>
      <c r="BR5" s="619">
        <f t="shared" ref="BR5:BR13" si="55">BP5*$BI$24</f>
        <v>5.9999999999998721</v>
      </c>
      <c r="BS5" s="638">
        <f t="shared" si="28"/>
        <v>4.9000000000000021</v>
      </c>
      <c r="BT5" s="638">
        <f t="shared" si="29"/>
        <v>9.9999999999997868E-2</v>
      </c>
      <c r="BU5" s="191">
        <f>((BY5-BZ5)*$BI$21)/$BI$20</f>
        <v>4.4000000000000021</v>
      </c>
      <c r="BV5" s="619">
        <f>(BZ5*$BI$21)/$BI$20</f>
        <v>0.19999999999999929</v>
      </c>
      <c r="BW5" s="619">
        <f t="shared" ref="BW5:BW13" si="56">BU5*$BI$23</f>
        <v>268.40000000000015</v>
      </c>
      <c r="BX5" s="619">
        <f t="shared" ref="BX5:BX13" si="57">BV5*$BI$24</f>
        <v>11.999999999999957</v>
      </c>
      <c r="BY5" s="638">
        <f t="shared" si="30"/>
        <v>4.6000000000000014</v>
      </c>
      <c r="BZ5" s="638">
        <f t="shared" si="31"/>
        <v>0.19999999999999929</v>
      </c>
      <c r="CA5" s="191">
        <f>((CE5-CF5)*$BI$21)/$BI$20</f>
        <v>4.4999999999999929</v>
      </c>
      <c r="CB5" s="619">
        <f>(CF5*$BI$21)/$BI$20</f>
        <v>0.10000000000000142</v>
      </c>
      <c r="CC5" s="619">
        <f t="shared" ref="CC5:CC13" si="58">CA5*$BI$23</f>
        <v>274.49999999999955</v>
      </c>
      <c r="CD5" s="619">
        <f t="shared" ref="CD5:CD13" si="59">CB5*$BI$24</f>
        <v>6.0000000000000853</v>
      </c>
      <c r="CE5" s="638">
        <f t="shared" si="32"/>
        <v>4.5999999999999943</v>
      </c>
      <c r="CF5" s="638">
        <f t="shared" si="33"/>
        <v>0.10000000000000142</v>
      </c>
      <c r="CG5" s="191">
        <f>((CK5-CL5)*$BI$21)/$BI$20</f>
        <v>1.3999999999999986</v>
      </c>
      <c r="CH5" s="619">
        <f>(CL5*$BI$21)/$BI$20</f>
        <v>2.6000000000000014</v>
      </c>
      <c r="CI5" s="619">
        <f t="shared" ref="CI5:CI13" si="60">CG5*$BI$23</f>
        <v>85.39999999999992</v>
      </c>
      <c r="CJ5" s="619">
        <f t="shared" ref="CJ5:CJ13" si="61">CH5*$BI$24</f>
        <v>156.00000000000009</v>
      </c>
      <c r="CK5" s="638">
        <f t="shared" si="34"/>
        <v>4</v>
      </c>
      <c r="CL5" s="638">
        <f t="shared" si="35"/>
        <v>2.6000000000000014</v>
      </c>
      <c r="CM5" s="191">
        <f>((CQ5-CR5)*$BI$21)/$BI$20</f>
        <v>1.6999999999999993</v>
      </c>
      <c r="CN5" s="619">
        <f>(CR5*$BI$21)/$BI$20</f>
        <v>2.5</v>
      </c>
      <c r="CO5" s="619">
        <f t="shared" ref="CO5:CO13" si="62">CM5*$BI$23</f>
        <v>103.69999999999996</v>
      </c>
      <c r="CP5" s="619">
        <f t="shared" ref="CP5:CP13" si="63">CN5*$BI$24</f>
        <v>150</v>
      </c>
      <c r="CQ5" s="638">
        <f t="shared" ref="CQ5:CQ13" si="64">S5-R5</f>
        <v>4.1999999999999993</v>
      </c>
      <c r="CR5" s="638">
        <f t="shared" si="36"/>
        <v>2.5</v>
      </c>
      <c r="CT5">
        <f t="shared" ref="CT5:CT13" si="65">BQ5-BK5</f>
        <v>30.500000000000171</v>
      </c>
      <c r="CU5">
        <f t="shared" si="37"/>
        <v>6.1000000000000796</v>
      </c>
      <c r="CV5">
        <f t="shared" si="38"/>
        <v>12.199999999999477</v>
      </c>
      <c r="CW5">
        <f t="shared" si="39"/>
        <v>9.1499999999997783</v>
      </c>
    </row>
    <row r="6" spans="1:101" ht="16" thickTop="1">
      <c r="A6" s="14">
        <v>44648</v>
      </c>
      <c r="B6" s="305">
        <v>20.2</v>
      </c>
      <c r="C6" s="305">
        <v>20.5</v>
      </c>
      <c r="D6" s="331">
        <v>25.3</v>
      </c>
      <c r="E6" s="332">
        <v>25.3</v>
      </c>
      <c r="F6" s="332">
        <v>25.5</v>
      </c>
      <c r="G6" s="333">
        <v>29.9</v>
      </c>
      <c r="H6" s="334">
        <v>29.9</v>
      </c>
      <c r="I6" s="334">
        <v>30.1</v>
      </c>
      <c r="J6" s="335">
        <v>34.6</v>
      </c>
      <c r="K6" s="336">
        <v>34.6</v>
      </c>
      <c r="L6" s="336">
        <v>35</v>
      </c>
      <c r="M6" s="337">
        <v>39.4</v>
      </c>
      <c r="N6" s="338">
        <v>39.4</v>
      </c>
      <c r="O6" s="338">
        <v>40.299999999999997</v>
      </c>
      <c r="P6" s="339">
        <v>44.8</v>
      </c>
      <c r="Q6" s="305">
        <v>14.8</v>
      </c>
      <c r="R6" s="305">
        <v>15.4</v>
      </c>
      <c r="S6" s="331">
        <v>20.3</v>
      </c>
      <c r="U6" s="77">
        <f t="shared" si="40"/>
        <v>480.00000000000006</v>
      </c>
      <c r="V6" s="77">
        <f t="shared" si="41"/>
        <v>30.000000000000071</v>
      </c>
      <c r="W6" s="296">
        <f t="shared" si="42"/>
        <v>439.99999999999989</v>
      </c>
      <c r="X6" s="296">
        <f t="shared" si="43"/>
        <v>19.999999999999929</v>
      </c>
      <c r="Y6" s="297">
        <f t="shared" si="44"/>
        <v>450</v>
      </c>
      <c r="Z6" s="297">
        <f t="shared" si="45"/>
        <v>20.000000000000284</v>
      </c>
      <c r="AA6" s="298">
        <f t="shared" si="46"/>
        <v>439.99999999999989</v>
      </c>
      <c r="AB6" s="298">
        <f t="shared" si="47"/>
        <v>39.999999999999858</v>
      </c>
      <c r="AC6" s="77">
        <f t="shared" si="48"/>
        <v>450</v>
      </c>
      <c r="AD6" s="77">
        <f t="shared" si="49"/>
        <v>89.999999999999858</v>
      </c>
      <c r="AE6" s="77">
        <f t="shared" si="50"/>
        <v>490.00000000000006</v>
      </c>
      <c r="AF6" s="77">
        <f t="shared" si="51"/>
        <v>59.999999999999964</v>
      </c>
      <c r="AH6" s="77">
        <f t="shared" si="2"/>
        <v>403.20000000000005</v>
      </c>
      <c r="AI6" s="77">
        <f t="shared" si="3"/>
        <v>25.20000000000006</v>
      </c>
      <c r="AJ6" s="296">
        <f t="shared" si="4"/>
        <v>369.59999999999991</v>
      </c>
      <c r="AK6" s="296">
        <f t="shared" si="5"/>
        <v>16.79999999999994</v>
      </c>
      <c r="AL6" s="297">
        <f t="shared" si="6"/>
        <v>378</v>
      </c>
      <c r="AM6" s="297">
        <f t="shared" si="7"/>
        <v>16.800000000000239</v>
      </c>
      <c r="AN6" s="298">
        <f t="shared" si="8"/>
        <v>369.59999999999991</v>
      </c>
      <c r="AO6" s="298">
        <f t="shared" si="9"/>
        <v>33.599999999999881</v>
      </c>
      <c r="AP6" s="346">
        <f t="shared" si="10"/>
        <v>378</v>
      </c>
      <c r="AQ6" s="346">
        <f t="shared" si="11"/>
        <v>75.599999999999881</v>
      </c>
      <c r="AR6" s="346">
        <f t="shared" si="12"/>
        <v>411.6</v>
      </c>
      <c r="AS6" s="346">
        <f t="shared" si="13"/>
        <v>50.39999999999997</v>
      </c>
      <c r="AU6" s="77">
        <f t="shared" si="14"/>
        <v>288.05280000000005</v>
      </c>
      <c r="AV6" s="77">
        <f t="shared" si="15"/>
        <v>18.003300000000042</v>
      </c>
      <c r="AW6" s="296">
        <f t="shared" si="16"/>
        <v>264.0483999999999</v>
      </c>
      <c r="AX6" s="296">
        <f t="shared" si="17"/>
        <v>12.002199999999958</v>
      </c>
      <c r="AY6" s="297">
        <f t="shared" si="18"/>
        <v>270.04950000000002</v>
      </c>
      <c r="AZ6" s="297">
        <f t="shared" si="19"/>
        <v>12.002200000000171</v>
      </c>
      <c r="BA6" s="298">
        <f t="shared" si="20"/>
        <v>264.0483999999999</v>
      </c>
      <c r="BB6" s="298">
        <f t="shared" si="21"/>
        <v>24.004399999999915</v>
      </c>
      <c r="BC6" s="346">
        <f t="shared" si="22"/>
        <v>270.04950000000002</v>
      </c>
      <c r="BD6" s="346">
        <f t="shared" si="23"/>
        <v>54.009899999999917</v>
      </c>
      <c r="BE6" s="346">
        <f t="shared" si="24"/>
        <v>294.05390000000006</v>
      </c>
      <c r="BF6" s="346">
        <f t="shared" si="25"/>
        <v>36.006599999999978</v>
      </c>
      <c r="BI6" s="12">
        <f t="shared" ref="BI6:BI13" si="66">((BM6-BN6)*$BI$21)/$BI$20</f>
        <v>4.5</v>
      </c>
      <c r="BJ6">
        <f t="shared" ref="BJ6:BJ13" si="67">(BN6*$BI$21)/$BI$20</f>
        <v>0.30000000000000071</v>
      </c>
      <c r="BK6">
        <f t="shared" si="52"/>
        <v>274.5</v>
      </c>
      <c r="BL6">
        <f t="shared" si="53"/>
        <v>18.000000000000043</v>
      </c>
      <c r="BM6" s="305">
        <f t="shared" si="26"/>
        <v>4.8000000000000007</v>
      </c>
      <c r="BN6" s="305">
        <f t="shared" si="27"/>
        <v>0.30000000000000071</v>
      </c>
      <c r="BO6" s="12">
        <f t="shared" ref="BO6:BO13" si="68">((BS6-BT6)*$BI$21)/$BI$20</f>
        <v>4.1999999999999993</v>
      </c>
      <c r="BP6">
        <f t="shared" ref="BP6:BP13" si="69">(BT6*$BI$21)/$BI$20</f>
        <v>0.19999999999999929</v>
      </c>
      <c r="BQ6">
        <f t="shared" si="54"/>
        <v>256.19999999999993</v>
      </c>
      <c r="BR6">
        <f t="shared" si="55"/>
        <v>11.999999999999957</v>
      </c>
      <c r="BS6" s="305">
        <f t="shared" si="28"/>
        <v>4.3999999999999986</v>
      </c>
      <c r="BT6" s="305">
        <f t="shared" si="29"/>
        <v>0.19999999999999929</v>
      </c>
      <c r="BU6" s="12">
        <f t="shared" ref="BU6:BU13" si="70">((BY6-BZ6)*$BI$21)/$BI$20</f>
        <v>4.2999999999999972</v>
      </c>
      <c r="BV6">
        <f t="shared" ref="BV6:BV13" si="71">(BZ6*$BI$21)/$BI$20</f>
        <v>0.20000000000000284</v>
      </c>
      <c r="BW6">
        <f t="shared" si="56"/>
        <v>262.29999999999984</v>
      </c>
      <c r="BX6">
        <f t="shared" si="57"/>
        <v>12.000000000000171</v>
      </c>
      <c r="BY6" s="305">
        <f t="shared" si="30"/>
        <v>4.5</v>
      </c>
      <c r="BZ6" s="305">
        <f t="shared" si="31"/>
        <v>0.20000000000000284</v>
      </c>
      <c r="CA6" s="12">
        <f t="shared" ref="CA6:CA13" si="72">((CE6-CF6)*$BI$21)/$BI$20</f>
        <v>4</v>
      </c>
      <c r="CB6">
        <f t="shared" ref="CB6:CB13" si="73">(CF6*$BI$21)/$BI$20</f>
        <v>0.39999999999999858</v>
      </c>
      <c r="CC6">
        <f t="shared" si="58"/>
        <v>244</v>
      </c>
      <c r="CD6">
        <f t="shared" si="59"/>
        <v>23.999999999999915</v>
      </c>
      <c r="CE6" s="305">
        <f t="shared" si="32"/>
        <v>4.3999999999999986</v>
      </c>
      <c r="CF6" s="305">
        <f t="shared" si="33"/>
        <v>0.39999999999999858</v>
      </c>
      <c r="CG6" s="12">
        <f t="shared" ref="CG6:CG13" si="74">((CK6-CL6)*$BI$21)/$BI$20</f>
        <v>3.6000000000000014</v>
      </c>
      <c r="CH6">
        <f t="shared" ref="CH6:CH13" si="75">(CL6*$BI$21)/$BI$20</f>
        <v>0.89999999999999858</v>
      </c>
      <c r="CI6">
        <f t="shared" si="60"/>
        <v>219.60000000000008</v>
      </c>
      <c r="CJ6">
        <f t="shared" si="61"/>
        <v>53.999999999999915</v>
      </c>
      <c r="CK6" s="305">
        <f t="shared" si="34"/>
        <v>4.5</v>
      </c>
      <c r="CL6" s="305">
        <f t="shared" si="35"/>
        <v>0.89999999999999858</v>
      </c>
      <c r="CM6" s="12">
        <f t="shared" ref="CM6:CM13" si="76">((CQ6-CR6)*$BI$21)/$BI$20</f>
        <v>4.3000000000000007</v>
      </c>
      <c r="CN6">
        <f t="shared" ref="CN6:CN13" si="77">(CR6*$BI$21)/$BI$20</f>
        <v>0.59999999999999964</v>
      </c>
      <c r="CO6">
        <f t="shared" si="62"/>
        <v>262.30000000000007</v>
      </c>
      <c r="CP6">
        <f t="shared" si="63"/>
        <v>35.999999999999979</v>
      </c>
      <c r="CQ6" s="305">
        <f t="shared" si="64"/>
        <v>4.9000000000000004</v>
      </c>
      <c r="CR6" s="305">
        <f t="shared" si="36"/>
        <v>0.59999999999999964</v>
      </c>
      <c r="CT6">
        <f t="shared" si="65"/>
        <v>-18.300000000000068</v>
      </c>
      <c r="CU6">
        <f t="shared" si="37"/>
        <v>-12.200000000000159</v>
      </c>
      <c r="CV6">
        <f t="shared" si="38"/>
        <v>-30.5</v>
      </c>
      <c r="CW6">
        <f t="shared" si="39"/>
        <v>-21.35000000000008</v>
      </c>
    </row>
    <row r="7" spans="1:101">
      <c r="A7" s="39">
        <v>44650</v>
      </c>
      <c r="B7" s="305">
        <v>7.1</v>
      </c>
      <c r="C7" s="305">
        <v>7.4</v>
      </c>
      <c r="D7" s="331">
        <v>12.1</v>
      </c>
      <c r="E7" s="332">
        <v>12.1</v>
      </c>
      <c r="F7" s="332">
        <v>12.3</v>
      </c>
      <c r="G7" s="333">
        <v>17.100000000000001</v>
      </c>
      <c r="H7" s="334">
        <v>17.100000000000001</v>
      </c>
      <c r="I7" s="334">
        <v>17.399999999999999</v>
      </c>
      <c r="J7" s="335">
        <v>22</v>
      </c>
      <c r="K7" s="336">
        <v>22</v>
      </c>
      <c r="L7" s="336">
        <v>22.1</v>
      </c>
      <c r="M7" s="337">
        <v>27.6</v>
      </c>
      <c r="N7" s="338">
        <v>27.6</v>
      </c>
      <c r="O7" s="338">
        <v>28.2</v>
      </c>
      <c r="P7" s="339">
        <v>32.4</v>
      </c>
      <c r="Q7" s="305">
        <v>1.4</v>
      </c>
      <c r="R7" s="305">
        <v>1.9</v>
      </c>
      <c r="S7" s="331">
        <v>7.1</v>
      </c>
      <c r="U7" s="77">
        <f t="shared" ref="U7:U13" si="78">(D7-C7)*100</f>
        <v>469.99999999999994</v>
      </c>
      <c r="V7" s="77">
        <f t="shared" ref="V7:V13" si="79">(C7-B7)*100</f>
        <v>30.000000000000071</v>
      </c>
      <c r="W7" s="296">
        <f t="shared" ref="W7:W13" si="80">(G7-F7)*100</f>
        <v>480.00000000000006</v>
      </c>
      <c r="X7" s="296">
        <f t="shared" ref="X7:X13" si="81">(F7-E7)*100</f>
        <v>20.000000000000107</v>
      </c>
      <c r="Y7" s="297">
        <f t="shared" ref="Y7:Y13" si="82">(J7-I7)*100</f>
        <v>460.00000000000011</v>
      </c>
      <c r="Z7" s="297">
        <f t="shared" ref="Z7:Z13" si="83">(I7-H7)*100</f>
        <v>29.999999999999716</v>
      </c>
      <c r="AA7" s="298">
        <f t="shared" ref="AA7:AA13" si="84">(M7-L7)*100</f>
        <v>550</v>
      </c>
      <c r="AB7" s="298">
        <f t="shared" ref="AB7:AB13" si="85">(L7-K7)*100</f>
        <v>10.000000000000142</v>
      </c>
      <c r="AC7" s="77">
        <f t="shared" ref="AC7:AC13" si="86">(P7-O7)*100</f>
        <v>419.99999999999994</v>
      </c>
      <c r="AD7" s="77">
        <f t="shared" ref="AD7:AD13" si="87">(O7-N7)*100</f>
        <v>59.999999999999787</v>
      </c>
      <c r="AE7" s="77">
        <f t="shared" ref="AE7:AE13" si="88">(S7-R7)*100</f>
        <v>519.99999999999989</v>
      </c>
      <c r="AF7" s="77">
        <f t="shared" ref="AF7:AF13" si="89">(R7-Q7)*100</f>
        <v>50</v>
      </c>
      <c r="AH7" s="77">
        <f t="shared" ref="AH7:AH13" si="90">(U7/100)*84</f>
        <v>394.79999999999995</v>
      </c>
      <c r="AI7" s="77">
        <f t="shared" ref="AI7:AI13" si="91">(V7/100)*84</f>
        <v>25.20000000000006</v>
      </c>
      <c r="AJ7" s="296">
        <f t="shared" ref="AJ7:AJ13" si="92">(W7/100)*84</f>
        <v>403.20000000000005</v>
      </c>
      <c r="AK7" s="296">
        <f t="shared" ref="AK7:AK13" si="93">(X7/100)*84</f>
        <v>16.80000000000009</v>
      </c>
      <c r="AL7" s="297">
        <f t="shared" ref="AL7:AL13" si="94">(Y7/100)*84</f>
        <v>386.40000000000009</v>
      </c>
      <c r="AM7" s="297">
        <f t="shared" ref="AM7:AM13" si="95">(Z7/100)*84</f>
        <v>25.199999999999761</v>
      </c>
      <c r="AN7" s="298">
        <f t="shared" ref="AN7:AN13" si="96">(AA7/100)*84</f>
        <v>462</v>
      </c>
      <c r="AO7" s="298">
        <f t="shared" ref="AO7:AO13" si="97">(AB7/100)*84</f>
        <v>8.4000000000001194</v>
      </c>
      <c r="AP7" s="346">
        <f t="shared" ref="AP7:AP13" si="98">(AC7/100)*84</f>
        <v>352.79999999999995</v>
      </c>
      <c r="AQ7" s="346">
        <f t="shared" ref="AQ7:AQ13" si="99">(AD7/100)*84</f>
        <v>50.399999999999821</v>
      </c>
      <c r="AR7" s="346">
        <f t="shared" ref="AR7:AR13" si="100">(AE7/100)*84</f>
        <v>436.79999999999995</v>
      </c>
      <c r="AS7" s="346">
        <f t="shared" ref="AS7:AS13" si="101">(AF7/100)*84</f>
        <v>42</v>
      </c>
      <c r="AU7" s="77">
        <f t="shared" ref="AU7:AU13" si="102">(U7/100)*60.011</f>
        <v>282.05169999999998</v>
      </c>
      <c r="AV7" s="77">
        <f t="shared" ref="AV7:AV13" si="103">(V7/100)*60.011</f>
        <v>18.003300000000042</v>
      </c>
      <c r="AW7" s="296">
        <f t="shared" ref="AW7:AW13" si="104">(W7/100)*60.011</f>
        <v>288.05280000000005</v>
      </c>
      <c r="AX7" s="296">
        <f t="shared" ref="AX7:AX13" si="105">(X7/100)*60.011</f>
        <v>12.002200000000064</v>
      </c>
      <c r="AY7" s="297">
        <f t="shared" ref="AY7:AY13" si="106">(Y7/100)*60.011</f>
        <v>276.05060000000009</v>
      </c>
      <c r="AZ7" s="297">
        <f t="shared" ref="AZ7:AZ13" si="107">(Z7/100)*60.011</f>
        <v>18.003299999999829</v>
      </c>
      <c r="BA7" s="298">
        <f t="shared" ref="BA7:BA13" si="108">(AA7/100)*60.011</f>
        <v>330.06049999999999</v>
      </c>
      <c r="BB7" s="298">
        <f t="shared" ref="BB7:BB13" si="109">(AB7/100)*60.011</f>
        <v>6.0011000000000854</v>
      </c>
      <c r="BC7" s="346">
        <f t="shared" ref="BC7:BC13" si="110">(AC7/100)*60.011</f>
        <v>252.04619999999997</v>
      </c>
      <c r="BD7" s="346">
        <f t="shared" ref="BD7:BD13" si="111">(AD7/100)*60.011</f>
        <v>36.006599999999871</v>
      </c>
      <c r="BE7" s="346">
        <f t="shared" ref="BE7:BE13" si="112">(AE7/100)*60.011</f>
        <v>312.05719999999997</v>
      </c>
      <c r="BF7" s="346">
        <f t="shared" ref="BF7:BF13" si="113">(AF7/100)*60.011</f>
        <v>30.005500000000001</v>
      </c>
      <c r="BI7" s="12">
        <f t="shared" si="66"/>
        <v>4.3999999999999986</v>
      </c>
      <c r="BJ7">
        <f t="shared" si="67"/>
        <v>0.30000000000000071</v>
      </c>
      <c r="BK7">
        <f t="shared" si="52"/>
        <v>268.39999999999992</v>
      </c>
      <c r="BL7">
        <f t="shared" si="53"/>
        <v>18.000000000000043</v>
      </c>
      <c r="BM7" s="305">
        <f t="shared" si="26"/>
        <v>4.6999999999999993</v>
      </c>
      <c r="BN7" s="305">
        <f t="shared" si="27"/>
        <v>0.30000000000000071</v>
      </c>
      <c r="BO7" s="12">
        <f t="shared" si="68"/>
        <v>4.5999999999999996</v>
      </c>
      <c r="BP7">
        <f t="shared" si="69"/>
        <v>0.20000000000000107</v>
      </c>
      <c r="BQ7">
        <f t="shared" si="54"/>
        <v>280.59999999999997</v>
      </c>
      <c r="BR7">
        <f t="shared" si="55"/>
        <v>12.000000000000064</v>
      </c>
      <c r="BS7" s="305">
        <f t="shared" si="28"/>
        <v>4.8000000000000007</v>
      </c>
      <c r="BT7" s="305">
        <f t="shared" si="29"/>
        <v>0.20000000000000107</v>
      </c>
      <c r="BU7" s="12">
        <f t="shared" si="70"/>
        <v>4.3000000000000043</v>
      </c>
      <c r="BV7">
        <f t="shared" si="71"/>
        <v>0.29999999999999716</v>
      </c>
      <c r="BW7">
        <f t="shared" si="56"/>
        <v>262.30000000000024</v>
      </c>
      <c r="BX7">
        <f t="shared" si="57"/>
        <v>17.999999999999829</v>
      </c>
      <c r="BY7" s="305">
        <f t="shared" si="30"/>
        <v>4.6000000000000014</v>
      </c>
      <c r="BZ7" s="305">
        <f t="shared" si="31"/>
        <v>0.29999999999999716</v>
      </c>
      <c r="CA7" s="12">
        <f t="shared" si="72"/>
        <v>5.3999999999999986</v>
      </c>
      <c r="CB7">
        <f t="shared" si="73"/>
        <v>0.10000000000000142</v>
      </c>
      <c r="CC7">
        <f t="shared" si="58"/>
        <v>329.39999999999992</v>
      </c>
      <c r="CD7">
        <f t="shared" si="59"/>
        <v>6.0000000000000853</v>
      </c>
      <c r="CE7" s="305">
        <f t="shared" si="32"/>
        <v>5.5</v>
      </c>
      <c r="CF7" s="305">
        <f t="shared" si="33"/>
        <v>0.10000000000000142</v>
      </c>
      <c r="CG7" s="12">
        <f t="shared" si="74"/>
        <v>3.6000000000000014</v>
      </c>
      <c r="CH7">
        <f t="shared" si="75"/>
        <v>0.59999999999999787</v>
      </c>
      <c r="CI7">
        <f t="shared" si="60"/>
        <v>219.60000000000008</v>
      </c>
      <c r="CJ7">
        <f t="shared" si="61"/>
        <v>35.999999999999872</v>
      </c>
      <c r="CK7" s="305">
        <f t="shared" si="34"/>
        <v>4.1999999999999993</v>
      </c>
      <c r="CL7" s="305">
        <f t="shared" si="35"/>
        <v>0.59999999999999787</v>
      </c>
      <c r="CM7" s="12">
        <f t="shared" si="76"/>
        <v>4.6999999999999993</v>
      </c>
      <c r="CN7">
        <f t="shared" si="77"/>
        <v>0.5</v>
      </c>
      <c r="CO7">
        <f t="shared" si="62"/>
        <v>286.69999999999993</v>
      </c>
      <c r="CP7">
        <f t="shared" si="63"/>
        <v>30</v>
      </c>
      <c r="CQ7" s="305">
        <f t="shared" si="64"/>
        <v>5.1999999999999993</v>
      </c>
      <c r="CR7" s="305">
        <f t="shared" si="36"/>
        <v>0.5</v>
      </c>
      <c r="CT7">
        <f t="shared" si="65"/>
        <v>12.200000000000045</v>
      </c>
      <c r="CU7">
        <f t="shared" si="37"/>
        <v>-6.0999999999996817</v>
      </c>
      <c r="CV7">
        <f t="shared" si="38"/>
        <v>61</v>
      </c>
      <c r="CW7">
        <f t="shared" si="39"/>
        <v>27.450000000000159</v>
      </c>
    </row>
    <row r="8" spans="1:101">
      <c r="A8" s="39">
        <v>44652</v>
      </c>
      <c r="B8" s="305">
        <v>14.6</v>
      </c>
      <c r="C8" s="305">
        <v>15.2</v>
      </c>
      <c r="D8" s="331">
        <v>20.100000000000001</v>
      </c>
      <c r="E8" s="332">
        <v>20.100000000000001</v>
      </c>
      <c r="F8" s="332">
        <v>20.7</v>
      </c>
      <c r="G8" s="333">
        <v>25</v>
      </c>
      <c r="H8" s="334">
        <v>25</v>
      </c>
      <c r="I8" s="334">
        <v>25.2</v>
      </c>
      <c r="J8" s="335">
        <v>30</v>
      </c>
      <c r="K8" s="336">
        <v>30</v>
      </c>
      <c r="L8" s="336">
        <v>30.4</v>
      </c>
      <c r="M8" s="337">
        <v>35.6</v>
      </c>
      <c r="N8" s="338">
        <v>35.6</v>
      </c>
      <c r="O8" s="338">
        <v>36.9</v>
      </c>
      <c r="P8" s="339">
        <v>40.4</v>
      </c>
      <c r="Q8" s="305">
        <v>9.4</v>
      </c>
      <c r="R8" s="305">
        <v>9.9</v>
      </c>
      <c r="S8" s="331">
        <v>14.6</v>
      </c>
      <c r="U8" s="77">
        <f t="shared" si="78"/>
        <v>490.00000000000023</v>
      </c>
      <c r="V8" s="77">
        <f t="shared" si="79"/>
        <v>59.999999999999964</v>
      </c>
      <c r="W8" s="296">
        <f t="shared" si="80"/>
        <v>430.00000000000006</v>
      </c>
      <c r="X8" s="296">
        <f t="shared" si="81"/>
        <v>59.999999999999787</v>
      </c>
      <c r="Y8" s="297">
        <f t="shared" si="82"/>
        <v>480.00000000000006</v>
      </c>
      <c r="Z8" s="297">
        <f t="shared" si="83"/>
        <v>19.999999999999929</v>
      </c>
      <c r="AA8" s="298">
        <f t="shared" si="84"/>
        <v>520.00000000000023</v>
      </c>
      <c r="AB8" s="298">
        <f t="shared" si="85"/>
        <v>39.999999999999858</v>
      </c>
      <c r="AC8" s="77">
        <f t="shared" si="86"/>
        <v>350</v>
      </c>
      <c r="AD8" s="77">
        <f t="shared" si="87"/>
        <v>129.99999999999972</v>
      </c>
      <c r="AE8" s="77">
        <f t="shared" si="88"/>
        <v>469.99999999999994</v>
      </c>
      <c r="AF8" s="77">
        <f t="shared" si="89"/>
        <v>50</v>
      </c>
      <c r="AH8" s="77">
        <f t="shared" si="90"/>
        <v>411.60000000000019</v>
      </c>
      <c r="AI8" s="77">
        <f t="shared" si="91"/>
        <v>50.39999999999997</v>
      </c>
      <c r="AJ8" s="296">
        <f t="shared" si="92"/>
        <v>361.20000000000005</v>
      </c>
      <c r="AK8" s="296">
        <f t="shared" si="93"/>
        <v>50.399999999999821</v>
      </c>
      <c r="AL8" s="297">
        <f t="shared" si="94"/>
        <v>403.20000000000005</v>
      </c>
      <c r="AM8" s="297">
        <f t="shared" si="95"/>
        <v>16.79999999999994</v>
      </c>
      <c r="AN8" s="298">
        <f t="shared" si="96"/>
        <v>436.80000000000018</v>
      </c>
      <c r="AO8" s="298">
        <f t="shared" si="97"/>
        <v>33.599999999999881</v>
      </c>
      <c r="AP8" s="346">
        <f t="shared" si="98"/>
        <v>294</v>
      </c>
      <c r="AQ8" s="346">
        <f t="shared" si="99"/>
        <v>109.19999999999976</v>
      </c>
      <c r="AR8" s="346">
        <f t="shared" si="100"/>
        <v>394.79999999999995</v>
      </c>
      <c r="AS8" s="346">
        <f t="shared" si="101"/>
        <v>42</v>
      </c>
      <c r="AU8" s="77">
        <f t="shared" si="102"/>
        <v>294.05390000000017</v>
      </c>
      <c r="AV8" s="77">
        <f t="shared" si="103"/>
        <v>36.006599999999978</v>
      </c>
      <c r="AW8" s="296">
        <f t="shared" si="104"/>
        <v>258.04730000000006</v>
      </c>
      <c r="AX8" s="296">
        <f t="shared" si="105"/>
        <v>36.006599999999871</v>
      </c>
      <c r="AY8" s="297">
        <f t="shared" si="106"/>
        <v>288.05280000000005</v>
      </c>
      <c r="AZ8" s="297">
        <f t="shared" si="107"/>
        <v>12.002199999999958</v>
      </c>
      <c r="BA8" s="298">
        <f t="shared" si="108"/>
        <v>312.05720000000014</v>
      </c>
      <c r="BB8" s="298">
        <f t="shared" si="109"/>
        <v>24.004399999999915</v>
      </c>
      <c r="BC8" s="346">
        <f t="shared" si="110"/>
        <v>210.0385</v>
      </c>
      <c r="BD8" s="346">
        <f t="shared" si="111"/>
        <v>78.014299999999835</v>
      </c>
      <c r="BE8" s="346">
        <f t="shared" si="112"/>
        <v>282.05169999999998</v>
      </c>
      <c r="BF8" s="346">
        <f t="shared" si="113"/>
        <v>30.005500000000001</v>
      </c>
      <c r="BI8" s="12">
        <f t="shared" si="66"/>
        <v>4.3000000000000025</v>
      </c>
      <c r="BJ8">
        <f t="shared" si="67"/>
        <v>0.59999999999999964</v>
      </c>
      <c r="BK8">
        <f t="shared" si="52"/>
        <v>262.30000000000013</v>
      </c>
      <c r="BL8">
        <f t="shared" si="53"/>
        <v>35.999999999999979</v>
      </c>
      <c r="BM8" s="305">
        <f t="shared" si="26"/>
        <v>4.9000000000000021</v>
      </c>
      <c r="BN8" s="305">
        <f t="shared" si="27"/>
        <v>0.59999999999999964</v>
      </c>
      <c r="BO8" s="12">
        <f t="shared" si="68"/>
        <v>3.7000000000000028</v>
      </c>
      <c r="BP8">
        <f t="shared" si="69"/>
        <v>0.59999999999999787</v>
      </c>
      <c r="BQ8">
        <f t="shared" si="54"/>
        <v>225.70000000000016</v>
      </c>
      <c r="BR8">
        <f t="shared" si="55"/>
        <v>35.999999999999872</v>
      </c>
      <c r="BS8" s="305">
        <f t="shared" si="28"/>
        <v>4.3000000000000007</v>
      </c>
      <c r="BT8" s="305">
        <f t="shared" si="29"/>
        <v>0.59999999999999787</v>
      </c>
      <c r="BU8" s="12">
        <f t="shared" si="70"/>
        <v>4.6000000000000014</v>
      </c>
      <c r="BV8">
        <f t="shared" si="71"/>
        <v>0.19999999999999929</v>
      </c>
      <c r="BW8">
        <f t="shared" si="56"/>
        <v>280.60000000000008</v>
      </c>
      <c r="BX8">
        <f t="shared" si="57"/>
        <v>11.999999999999957</v>
      </c>
      <c r="BY8" s="305">
        <f t="shared" si="30"/>
        <v>4.8000000000000007</v>
      </c>
      <c r="BZ8" s="305">
        <f t="shared" si="31"/>
        <v>0.19999999999999929</v>
      </c>
      <c r="CA8" s="12">
        <f t="shared" si="72"/>
        <v>4.8000000000000043</v>
      </c>
      <c r="CB8">
        <f t="shared" si="73"/>
        <v>0.39999999999999858</v>
      </c>
      <c r="CC8">
        <f t="shared" si="58"/>
        <v>292.80000000000024</v>
      </c>
      <c r="CD8">
        <f t="shared" si="59"/>
        <v>23.999999999999915</v>
      </c>
      <c r="CE8" s="305">
        <f t="shared" si="32"/>
        <v>5.2000000000000028</v>
      </c>
      <c r="CF8" s="305">
        <f t="shared" si="33"/>
        <v>0.39999999999999858</v>
      </c>
      <c r="CG8" s="12">
        <f t="shared" si="74"/>
        <v>2.2000000000000028</v>
      </c>
      <c r="CH8">
        <f t="shared" si="75"/>
        <v>1.2999999999999972</v>
      </c>
      <c r="CI8">
        <f t="shared" si="60"/>
        <v>134.20000000000016</v>
      </c>
      <c r="CJ8">
        <f t="shared" si="61"/>
        <v>77.999999999999829</v>
      </c>
      <c r="CK8" s="305">
        <f t="shared" si="34"/>
        <v>3.5</v>
      </c>
      <c r="CL8" s="305">
        <f t="shared" si="35"/>
        <v>1.2999999999999972</v>
      </c>
      <c r="CM8" s="12">
        <f t="shared" si="76"/>
        <v>4.1999999999999993</v>
      </c>
      <c r="CN8">
        <f t="shared" si="77"/>
        <v>0.5</v>
      </c>
      <c r="CO8">
        <f t="shared" si="62"/>
        <v>256.19999999999993</v>
      </c>
      <c r="CP8">
        <f t="shared" si="63"/>
        <v>30</v>
      </c>
      <c r="CQ8" s="305">
        <f t="shared" si="64"/>
        <v>4.6999999999999993</v>
      </c>
      <c r="CR8" s="305">
        <f t="shared" si="36"/>
        <v>0.5</v>
      </c>
      <c r="CT8">
        <f t="shared" si="65"/>
        <v>-36.599999999999966</v>
      </c>
      <c r="CU8">
        <f t="shared" si="37"/>
        <v>18.299999999999955</v>
      </c>
      <c r="CV8">
        <f t="shared" si="38"/>
        <v>30.500000000000114</v>
      </c>
      <c r="CW8">
        <f t="shared" si="39"/>
        <v>24.400000000000034</v>
      </c>
    </row>
    <row r="9" spans="1:101">
      <c r="A9" s="39">
        <v>44655</v>
      </c>
      <c r="B9" s="305">
        <v>17.2</v>
      </c>
      <c r="C9" s="305">
        <v>17.5</v>
      </c>
      <c r="D9" s="331">
        <v>22.3</v>
      </c>
      <c r="E9" s="332">
        <v>22.3</v>
      </c>
      <c r="F9" s="332">
        <v>22.8</v>
      </c>
      <c r="G9" s="333">
        <v>27.7</v>
      </c>
      <c r="H9" s="334">
        <v>27.7</v>
      </c>
      <c r="I9" s="334">
        <v>28.1</v>
      </c>
      <c r="J9" s="335">
        <v>32.799999999999997</v>
      </c>
      <c r="K9" s="336">
        <v>32.799999999999997</v>
      </c>
      <c r="L9" s="336">
        <v>33.4</v>
      </c>
      <c r="M9" s="337">
        <v>38.299999999999997</v>
      </c>
      <c r="N9" s="338">
        <v>38.299999999999997</v>
      </c>
      <c r="O9" s="338">
        <v>38.700000000000003</v>
      </c>
      <c r="P9" s="339">
        <v>43.3</v>
      </c>
      <c r="Q9" s="305">
        <v>11.8</v>
      </c>
      <c r="R9" s="305">
        <v>12.2</v>
      </c>
      <c r="S9" s="331">
        <v>17.2</v>
      </c>
      <c r="U9" s="77">
        <f t="shared" si="78"/>
        <v>480.00000000000006</v>
      </c>
      <c r="V9" s="77">
        <f t="shared" si="79"/>
        <v>30.000000000000071</v>
      </c>
      <c r="W9" s="296">
        <f t="shared" si="80"/>
        <v>489.99999999999989</v>
      </c>
      <c r="X9" s="296">
        <f t="shared" si="81"/>
        <v>50</v>
      </c>
      <c r="Y9" s="297">
        <f t="shared" si="82"/>
        <v>469.99999999999955</v>
      </c>
      <c r="Z9" s="297">
        <f t="shared" si="83"/>
        <v>40.000000000000213</v>
      </c>
      <c r="AA9" s="298">
        <f t="shared" si="84"/>
        <v>489.99999999999989</v>
      </c>
      <c r="AB9" s="298">
        <f t="shared" si="85"/>
        <v>60.000000000000142</v>
      </c>
      <c r="AC9" s="77">
        <f t="shared" si="86"/>
        <v>459.99999999999943</v>
      </c>
      <c r="AD9" s="77">
        <f t="shared" si="87"/>
        <v>40.000000000000568</v>
      </c>
      <c r="AE9" s="77">
        <f t="shared" si="88"/>
        <v>500</v>
      </c>
      <c r="AF9" s="77">
        <f t="shared" si="89"/>
        <v>39.999999999999858</v>
      </c>
      <c r="AH9" s="77">
        <f t="shared" si="90"/>
        <v>403.20000000000005</v>
      </c>
      <c r="AI9" s="77">
        <f t="shared" si="91"/>
        <v>25.20000000000006</v>
      </c>
      <c r="AJ9" s="296">
        <f t="shared" si="92"/>
        <v>411.59999999999991</v>
      </c>
      <c r="AK9" s="296">
        <f t="shared" si="93"/>
        <v>42</v>
      </c>
      <c r="AL9" s="297">
        <f t="shared" si="94"/>
        <v>394.79999999999961</v>
      </c>
      <c r="AM9" s="297">
        <f t="shared" si="95"/>
        <v>33.600000000000179</v>
      </c>
      <c r="AN9" s="298">
        <f t="shared" si="96"/>
        <v>411.59999999999991</v>
      </c>
      <c r="AO9" s="298">
        <f t="shared" si="97"/>
        <v>50.400000000000119</v>
      </c>
      <c r="AP9" s="346">
        <f t="shared" si="98"/>
        <v>386.39999999999952</v>
      </c>
      <c r="AQ9" s="346">
        <f t="shared" si="99"/>
        <v>33.600000000000477</v>
      </c>
      <c r="AR9" s="346">
        <f t="shared" si="100"/>
        <v>420</v>
      </c>
      <c r="AS9" s="346">
        <f t="shared" si="101"/>
        <v>33.599999999999881</v>
      </c>
      <c r="AU9" s="77">
        <f t="shared" si="102"/>
        <v>288.05280000000005</v>
      </c>
      <c r="AV9" s="77">
        <f t="shared" si="103"/>
        <v>18.003300000000042</v>
      </c>
      <c r="AW9" s="296">
        <f t="shared" si="104"/>
        <v>294.05389999999994</v>
      </c>
      <c r="AX9" s="296">
        <f t="shared" si="105"/>
        <v>30.005500000000001</v>
      </c>
      <c r="AY9" s="297">
        <f t="shared" si="106"/>
        <v>282.05169999999976</v>
      </c>
      <c r="AZ9" s="297">
        <f t="shared" si="107"/>
        <v>24.004400000000128</v>
      </c>
      <c r="BA9" s="298">
        <f t="shared" si="108"/>
        <v>294.05389999999994</v>
      </c>
      <c r="BB9" s="298">
        <f t="shared" si="109"/>
        <v>36.006600000000084</v>
      </c>
      <c r="BC9" s="346">
        <f t="shared" si="110"/>
        <v>276.05059999999969</v>
      </c>
      <c r="BD9" s="346">
        <f t="shared" si="111"/>
        <v>24.004400000000341</v>
      </c>
      <c r="BE9" s="346">
        <f t="shared" si="112"/>
        <v>300.05500000000001</v>
      </c>
      <c r="BF9" s="346">
        <f t="shared" si="113"/>
        <v>24.004399999999915</v>
      </c>
      <c r="BI9" s="12">
        <f t="shared" si="66"/>
        <v>4.5</v>
      </c>
      <c r="BJ9">
        <f t="shared" si="67"/>
        <v>0.30000000000000071</v>
      </c>
      <c r="BK9">
        <f t="shared" si="52"/>
        <v>274.5</v>
      </c>
      <c r="BL9">
        <f t="shared" si="53"/>
        <v>18.000000000000043</v>
      </c>
      <c r="BM9" s="305">
        <f t="shared" si="26"/>
        <v>4.8000000000000007</v>
      </c>
      <c r="BN9" s="305">
        <f t="shared" si="27"/>
        <v>0.30000000000000071</v>
      </c>
      <c r="BO9" s="12">
        <f t="shared" si="68"/>
        <v>4.3999999999999986</v>
      </c>
      <c r="BP9">
        <f t="shared" si="69"/>
        <v>0.5</v>
      </c>
      <c r="BQ9">
        <f t="shared" si="54"/>
        <v>268.39999999999992</v>
      </c>
      <c r="BR9">
        <f t="shared" si="55"/>
        <v>30</v>
      </c>
      <c r="BS9" s="305">
        <f t="shared" si="28"/>
        <v>4.8999999999999986</v>
      </c>
      <c r="BT9" s="305">
        <f t="shared" si="29"/>
        <v>0.5</v>
      </c>
      <c r="BU9" s="12">
        <f t="shared" si="70"/>
        <v>4.2999999999999936</v>
      </c>
      <c r="BV9">
        <f t="shared" si="71"/>
        <v>0.40000000000000213</v>
      </c>
      <c r="BW9">
        <f t="shared" si="56"/>
        <v>262.29999999999961</v>
      </c>
      <c r="BX9">
        <f t="shared" si="57"/>
        <v>24.000000000000128</v>
      </c>
      <c r="BY9" s="305">
        <f t="shared" si="30"/>
        <v>4.6999999999999957</v>
      </c>
      <c r="BZ9" s="305">
        <f t="shared" si="31"/>
        <v>0.40000000000000213</v>
      </c>
      <c r="CA9" s="12">
        <f t="shared" si="72"/>
        <v>4.2999999999999972</v>
      </c>
      <c r="CB9">
        <f t="shared" si="73"/>
        <v>0.60000000000000142</v>
      </c>
      <c r="CC9">
        <f t="shared" si="58"/>
        <v>262.29999999999984</v>
      </c>
      <c r="CD9">
        <f t="shared" si="59"/>
        <v>36.000000000000085</v>
      </c>
      <c r="CE9" s="305">
        <f t="shared" si="32"/>
        <v>4.8999999999999986</v>
      </c>
      <c r="CF9" s="305">
        <f t="shared" si="33"/>
        <v>0.60000000000000142</v>
      </c>
      <c r="CG9" s="12">
        <f t="shared" si="74"/>
        <v>4.1999999999999886</v>
      </c>
      <c r="CH9">
        <f t="shared" si="75"/>
        <v>0.40000000000000568</v>
      </c>
      <c r="CI9">
        <f t="shared" si="60"/>
        <v>256.19999999999931</v>
      </c>
      <c r="CJ9">
        <f t="shared" si="61"/>
        <v>24.000000000000341</v>
      </c>
      <c r="CK9" s="305">
        <f t="shared" si="34"/>
        <v>4.5999999999999943</v>
      </c>
      <c r="CL9" s="305">
        <f t="shared" si="35"/>
        <v>0.40000000000000568</v>
      </c>
      <c r="CM9" s="12">
        <f t="shared" si="76"/>
        <v>4.6000000000000014</v>
      </c>
      <c r="CN9">
        <f t="shared" si="77"/>
        <v>0.39999999999999858</v>
      </c>
      <c r="CO9">
        <f t="shared" si="62"/>
        <v>280.60000000000008</v>
      </c>
      <c r="CP9">
        <f t="shared" si="63"/>
        <v>23.999999999999915</v>
      </c>
      <c r="CQ9" s="305">
        <f t="shared" si="64"/>
        <v>5</v>
      </c>
      <c r="CR9" s="305">
        <f t="shared" si="36"/>
        <v>0.39999999999999858</v>
      </c>
      <c r="CT9">
        <f t="shared" si="65"/>
        <v>-6.1000000000000796</v>
      </c>
      <c r="CU9">
        <f t="shared" si="37"/>
        <v>-12.200000000000387</v>
      </c>
      <c r="CV9">
        <f t="shared" si="38"/>
        <v>-12.200000000000159</v>
      </c>
      <c r="CW9">
        <f t="shared" si="39"/>
        <v>-12.200000000000273</v>
      </c>
    </row>
    <row r="10" spans="1:101">
      <c r="A10" s="39">
        <v>44658</v>
      </c>
      <c r="B10" s="305">
        <v>21.9</v>
      </c>
      <c r="C10" s="305">
        <v>22.4</v>
      </c>
      <c r="D10" s="331">
        <v>26.9</v>
      </c>
      <c r="E10" s="332">
        <v>28.4</v>
      </c>
      <c r="F10" s="332">
        <v>29</v>
      </c>
      <c r="G10" s="333">
        <v>34</v>
      </c>
      <c r="H10" s="334">
        <v>34</v>
      </c>
      <c r="I10" s="334">
        <v>34.299999999999997</v>
      </c>
      <c r="J10" s="335">
        <v>39.299999999999997</v>
      </c>
      <c r="K10" s="336">
        <v>39.299999999999997</v>
      </c>
      <c r="L10" s="336">
        <v>39.6</v>
      </c>
      <c r="M10" s="337">
        <v>44.2</v>
      </c>
      <c r="N10" s="338">
        <v>44.2</v>
      </c>
      <c r="O10" s="338">
        <v>44.5</v>
      </c>
      <c r="P10" s="339">
        <v>49.1</v>
      </c>
      <c r="Q10" s="305">
        <v>17.600000000000001</v>
      </c>
      <c r="R10" s="305">
        <v>17.899999999999999</v>
      </c>
      <c r="S10" s="331">
        <v>21.9</v>
      </c>
      <c r="U10" s="77">
        <f t="shared" si="78"/>
        <v>450</v>
      </c>
      <c r="V10" s="77">
        <f t="shared" si="79"/>
        <v>50</v>
      </c>
      <c r="W10" s="296">
        <f t="shared" si="80"/>
        <v>500</v>
      </c>
      <c r="X10" s="296">
        <f t="shared" si="81"/>
        <v>60.000000000000142</v>
      </c>
      <c r="Y10" s="297">
        <f t="shared" si="82"/>
        <v>500</v>
      </c>
      <c r="Z10" s="297">
        <f t="shared" si="83"/>
        <v>29.999999999999716</v>
      </c>
      <c r="AA10" s="298">
        <f t="shared" si="84"/>
        <v>460.00000000000011</v>
      </c>
      <c r="AB10" s="298">
        <f t="shared" si="85"/>
        <v>30.000000000000426</v>
      </c>
      <c r="AC10" s="77">
        <f t="shared" si="86"/>
        <v>460.00000000000011</v>
      </c>
      <c r="AD10" s="77">
        <f t="shared" si="87"/>
        <v>29.999999999999716</v>
      </c>
      <c r="AE10" s="77">
        <f t="shared" si="88"/>
        <v>400</v>
      </c>
      <c r="AF10" s="77">
        <f t="shared" si="89"/>
        <v>29.999999999999716</v>
      </c>
      <c r="AH10" s="77">
        <f t="shared" si="90"/>
        <v>378</v>
      </c>
      <c r="AI10" s="77">
        <f t="shared" si="91"/>
        <v>42</v>
      </c>
      <c r="AJ10" s="296">
        <f t="shared" si="92"/>
        <v>420</v>
      </c>
      <c r="AK10" s="296">
        <f t="shared" si="93"/>
        <v>50.400000000000119</v>
      </c>
      <c r="AL10" s="297">
        <f t="shared" si="94"/>
        <v>420</v>
      </c>
      <c r="AM10" s="297">
        <f t="shared" si="95"/>
        <v>25.199999999999761</v>
      </c>
      <c r="AN10" s="298">
        <f t="shared" si="96"/>
        <v>386.40000000000009</v>
      </c>
      <c r="AO10" s="298">
        <f t="shared" si="97"/>
        <v>25.200000000000358</v>
      </c>
      <c r="AP10" s="346">
        <f t="shared" si="98"/>
        <v>386.40000000000009</v>
      </c>
      <c r="AQ10" s="346">
        <f t="shared" si="99"/>
        <v>25.199999999999761</v>
      </c>
      <c r="AR10" s="346">
        <f t="shared" si="100"/>
        <v>336</v>
      </c>
      <c r="AS10" s="346">
        <f t="shared" si="101"/>
        <v>25.199999999999761</v>
      </c>
      <c r="AU10" s="77">
        <f t="shared" si="102"/>
        <v>270.04950000000002</v>
      </c>
      <c r="AV10" s="77">
        <f t="shared" si="103"/>
        <v>30.005500000000001</v>
      </c>
      <c r="AW10" s="296">
        <f t="shared" si="104"/>
        <v>300.05500000000001</v>
      </c>
      <c r="AX10" s="296">
        <f t="shared" si="105"/>
        <v>36.006600000000084</v>
      </c>
      <c r="AY10" s="297">
        <f t="shared" si="106"/>
        <v>300.05500000000001</v>
      </c>
      <c r="AZ10" s="297">
        <f t="shared" si="107"/>
        <v>18.003299999999829</v>
      </c>
      <c r="BA10" s="298">
        <f t="shared" si="108"/>
        <v>276.05060000000009</v>
      </c>
      <c r="BB10" s="298">
        <f t="shared" si="109"/>
        <v>18.003300000000255</v>
      </c>
      <c r="BC10" s="346">
        <f t="shared" si="110"/>
        <v>276.05060000000009</v>
      </c>
      <c r="BD10" s="346">
        <f t="shared" si="111"/>
        <v>18.003299999999829</v>
      </c>
      <c r="BE10" s="346">
        <f t="shared" si="112"/>
        <v>240.04400000000001</v>
      </c>
      <c r="BF10" s="346">
        <f t="shared" si="113"/>
        <v>18.003299999999829</v>
      </c>
      <c r="BI10" s="12">
        <f t="shared" si="66"/>
        <v>4</v>
      </c>
      <c r="BJ10">
        <f t="shared" si="67"/>
        <v>0.5</v>
      </c>
      <c r="BK10">
        <f t="shared" si="52"/>
        <v>244</v>
      </c>
      <c r="BL10">
        <f t="shared" si="53"/>
        <v>30</v>
      </c>
      <c r="BM10" s="305">
        <f t="shared" si="26"/>
        <v>4.5</v>
      </c>
      <c r="BN10" s="305">
        <f t="shared" si="27"/>
        <v>0.5</v>
      </c>
      <c r="BO10" s="12">
        <f t="shared" si="68"/>
        <v>4.3999999999999986</v>
      </c>
      <c r="BP10">
        <f t="shared" si="69"/>
        <v>0.60000000000000142</v>
      </c>
      <c r="BQ10">
        <f t="shared" si="54"/>
        <v>268.39999999999992</v>
      </c>
      <c r="BR10">
        <f t="shared" si="55"/>
        <v>36.000000000000085</v>
      </c>
      <c r="BS10" s="305">
        <f t="shared" si="28"/>
        <v>5</v>
      </c>
      <c r="BT10" s="305">
        <f t="shared" si="29"/>
        <v>0.60000000000000142</v>
      </c>
      <c r="BU10" s="12">
        <f t="shared" si="70"/>
        <v>4.7000000000000028</v>
      </c>
      <c r="BV10">
        <f t="shared" si="71"/>
        <v>0.29999999999999716</v>
      </c>
      <c r="BW10">
        <f t="shared" si="56"/>
        <v>286.70000000000016</v>
      </c>
      <c r="BX10">
        <f t="shared" si="57"/>
        <v>17.999999999999829</v>
      </c>
      <c r="BY10" s="305">
        <f t="shared" si="30"/>
        <v>5</v>
      </c>
      <c r="BZ10" s="305">
        <f t="shared" si="31"/>
        <v>0.29999999999999716</v>
      </c>
      <c r="CA10" s="12">
        <f t="shared" si="72"/>
        <v>4.2999999999999972</v>
      </c>
      <c r="CB10">
        <f t="shared" si="73"/>
        <v>0.30000000000000426</v>
      </c>
      <c r="CC10">
        <f t="shared" si="58"/>
        <v>262.29999999999984</v>
      </c>
      <c r="CD10">
        <f t="shared" si="59"/>
        <v>18.000000000000256</v>
      </c>
      <c r="CE10" s="305">
        <f t="shared" si="32"/>
        <v>4.6000000000000014</v>
      </c>
      <c r="CF10" s="305">
        <f t="shared" si="33"/>
        <v>0.30000000000000426</v>
      </c>
      <c r="CG10" s="12">
        <f t="shared" si="74"/>
        <v>4.3000000000000043</v>
      </c>
      <c r="CH10">
        <f t="shared" si="75"/>
        <v>0.29999999999999716</v>
      </c>
      <c r="CI10">
        <f t="shared" si="60"/>
        <v>262.30000000000024</v>
      </c>
      <c r="CJ10">
        <f t="shared" si="61"/>
        <v>17.999999999999829</v>
      </c>
      <c r="CK10" s="305">
        <f t="shared" si="34"/>
        <v>4.6000000000000014</v>
      </c>
      <c r="CL10" s="305">
        <f t="shared" si="35"/>
        <v>0.29999999999999716</v>
      </c>
      <c r="CM10" s="12">
        <f t="shared" si="76"/>
        <v>3.7000000000000028</v>
      </c>
      <c r="CN10">
        <f t="shared" si="77"/>
        <v>0.29999999999999716</v>
      </c>
      <c r="CO10">
        <f t="shared" si="62"/>
        <v>225.70000000000016</v>
      </c>
      <c r="CP10">
        <f t="shared" si="63"/>
        <v>17.999999999999829</v>
      </c>
      <c r="CQ10" s="305">
        <f t="shared" si="64"/>
        <v>4</v>
      </c>
      <c r="CR10" s="305">
        <f t="shared" si="36"/>
        <v>0.29999999999999716</v>
      </c>
      <c r="CT10">
        <f t="shared" si="65"/>
        <v>24.39999999999992</v>
      </c>
      <c r="CU10">
        <f t="shared" si="37"/>
        <v>42.700000000000159</v>
      </c>
      <c r="CV10">
        <f t="shared" si="38"/>
        <v>18.299999999999841</v>
      </c>
      <c r="CW10">
        <f t="shared" si="39"/>
        <v>30.5</v>
      </c>
    </row>
    <row r="11" spans="1:101">
      <c r="A11" s="39">
        <v>44662</v>
      </c>
      <c r="B11" s="305">
        <v>22.8</v>
      </c>
      <c r="C11" s="305">
        <v>23.1</v>
      </c>
      <c r="D11" s="331">
        <v>28</v>
      </c>
      <c r="E11" s="332">
        <v>28</v>
      </c>
      <c r="F11" s="332">
        <v>28.1</v>
      </c>
      <c r="G11" s="333">
        <v>32.9</v>
      </c>
      <c r="H11" s="334">
        <v>32.9</v>
      </c>
      <c r="I11" s="334">
        <v>33.299999999999997</v>
      </c>
      <c r="J11" s="335">
        <v>37.9</v>
      </c>
      <c r="K11" s="336">
        <v>37.9</v>
      </c>
      <c r="L11" s="336">
        <v>38.4</v>
      </c>
      <c r="M11" s="337">
        <v>43.1</v>
      </c>
      <c r="N11" s="338">
        <v>43.1</v>
      </c>
      <c r="O11" s="338">
        <v>43.5</v>
      </c>
      <c r="P11" s="339">
        <v>47.8</v>
      </c>
      <c r="Q11" s="305">
        <v>17.7</v>
      </c>
      <c r="R11" s="305">
        <v>18.2</v>
      </c>
      <c r="S11" s="331">
        <v>22.8</v>
      </c>
      <c r="U11" s="77">
        <f t="shared" si="78"/>
        <v>489.99999999999989</v>
      </c>
      <c r="V11" s="77">
        <f t="shared" si="79"/>
        <v>30.000000000000071</v>
      </c>
      <c r="W11" s="296">
        <f t="shared" si="80"/>
        <v>479.99999999999972</v>
      </c>
      <c r="X11" s="296">
        <f t="shared" si="81"/>
        <v>10.000000000000142</v>
      </c>
      <c r="Y11" s="297">
        <f t="shared" si="82"/>
        <v>460.00000000000011</v>
      </c>
      <c r="Z11" s="297">
        <f t="shared" si="83"/>
        <v>39.999999999999858</v>
      </c>
      <c r="AA11" s="298">
        <f t="shared" si="84"/>
        <v>470.00000000000028</v>
      </c>
      <c r="AB11" s="298">
        <f t="shared" si="85"/>
        <v>50</v>
      </c>
      <c r="AC11" s="77">
        <f t="shared" si="86"/>
        <v>429.99999999999972</v>
      </c>
      <c r="AD11" s="77">
        <f t="shared" si="87"/>
        <v>39.999999999999858</v>
      </c>
      <c r="AE11" s="77">
        <f t="shared" si="88"/>
        <v>460.00000000000011</v>
      </c>
      <c r="AF11" s="77">
        <f t="shared" si="89"/>
        <v>50</v>
      </c>
      <c r="AH11" s="77">
        <f t="shared" si="90"/>
        <v>411.59999999999991</v>
      </c>
      <c r="AI11" s="77">
        <f t="shared" si="91"/>
        <v>25.20000000000006</v>
      </c>
      <c r="AJ11" s="296">
        <f t="shared" si="92"/>
        <v>403.19999999999976</v>
      </c>
      <c r="AK11" s="296">
        <f t="shared" si="93"/>
        <v>8.4000000000001194</v>
      </c>
      <c r="AL11" s="297">
        <f t="shared" si="94"/>
        <v>386.40000000000009</v>
      </c>
      <c r="AM11" s="297">
        <f t="shared" si="95"/>
        <v>33.599999999999881</v>
      </c>
      <c r="AN11" s="298">
        <f t="shared" si="96"/>
        <v>394.80000000000024</v>
      </c>
      <c r="AO11" s="298">
        <f t="shared" si="97"/>
        <v>42</v>
      </c>
      <c r="AP11" s="346">
        <f t="shared" si="98"/>
        <v>361.19999999999976</v>
      </c>
      <c r="AQ11" s="346">
        <f t="shared" si="99"/>
        <v>33.599999999999881</v>
      </c>
      <c r="AR11" s="346">
        <f t="shared" si="100"/>
        <v>386.40000000000009</v>
      </c>
      <c r="AS11" s="346">
        <f t="shared" si="101"/>
        <v>42</v>
      </c>
      <c r="AU11" s="77">
        <f t="shared" si="102"/>
        <v>294.05389999999994</v>
      </c>
      <c r="AV11" s="77">
        <f t="shared" si="103"/>
        <v>18.003300000000042</v>
      </c>
      <c r="AW11" s="296">
        <f t="shared" si="104"/>
        <v>288.05279999999982</v>
      </c>
      <c r="AX11" s="296">
        <f t="shared" si="105"/>
        <v>6.0011000000000854</v>
      </c>
      <c r="AY11" s="297">
        <f t="shared" si="106"/>
        <v>276.05060000000009</v>
      </c>
      <c r="AZ11" s="297">
        <f t="shared" si="107"/>
        <v>24.004399999999915</v>
      </c>
      <c r="BA11" s="298">
        <f t="shared" si="108"/>
        <v>282.05170000000021</v>
      </c>
      <c r="BB11" s="298">
        <f t="shared" si="109"/>
        <v>30.005500000000001</v>
      </c>
      <c r="BC11" s="346">
        <f t="shared" si="110"/>
        <v>258.04729999999984</v>
      </c>
      <c r="BD11" s="346">
        <f t="shared" si="111"/>
        <v>24.004399999999915</v>
      </c>
      <c r="BE11" s="346">
        <f t="shared" si="112"/>
        <v>276.05060000000009</v>
      </c>
      <c r="BF11" s="346">
        <f t="shared" si="113"/>
        <v>30.005500000000001</v>
      </c>
      <c r="BI11" s="12">
        <f t="shared" si="66"/>
        <v>4.5999999999999979</v>
      </c>
      <c r="BJ11">
        <f t="shared" si="67"/>
        <v>0.30000000000000071</v>
      </c>
      <c r="BK11">
        <f t="shared" si="52"/>
        <v>280.59999999999985</v>
      </c>
      <c r="BL11">
        <f t="shared" si="53"/>
        <v>18.000000000000043</v>
      </c>
      <c r="BM11" s="305">
        <f t="shared" si="26"/>
        <v>4.8999999999999986</v>
      </c>
      <c r="BN11" s="305">
        <f t="shared" si="27"/>
        <v>0.30000000000000071</v>
      </c>
      <c r="BO11" s="12">
        <f t="shared" si="68"/>
        <v>4.6999999999999957</v>
      </c>
      <c r="BP11">
        <f t="shared" si="69"/>
        <v>0.10000000000000142</v>
      </c>
      <c r="BQ11">
        <f t="shared" si="54"/>
        <v>286.69999999999976</v>
      </c>
      <c r="BR11">
        <f t="shared" si="55"/>
        <v>6.0000000000000853</v>
      </c>
      <c r="BS11" s="305">
        <f t="shared" si="28"/>
        <v>4.7999999999999972</v>
      </c>
      <c r="BT11" s="305">
        <f t="shared" si="29"/>
        <v>0.10000000000000142</v>
      </c>
      <c r="BU11" s="12">
        <f t="shared" si="70"/>
        <v>4.2000000000000028</v>
      </c>
      <c r="BV11">
        <f t="shared" si="71"/>
        <v>0.39999999999999858</v>
      </c>
      <c r="BW11">
        <f t="shared" si="56"/>
        <v>256.20000000000016</v>
      </c>
      <c r="BX11">
        <f t="shared" si="57"/>
        <v>23.999999999999915</v>
      </c>
      <c r="BY11" s="305">
        <f t="shared" si="30"/>
        <v>4.6000000000000014</v>
      </c>
      <c r="BZ11" s="305">
        <f t="shared" si="31"/>
        <v>0.39999999999999858</v>
      </c>
      <c r="CA11" s="12">
        <f t="shared" si="72"/>
        <v>4.2000000000000028</v>
      </c>
      <c r="CB11">
        <f t="shared" si="73"/>
        <v>0.5</v>
      </c>
      <c r="CC11">
        <f t="shared" si="58"/>
        <v>256.20000000000016</v>
      </c>
      <c r="CD11">
        <f t="shared" si="59"/>
        <v>30</v>
      </c>
      <c r="CE11" s="305">
        <f t="shared" si="32"/>
        <v>4.7000000000000028</v>
      </c>
      <c r="CF11" s="305">
        <f t="shared" si="33"/>
        <v>0.5</v>
      </c>
      <c r="CG11" s="12">
        <f t="shared" si="74"/>
        <v>3.8999999999999986</v>
      </c>
      <c r="CH11">
        <f t="shared" si="75"/>
        <v>0.39999999999999858</v>
      </c>
      <c r="CI11">
        <f t="shared" si="60"/>
        <v>237.89999999999992</v>
      </c>
      <c r="CJ11">
        <f t="shared" si="61"/>
        <v>23.999999999999915</v>
      </c>
      <c r="CK11" s="305">
        <f t="shared" si="34"/>
        <v>4.2999999999999972</v>
      </c>
      <c r="CL11" s="305">
        <f t="shared" si="35"/>
        <v>0.39999999999999858</v>
      </c>
      <c r="CM11" s="12">
        <f t="shared" si="76"/>
        <v>4.1000000000000014</v>
      </c>
      <c r="CN11">
        <f t="shared" si="77"/>
        <v>0.5</v>
      </c>
      <c r="CO11">
        <f t="shared" si="62"/>
        <v>250.10000000000008</v>
      </c>
      <c r="CP11">
        <f t="shared" si="63"/>
        <v>30</v>
      </c>
      <c r="CQ11" s="305">
        <f t="shared" si="64"/>
        <v>4.6000000000000014</v>
      </c>
      <c r="CR11" s="305">
        <f t="shared" si="36"/>
        <v>0.5</v>
      </c>
      <c r="CT11">
        <f t="shared" si="65"/>
        <v>6.0999999999999091</v>
      </c>
      <c r="CU11">
        <f t="shared" si="37"/>
        <v>-24.399999999999693</v>
      </c>
      <c r="CV11">
        <f t="shared" si="38"/>
        <v>-24.399999999999693</v>
      </c>
      <c r="CW11">
        <f t="shared" si="39"/>
        <v>-24.399999999999693</v>
      </c>
    </row>
    <row r="12" spans="1:101">
      <c r="A12" s="39">
        <v>44666</v>
      </c>
      <c r="B12" s="305">
        <v>19.7</v>
      </c>
      <c r="C12" s="305">
        <v>20</v>
      </c>
      <c r="D12" s="331">
        <v>25.3</v>
      </c>
      <c r="E12" s="332">
        <v>25.3</v>
      </c>
      <c r="F12" s="332">
        <v>25.5</v>
      </c>
      <c r="G12" s="333">
        <v>30.7</v>
      </c>
      <c r="H12" s="334">
        <v>30.7</v>
      </c>
      <c r="I12" s="334">
        <v>30.8</v>
      </c>
      <c r="J12" s="335">
        <v>35.799999999999997</v>
      </c>
      <c r="K12" s="336">
        <v>35.799999999999997</v>
      </c>
      <c r="L12" s="336">
        <v>36.299999999999997</v>
      </c>
      <c r="M12" s="337">
        <v>41.6</v>
      </c>
      <c r="N12" s="338">
        <v>41.6</v>
      </c>
      <c r="O12" s="338">
        <v>41.9</v>
      </c>
      <c r="P12" s="339">
        <v>46.3</v>
      </c>
      <c r="Q12" s="305">
        <v>13.4</v>
      </c>
      <c r="R12" s="305">
        <v>13.4</v>
      </c>
      <c r="S12" s="331">
        <v>18.2</v>
      </c>
      <c r="U12" s="77">
        <f t="shared" si="78"/>
        <v>530.00000000000011</v>
      </c>
      <c r="V12" s="77">
        <f t="shared" si="79"/>
        <v>30.000000000000071</v>
      </c>
      <c r="W12" s="296">
        <f t="shared" si="80"/>
        <v>519.99999999999989</v>
      </c>
      <c r="X12" s="296">
        <f t="shared" si="81"/>
        <v>19.999999999999929</v>
      </c>
      <c r="Y12" s="297">
        <f t="shared" si="82"/>
        <v>499.99999999999966</v>
      </c>
      <c r="Z12" s="297">
        <f t="shared" si="83"/>
        <v>10.000000000000142</v>
      </c>
      <c r="AA12" s="298">
        <f t="shared" si="84"/>
        <v>530.00000000000045</v>
      </c>
      <c r="AB12" s="298">
        <f t="shared" si="85"/>
        <v>50</v>
      </c>
      <c r="AC12" s="77">
        <f t="shared" si="86"/>
        <v>439.99999999999989</v>
      </c>
      <c r="AD12" s="77">
        <f t="shared" si="87"/>
        <v>29.999999999999716</v>
      </c>
      <c r="AE12" s="77">
        <f t="shared" si="88"/>
        <v>479.99999999999989</v>
      </c>
      <c r="AF12" s="77">
        <f t="shared" si="89"/>
        <v>0</v>
      </c>
      <c r="AH12" s="77">
        <f t="shared" si="90"/>
        <v>445.20000000000005</v>
      </c>
      <c r="AI12" s="77">
        <f t="shared" si="91"/>
        <v>25.20000000000006</v>
      </c>
      <c r="AJ12" s="296">
        <f t="shared" si="92"/>
        <v>436.79999999999995</v>
      </c>
      <c r="AK12" s="296">
        <f t="shared" si="93"/>
        <v>16.79999999999994</v>
      </c>
      <c r="AL12" s="297">
        <f t="shared" si="94"/>
        <v>419.99999999999972</v>
      </c>
      <c r="AM12" s="297">
        <f t="shared" si="95"/>
        <v>8.4000000000001194</v>
      </c>
      <c r="AN12" s="298">
        <f t="shared" si="96"/>
        <v>445.20000000000039</v>
      </c>
      <c r="AO12" s="298">
        <f t="shared" si="97"/>
        <v>42</v>
      </c>
      <c r="AP12" s="346">
        <f t="shared" si="98"/>
        <v>369.59999999999991</v>
      </c>
      <c r="AQ12" s="346">
        <f t="shared" si="99"/>
        <v>25.199999999999761</v>
      </c>
      <c r="AR12" s="346">
        <f t="shared" si="100"/>
        <v>403.19999999999993</v>
      </c>
      <c r="AS12" s="346">
        <f t="shared" si="101"/>
        <v>0</v>
      </c>
      <c r="AU12" s="77">
        <f t="shared" si="102"/>
        <v>318.05830000000003</v>
      </c>
      <c r="AV12" s="77">
        <f t="shared" si="103"/>
        <v>18.003300000000042</v>
      </c>
      <c r="AW12" s="296">
        <f t="shared" si="104"/>
        <v>312.05719999999997</v>
      </c>
      <c r="AX12" s="296">
        <f t="shared" si="105"/>
        <v>12.002199999999958</v>
      </c>
      <c r="AY12" s="297">
        <f t="shared" si="106"/>
        <v>300.05499999999978</v>
      </c>
      <c r="AZ12" s="297">
        <f t="shared" si="107"/>
        <v>6.0011000000000854</v>
      </c>
      <c r="BA12" s="298">
        <f t="shared" si="108"/>
        <v>318.05830000000026</v>
      </c>
      <c r="BB12" s="298">
        <f t="shared" si="109"/>
        <v>30.005500000000001</v>
      </c>
      <c r="BC12" s="346">
        <f t="shared" si="110"/>
        <v>264.0483999999999</v>
      </c>
      <c r="BD12" s="346">
        <f t="shared" si="111"/>
        <v>18.003299999999829</v>
      </c>
      <c r="BE12" s="346">
        <f t="shared" si="112"/>
        <v>288.05279999999993</v>
      </c>
      <c r="BF12" s="346">
        <f t="shared" si="113"/>
        <v>0</v>
      </c>
      <c r="BI12" s="12">
        <f t="shared" si="66"/>
        <v>5</v>
      </c>
      <c r="BJ12">
        <f t="shared" si="67"/>
        <v>0.30000000000000071</v>
      </c>
      <c r="BK12">
        <f t="shared" si="52"/>
        <v>305</v>
      </c>
      <c r="BL12">
        <f t="shared" si="53"/>
        <v>18.000000000000043</v>
      </c>
      <c r="BM12" s="305">
        <f t="shared" si="26"/>
        <v>5.3000000000000007</v>
      </c>
      <c r="BN12" s="305">
        <f t="shared" si="27"/>
        <v>0.30000000000000071</v>
      </c>
      <c r="BO12" s="12">
        <f t="shared" si="68"/>
        <v>5</v>
      </c>
      <c r="BP12">
        <f t="shared" si="69"/>
        <v>0.19999999999999929</v>
      </c>
      <c r="BQ12">
        <f t="shared" si="54"/>
        <v>305</v>
      </c>
      <c r="BR12">
        <f t="shared" si="55"/>
        <v>11.999999999999957</v>
      </c>
      <c r="BS12" s="305">
        <f t="shared" si="28"/>
        <v>5.1999999999999993</v>
      </c>
      <c r="BT12" s="305">
        <f t="shared" si="29"/>
        <v>0.19999999999999929</v>
      </c>
      <c r="BU12" s="12">
        <f t="shared" si="70"/>
        <v>4.899999999999995</v>
      </c>
      <c r="BV12">
        <f t="shared" si="71"/>
        <v>0.10000000000000142</v>
      </c>
      <c r="BW12">
        <f t="shared" si="56"/>
        <v>298.89999999999969</v>
      </c>
      <c r="BX12">
        <f t="shared" si="57"/>
        <v>6.0000000000000853</v>
      </c>
      <c r="BY12" s="305">
        <f t="shared" si="30"/>
        <v>4.9999999999999964</v>
      </c>
      <c r="BZ12" s="305">
        <f t="shared" si="31"/>
        <v>0.10000000000000142</v>
      </c>
      <c r="CA12" s="12">
        <f t="shared" si="72"/>
        <v>4.8000000000000043</v>
      </c>
      <c r="CB12">
        <f t="shared" si="73"/>
        <v>0.5</v>
      </c>
      <c r="CC12">
        <f t="shared" si="58"/>
        <v>292.80000000000024</v>
      </c>
      <c r="CD12">
        <f t="shared" si="59"/>
        <v>30</v>
      </c>
      <c r="CE12" s="305">
        <f t="shared" si="32"/>
        <v>5.3000000000000043</v>
      </c>
      <c r="CF12" s="305">
        <f t="shared" si="33"/>
        <v>0.5</v>
      </c>
      <c r="CG12" s="12">
        <f t="shared" si="74"/>
        <v>4.1000000000000014</v>
      </c>
      <c r="CH12">
        <f t="shared" si="75"/>
        <v>0.29999999999999716</v>
      </c>
      <c r="CI12">
        <f t="shared" si="60"/>
        <v>250.10000000000008</v>
      </c>
      <c r="CJ12">
        <f t="shared" si="61"/>
        <v>17.999999999999829</v>
      </c>
      <c r="CK12" s="305">
        <f t="shared" si="34"/>
        <v>4.3999999999999986</v>
      </c>
      <c r="CL12" s="305">
        <f t="shared" si="35"/>
        <v>0.29999999999999716</v>
      </c>
      <c r="CM12" s="12">
        <f t="shared" si="76"/>
        <v>4.7999999999999989</v>
      </c>
      <c r="CN12">
        <f t="shared" si="77"/>
        <v>0</v>
      </c>
      <c r="CO12">
        <f t="shared" si="62"/>
        <v>292.79999999999995</v>
      </c>
      <c r="CP12">
        <f t="shared" si="63"/>
        <v>0</v>
      </c>
      <c r="CQ12" s="305">
        <f t="shared" si="64"/>
        <v>4.7999999999999989</v>
      </c>
      <c r="CR12" s="305">
        <f t="shared" si="36"/>
        <v>0</v>
      </c>
      <c r="CT12">
        <f t="shared" si="65"/>
        <v>0</v>
      </c>
      <c r="CU12">
        <f t="shared" si="37"/>
        <v>-6.100000000000307</v>
      </c>
      <c r="CV12">
        <f t="shared" si="38"/>
        <v>-12.199999999999761</v>
      </c>
      <c r="CW12">
        <f t="shared" si="39"/>
        <v>-9.1500000000000341</v>
      </c>
    </row>
    <row r="13" spans="1:101">
      <c r="A13" s="14">
        <v>44671</v>
      </c>
      <c r="B13" s="305">
        <v>18.8</v>
      </c>
      <c r="C13" s="305">
        <v>19.100000000000001</v>
      </c>
      <c r="D13" s="331">
        <v>24.1</v>
      </c>
      <c r="E13" s="332">
        <v>24.1</v>
      </c>
      <c r="F13" s="332">
        <v>24.3</v>
      </c>
      <c r="G13" s="333">
        <v>28.9</v>
      </c>
      <c r="H13" s="334">
        <v>28.9</v>
      </c>
      <c r="I13" s="334">
        <v>29.2</v>
      </c>
      <c r="J13" s="335">
        <v>34.9</v>
      </c>
      <c r="K13" s="336">
        <v>34.9</v>
      </c>
      <c r="L13" s="336">
        <v>35.5</v>
      </c>
      <c r="M13" s="337">
        <v>40</v>
      </c>
      <c r="N13" s="338">
        <v>40</v>
      </c>
      <c r="O13" s="338">
        <v>40.4</v>
      </c>
      <c r="P13" s="339">
        <v>44.9</v>
      </c>
      <c r="Q13" s="305">
        <v>13.7</v>
      </c>
      <c r="R13" s="305">
        <v>14.1</v>
      </c>
      <c r="S13" s="331">
        <v>18.8</v>
      </c>
      <c r="U13" s="77">
        <f t="shared" si="78"/>
        <v>500</v>
      </c>
      <c r="V13" s="77">
        <f t="shared" si="79"/>
        <v>30.000000000000071</v>
      </c>
      <c r="W13" s="296">
        <f t="shared" si="80"/>
        <v>459.99999999999977</v>
      </c>
      <c r="X13" s="296">
        <f t="shared" si="81"/>
        <v>19.999999999999929</v>
      </c>
      <c r="Y13" s="297">
        <f t="shared" si="82"/>
        <v>569.99999999999989</v>
      </c>
      <c r="Z13" s="297">
        <f t="shared" si="83"/>
        <v>30.000000000000071</v>
      </c>
      <c r="AA13" s="298">
        <f t="shared" si="84"/>
        <v>450</v>
      </c>
      <c r="AB13" s="298">
        <f t="shared" si="85"/>
        <v>60.000000000000142</v>
      </c>
      <c r="AC13" s="77">
        <f t="shared" si="86"/>
        <v>450</v>
      </c>
      <c r="AD13" s="77">
        <f t="shared" si="87"/>
        <v>39.999999999999858</v>
      </c>
      <c r="AE13" s="77">
        <f t="shared" si="88"/>
        <v>470.00000000000011</v>
      </c>
      <c r="AF13" s="77">
        <f t="shared" si="89"/>
        <v>40.000000000000036</v>
      </c>
      <c r="AH13" s="77">
        <f t="shared" si="90"/>
        <v>420</v>
      </c>
      <c r="AI13" s="77">
        <f t="shared" si="91"/>
        <v>25.20000000000006</v>
      </c>
      <c r="AJ13" s="296">
        <f t="shared" si="92"/>
        <v>386.39999999999981</v>
      </c>
      <c r="AK13" s="296">
        <f t="shared" si="93"/>
        <v>16.79999999999994</v>
      </c>
      <c r="AL13" s="297">
        <f t="shared" si="94"/>
        <v>478.79999999999995</v>
      </c>
      <c r="AM13" s="297">
        <f t="shared" si="95"/>
        <v>25.20000000000006</v>
      </c>
      <c r="AN13" s="298">
        <f t="shared" si="96"/>
        <v>378</v>
      </c>
      <c r="AO13" s="298">
        <f t="shared" si="97"/>
        <v>50.400000000000119</v>
      </c>
      <c r="AP13" s="346">
        <f t="shared" si="98"/>
        <v>378</v>
      </c>
      <c r="AQ13" s="346">
        <f t="shared" si="99"/>
        <v>33.599999999999881</v>
      </c>
      <c r="AR13" s="346">
        <f t="shared" si="100"/>
        <v>394.80000000000007</v>
      </c>
      <c r="AS13" s="346">
        <f t="shared" si="101"/>
        <v>33.60000000000003</v>
      </c>
      <c r="AU13" s="77">
        <f t="shared" si="102"/>
        <v>300.05500000000001</v>
      </c>
      <c r="AV13" s="77">
        <f t="shared" si="103"/>
        <v>18.003300000000042</v>
      </c>
      <c r="AW13" s="296">
        <f t="shared" si="104"/>
        <v>276.05059999999986</v>
      </c>
      <c r="AX13" s="296">
        <f t="shared" si="105"/>
        <v>12.002199999999958</v>
      </c>
      <c r="AY13" s="297">
        <f t="shared" si="106"/>
        <v>342.06269999999995</v>
      </c>
      <c r="AZ13" s="297">
        <f t="shared" si="107"/>
        <v>18.003300000000042</v>
      </c>
      <c r="BA13" s="298">
        <f t="shared" si="108"/>
        <v>270.04950000000002</v>
      </c>
      <c r="BB13" s="298">
        <f t="shared" si="109"/>
        <v>36.006600000000084</v>
      </c>
      <c r="BC13" s="346">
        <f t="shared" si="110"/>
        <v>270.04950000000002</v>
      </c>
      <c r="BD13" s="346">
        <f t="shared" si="111"/>
        <v>24.004399999999915</v>
      </c>
      <c r="BE13" s="346">
        <f t="shared" si="112"/>
        <v>282.0517000000001</v>
      </c>
      <c r="BF13" s="346">
        <f t="shared" si="113"/>
        <v>24.004400000000022</v>
      </c>
      <c r="BI13" s="12">
        <f t="shared" si="66"/>
        <v>4.6999999999999993</v>
      </c>
      <c r="BJ13">
        <f t="shared" si="67"/>
        <v>0.30000000000000071</v>
      </c>
      <c r="BK13">
        <f t="shared" si="52"/>
        <v>286.69999999999993</v>
      </c>
      <c r="BL13">
        <f t="shared" si="53"/>
        <v>18.000000000000043</v>
      </c>
      <c r="BM13" s="305">
        <f t="shared" si="26"/>
        <v>5</v>
      </c>
      <c r="BN13" s="305">
        <f t="shared" si="27"/>
        <v>0.30000000000000071</v>
      </c>
      <c r="BO13" s="12">
        <f t="shared" si="68"/>
        <v>4.3999999999999986</v>
      </c>
      <c r="BP13">
        <f t="shared" si="69"/>
        <v>0.19999999999999929</v>
      </c>
      <c r="BQ13">
        <f t="shared" si="54"/>
        <v>268.39999999999992</v>
      </c>
      <c r="BR13">
        <f t="shared" si="55"/>
        <v>11.999999999999957</v>
      </c>
      <c r="BS13" s="305">
        <f t="shared" si="28"/>
        <v>4.5999999999999979</v>
      </c>
      <c r="BT13" s="305">
        <f t="shared" si="29"/>
        <v>0.19999999999999929</v>
      </c>
      <c r="BU13" s="12">
        <f t="shared" si="70"/>
        <v>5.3999999999999986</v>
      </c>
      <c r="BV13">
        <f t="shared" si="71"/>
        <v>0.30000000000000071</v>
      </c>
      <c r="BW13">
        <f t="shared" si="56"/>
        <v>329.39999999999992</v>
      </c>
      <c r="BX13">
        <f t="shared" si="57"/>
        <v>18.000000000000043</v>
      </c>
      <c r="BY13" s="305">
        <f t="shared" si="30"/>
        <v>5.6999999999999993</v>
      </c>
      <c r="BZ13" s="305">
        <f t="shared" si="31"/>
        <v>0.30000000000000071</v>
      </c>
      <c r="CA13" s="12">
        <f t="shared" si="72"/>
        <v>3.8999999999999986</v>
      </c>
      <c r="CB13">
        <f t="shared" si="73"/>
        <v>0.60000000000000142</v>
      </c>
      <c r="CC13">
        <f t="shared" si="58"/>
        <v>237.89999999999992</v>
      </c>
      <c r="CD13">
        <f t="shared" si="59"/>
        <v>36.000000000000085</v>
      </c>
      <c r="CE13" s="305">
        <f t="shared" si="32"/>
        <v>4.5</v>
      </c>
      <c r="CF13" s="305">
        <f t="shared" si="33"/>
        <v>0.60000000000000142</v>
      </c>
      <c r="CG13" s="12">
        <f t="shared" si="74"/>
        <v>4.1000000000000014</v>
      </c>
      <c r="CH13">
        <f t="shared" si="75"/>
        <v>0.39999999999999858</v>
      </c>
      <c r="CI13">
        <f t="shared" si="60"/>
        <v>250.10000000000008</v>
      </c>
      <c r="CJ13">
        <f t="shared" si="61"/>
        <v>23.999999999999915</v>
      </c>
      <c r="CK13" s="305">
        <f t="shared" si="34"/>
        <v>4.5</v>
      </c>
      <c r="CL13" s="305">
        <f t="shared" si="35"/>
        <v>0.39999999999999858</v>
      </c>
      <c r="CM13" s="12">
        <f t="shared" si="76"/>
        <v>4.3000000000000007</v>
      </c>
      <c r="CN13">
        <f t="shared" si="77"/>
        <v>0.40000000000000036</v>
      </c>
      <c r="CO13">
        <f t="shared" si="62"/>
        <v>262.30000000000007</v>
      </c>
      <c r="CP13">
        <f t="shared" si="63"/>
        <v>24.000000000000021</v>
      </c>
      <c r="CQ13" s="305">
        <f t="shared" si="64"/>
        <v>4.7000000000000011</v>
      </c>
      <c r="CR13" s="305">
        <f t="shared" si="36"/>
        <v>0.40000000000000036</v>
      </c>
      <c r="CT13">
        <f t="shared" si="65"/>
        <v>-18.300000000000011</v>
      </c>
      <c r="CU13">
        <f t="shared" si="37"/>
        <v>42.699999999999989</v>
      </c>
      <c r="CV13">
        <f t="shared" si="38"/>
        <v>-48.800000000000011</v>
      </c>
      <c r="CW13">
        <f t="shared" si="39"/>
        <v>-3.0500000000000114</v>
      </c>
    </row>
    <row r="15" spans="1:101">
      <c r="AT15" s="77" t="s">
        <v>1443</v>
      </c>
      <c r="AU15" s="77">
        <f>AVERAGE(AU3:AU13)</f>
        <v>287.50724545454551</v>
      </c>
      <c r="AV15" s="77">
        <f t="shared" ref="AV15:BF15" si="114">AVERAGE(AV3:AV13)</f>
        <v>20.185518181818164</v>
      </c>
      <c r="AW15" s="77">
        <f t="shared" si="114"/>
        <v>307.69276363636368</v>
      </c>
      <c r="AX15" s="77">
        <f t="shared" si="114"/>
        <v>18.003299999999946</v>
      </c>
      <c r="AY15" s="77">
        <f t="shared" si="114"/>
        <v>288.87113181818177</v>
      </c>
      <c r="AZ15" s="77">
        <f t="shared" si="114"/>
        <v>13.911640909090915</v>
      </c>
      <c r="BA15" s="77">
        <f t="shared" si="114"/>
        <v>300.6005545454546</v>
      </c>
      <c r="BB15" s="77">
        <f t="shared" si="114"/>
        <v>22.36773636363645</v>
      </c>
      <c r="BC15" s="77">
        <f t="shared" si="114"/>
        <v>264.59395454545449</v>
      </c>
      <c r="BD15" s="77">
        <f t="shared" si="114"/>
        <v>52.37323636363633</v>
      </c>
      <c r="BE15" s="77">
        <f t="shared" si="114"/>
        <v>277.1417090909091</v>
      </c>
      <c r="BF15" s="77">
        <f t="shared" si="114"/>
        <v>54.009899999999988</v>
      </c>
      <c r="BL15" t="s">
        <v>1443</v>
      </c>
    </row>
    <row r="16" spans="1:101">
      <c r="BL16" t="s">
        <v>1828</v>
      </c>
      <c r="BM16" t="s">
        <v>1816</v>
      </c>
      <c r="BO16" t="s">
        <v>1817</v>
      </c>
      <c r="BP16" s="12"/>
      <c r="BQ16" t="s">
        <v>1820</v>
      </c>
    </row>
    <row r="17" spans="59:73">
      <c r="BL17" t="s">
        <v>1305</v>
      </c>
      <c r="BM17" t="s">
        <v>1814</v>
      </c>
      <c r="BN17" t="s">
        <v>1815</v>
      </c>
      <c r="BO17" t="s">
        <v>1814</v>
      </c>
      <c r="BP17" t="s">
        <v>1815</v>
      </c>
      <c r="BQ17" t="s">
        <v>1818</v>
      </c>
      <c r="BR17" t="s">
        <v>1819</v>
      </c>
    </row>
    <row r="18" spans="59:73">
      <c r="BL18" t="s">
        <v>1811</v>
      </c>
      <c r="BM18" s="77">
        <f>AVERAGE(CI3:CI13)</f>
        <v>197.97272727272721</v>
      </c>
      <c r="BN18" s="77">
        <f>AVERAGE(CJ3:CJ13)</f>
        <v>52.363636363636331</v>
      </c>
      <c r="BO18" s="77">
        <f>AVERAGE(CO3:CO13)</f>
        <v>226.80909090909097</v>
      </c>
      <c r="BP18" s="77">
        <f>AVERAGE(CP3:CP13)</f>
        <v>53.999999999999979</v>
      </c>
      <c r="BQ18" s="77">
        <f>BM18-BO18</f>
        <v>-28.836363636363757</v>
      </c>
      <c r="BR18" s="77">
        <f>BN18-BP18</f>
        <v>-1.6363636363636473</v>
      </c>
      <c r="BS18" t="s">
        <v>1829</v>
      </c>
    </row>
    <row r="20" spans="59:73">
      <c r="BG20" t="s">
        <v>1787</v>
      </c>
      <c r="BH20" s="77" t="s">
        <v>1788</v>
      </c>
      <c r="BI20">
        <v>20</v>
      </c>
    </row>
    <row r="21" spans="59:73">
      <c r="BG21" t="s">
        <v>1789</v>
      </c>
      <c r="BH21" t="s">
        <v>1790</v>
      </c>
      <c r="BI21">
        <v>20</v>
      </c>
      <c r="BL21" t="s">
        <v>1825</v>
      </c>
      <c r="BM21" t="s">
        <v>1816</v>
      </c>
      <c r="BO21" t="s">
        <v>1817</v>
      </c>
      <c r="BP21" s="12"/>
      <c r="BQ21" t="s">
        <v>1820</v>
      </c>
      <c r="BS21" t="s">
        <v>1831</v>
      </c>
    </row>
    <row r="22" spans="59:73">
      <c r="BL22" t="s">
        <v>1305</v>
      </c>
      <c r="BM22" t="s">
        <v>1814</v>
      </c>
      <c r="BN22" t="s">
        <v>1815</v>
      </c>
      <c r="BO22" t="s">
        <v>1814</v>
      </c>
      <c r="BP22" t="s">
        <v>1815</v>
      </c>
      <c r="BQ22" t="s">
        <v>1818</v>
      </c>
      <c r="BR22" t="s">
        <v>1819</v>
      </c>
      <c r="BS22" t="s">
        <v>1818</v>
      </c>
      <c r="BT22" t="s">
        <v>1819</v>
      </c>
    </row>
    <row r="23" spans="59:73">
      <c r="BH23" t="s">
        <v>1795</v>
      </c>
      <c r="BI23">
        <v>61</v>
      </c>
      <c r="BL23" t="s">
        <v>1827</v>
      </c>
      <c r="BM23" s="77">
        <f>AVERAGE(BQ3:BQ5)</f>
        <v>221.63333333333352</v>
      </c>
      <c r="BN23" s="77">
        <f>AVERAGE(BR3:BR5)</f>
        <v>9.9999999999998206</v>
      </c>
      <c r="BO23" s="77">
        <f>AVERAGE(BK3:BK5)</f>
        <v>264.3333333333336</v>
      </c>
      <c r="BP23" s="77">
        <f>AVERAGE(BL3:BL5)</f>
        <v>15.999999999999835</v>
      </c>
      <c r="BQ23" s="77">
        <f t="shared" ref="BQ23:BQ25" si="115">BM23-BO23</f>
        <v>-42.700000000000074</v>
      </c>
      <c r="BR23" s="77">
        <f t="shared" ref="BR23:BR25" si="116">BN23-BP23</f>
        <v>-6.0000000000000142</v>
      </c>
      <c r="BS23" s="305">
        <f>BQ23/61</f>
        <v>-0.70000000000000118</v>
      </c>
      <c r="BT23" s="305">
        <f>BR23/60</f>
        <v>-0.10000000000000024</v>
      </c>
      <c r="BU23" t="s">
        <v>1830</v>
      </c>
    </row>
    <row r="24" spans="59:73">
      <c r="BH24" t="s">
        <v>1796</v>
      </c>
      <c r="BI24">
        <v>60</v>
      </c>
      <c r="BL24" t="s">
        <v>1410</v>
      </c>
      <c r="BM24" s="77">
        <f>AVERAGE(BW3:BW5)</f>
        <v>278.56666666666655</v>
      </c>
      <c r="BN24" s="77">
        <f>AVERAGE(BX3:BX5)</f>
        <v>7.0000000000000284</v>
      </c>
      <c r="BO24" s="77">
        <v>264.3333333333336</v>
      </c>
      <c r="BP24" s="77">
        <v>15.999999999999835</v>
      </c>
      <c r="BQ24" s="77">
        <f t="shared" si="115"/>
        <v>14.233333333332951</v>
      </c>
      <c r="BR24" s="77">
        <f t="shared" si="116"/>
        <v>-8.9999999999998064</v>
      </c>
      <c r="BS24" s="305">
        <f t="shared" ref="BS24:BS25" si="117">BQ24/61</f>
        <v>0.23333333333332706</v>
      </c>
      <c r="BT24" s="305">
        <f t="shared" ref="BT24:BT25" si="118">BR24/60</f>
        <v>-0.14999999999999677</v>
      </c>
    </row>
    <row r="25" spans="59:73">
      <c r="BL25" t="s">
        <v>1411</v>
      </c>
      <c r="BM25" s="77">
        <f>AVERAGE(CC3:CC5)</f>
        <v>201.29999999999959</v>
      </c>
      <c r="BN25" s="77">
        <f>AVERAGE(CD3:CD5)</f>
        <v>14.000000000000199</v>
      </c>
      <c r="BO25" s="77">
        <v>264.3333333333336</v>
      </c>
      <c r="BP25" s="77">
        <v>15.999999999999835</v>
      </c>
      <c r="BQ25" s="77">
        <f t="shared" si="115"/>
        <v>-63.033333333334014</v>
      </c>
      <c r="BR25" s="77">
        <f t="shared" si="116"/>
        <v>-1.9999999999996358</v>
      </c>
      <c r="BS25" s="305">
        <f t="shared" si="117"/>
        <v>-1.0333333333333445</v>
      </c>
      <c r="BT25" s="305">
        <f t="shared" si="118"/>
        <v>-3.3333333333327261E-2</v>
      </c>
    </row>
    <row r="28" spans="59:73">
      <c r="BL28" t="s">
        <v>1826</v>
      </c>
      <c r="BM28" t="s">
        <v>1816</v>
      </c>
      <c r="BO28" t="s">
        <v>1817</v>
      </c>
      <c r="BP28" s="12"/>
      <c r="BQ28" t="s">
        <v>1820</v>
      </c>
      <c r="BS28" t="s">
        <v>1831</v>
      </c>
    </row>
    <row r="29" spans="59:73">
      <c r="BL29" t="s">
        <v>1305</v>
      </c>
      <c r="BM29" t="s">
        <v>1814</v>
      </c>
      <c r="BN29" t="s">
        <v>1815</v>
      </c>
      <c r="BO29" t="s">
        <v>1814</v>
      </c>
      <c r="BP29" t="s">
        <v>1815</v>
      </c>
      <c r="BQ29" t="s">
        <v>1818</v>
      </c>
      <c r="BR29" t="s">
        <v>1819</v>
      </c>
      <c r="BS29" t="s">
        <v>1818</v>
      </c>
      <c r="BT29" t="s">
        <v>1819</v>
      </c>
    </row>
    <row r="30" spans="59:73">
      <c r="BL30" t="s">
        <v>1827</v>
      </c>
      <c r="BM30" s="77">
        <f>AVERAGE(BQ6:BQ13)</f>
        <v>269.92499999999995</v>
      </c>
      <c r="BN30" s="77">
        <f>AVERAGE(BR6:BR13)</f>
        <v>19.499999999999993</v>
      </c>
      <c r="BO30" s="77">
        <f>AVERAGE(BK6:BK13)</f>
        <v>274.5</v>
      </c>
      <c r="BP30" s="77">
        <f>AVERAGE(BL6:BL13)</f>
        <v>21.750000000000028</v>
      </c>
      <c r="BQ30" s="77">
        <f t="shared" ref="BQ30:BQ32" si="119">BM30-BO30</f>
        <v>-4.5750000000000455</v>
      </c>
      <c r="BR30" s="77">
        <f t="shared" ref="BR30:BR32" si="120">BN30-BP30</f>
        <v>-2.2500000000000355</v>
      </c>
      <c r="BS30" s="305">
        <f>BQ30/61</f>
        <v>-7.5000000000000747E-2</v>
      </c>
      <c r="BT30" s="305">
        <f>BR30/60</f>
        <v>-3.7500000000000595E-2</v>
      </c>
      <c r="BU30" t="s">
        <v>1833</v>
      </c>
    </row>
    <row r="31" spans="59:73">
      <c r="BL31" t="s">
        <v>1410</v>
      </c>
      <c r="BM31" s="77">
        <f>AVERAGE(BW6:BW13)</f>
        <v>279.83750000000003</v>
      </c>
      <c r="BN31" s="77">
        <f>AVERAGE(BX6:BX13)</f>
        <v>16.499999999999993</v>
      </c>
      <c r="BO31" s="77">
        <f t="shared" ref="BO31:BP31" si="121">AVERAGE(BK7:BK14)</f>
        <v>274.5</v>
      </c>
      <c r="BP31" s="77">
        <f t="shared" si="121"/>
        <v>22.28571428571431</v>
      </c>
      <c r="BQ31" s="77">
        <f t="shared" si="119"/>
        <v>5.3375000000000341</v>
      </c>
      <c r="BR31" s="77">
        <f t="shared" si="120"/>
        <v>-5.7857142857143167</v>
      </c>
      <c r="BS31" s="305">
        <f t="shared" ref="BS31:BS32" si="122">BQ31/61</f>
        <v>8.7500000000000563E-2</v>
      </c>
      <c r="BT31" s="305">
        <f t="shared" ref="BT31" si="123">BR31/60</f>
        <v>-9.6428571428571946E-2</v>
      </c>
      <c r="BU31" t="s">
        <v>1832</v>
      </c>
    </row>
    <row r="32" spans="59:73">
      <c r="BL32" t="s">
        <v>1411</v>
      </c>
      <c r="BM32" s="77">
        <f>AVERAGE(CC6:CC13)</f>
        <v>272.21250000000003</v>
      </c>
      <c r="BN32" s="77">
        <f>AVERAGE(CD6:CD13)</f>
        <v>25.500000000000043</v>
      </c>
      <c r="BO32" s="77">
        <f t="shared" ref="BO32:BP32" si="124">AVERAGE(BK8:BK15)</f>
        <v>275.51666666666665</v>
      </c>
      <c r="BP32" s="77">
        <f t="shared" si="124"/>
        <v>23.000000000000028</v>
      </c>
      <c r="BQ32" s="77">
        <f t="shared" si="119"/>
        <v>-3.3041666666666174</v>
      </c>
      <c r="BR32" s="77">
        <f t="shared" si="120"/>
        <v>2.5000000000000142</v>
      </c>
      <c r="BS32" s="305">
        <f t="shared" si="122"/>
        <v>-5.4166666666665857E-2</v>
      </c>
      <c r="BT32" s="305">
        <f>BR32/60</f>
        <v>4.16666666666669E-2</v>
      </c>
    </row>
    <row r="33" spans="2:72">
      <c r="B33" s="305" t="s">
        <v>1868</v>
      </c>
      <c r="BH33" t="s">
        <v>1868</v>
      </c>
      <c r="BO33" t="s">
        <v>1869</v>
      </c>
    </row>
    <row r="34" spans="2:72">
      <c r="B34" s="305">
        <v>11</v>
      </c>
      <c r="C34" s="305">
        <v>11.15</v>
      </c>
      <c r="D34" s="331">
        <v>11.4</v>
      </c>
      <c r="BI34" s="12">
        <f t="shared" ref="BI34" si="125">((BM34-BN34)*$BI$21)/$BI$20</f>
        <v>9.9999999999999645E-2</v>
      </c>
      <c r="BJ34">
        <f t="shared" ref="BJ34" si="126">(BN34*$BI$21)/$BI$20</f>
        <v>0.15000000000000036</v>
      </c>
      <c r="BK34">
        <f t="shared" ref="BK34" si="127">BI34*$BI$23</f>
        <v>6.0999999999999783</v>
      </c>
      <c r="BL34">
        <f>BJ34*$BI$24</f>
        <v>9.0000000000000213</v>
      </c>
      <c r="BM34" s="305">
        <f t="shared" ref="BM34" si="128">D34-C34</f>
        <v>0.25</v>
      </c>
      <c r="BN34" s="305">
        <f t="shared" ref="BN34" si="129">C34-B34</f>
        <v>0.15000000000000036</v>
      </c>
      <c r="BO34">
        <f>0.1</f>
        <v>0.1</v>
      </c>
      <c r="BP34">
        <f>0.15</f>
        <v>0.15</v>
      </c>
    </row>
    <row r="35" spans="2:72">
      <c r="BK35">
        <f>BK34/61.01</f>
        <v>9.9983609244385818E-2</v>
      </c>
      <c r="BL35">
        <f>BL34/60.01</f>
        <v>0.1499750041659727</v>
      </c>
      <c r="BS35">
        <f>BQ31/60</f>
        <v>8.8958333333333903E-2</v>
      </c>
      <c r="BT35" s="305">
        <f>BR31/60</f>
        <v>-9.6428571428571946E-2</v>
      </c>
    </row>
    <row r="36" spans="2:72">
      <c r="BL36">
        <f>BK35+BL35</f>
        <v>0.24995861341035852</v>
      </c>
    </row>
    <row r="37" spans="2:72">
      <c r="BL37">
        <f>BL36*60.01</f>
        <v>15.000016390755615</v>
      </c>
    </row>
  </sheetData>
  <mergeCells count="5">
    <mergeCell ref="BI1:BN1"/>
    <mergeCell ref="BO1:BT1"/>
    <mergeCell ref="BU1:BZ1"/>
    <mergeCell ref="CA1:CF1"/>
    <mergeCell ref="CG1:CL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284CD-7EED-6A47-B451-D6919E3F4EE1}">
  <dimension ref="A1:CT16"/>
  <sheetViews>
    <sheetView workbookViewId="0">
      <selection activeCell="BL12" sqref="BL12:BU16"/>
    </sheetView>
  </sheetViews>
  <sheetFormatPr defaultColWidth="10.6640625" defaultRowHeight="15.5"/>
  <cols>
    <col min="21" max="58" width="0" hidden="1" customWidth="1"/>
  </cols>
  <sheetData>
    <row r="1" spans="1:98">
      <c r="B1" s="688" t="s">
        <v>1765</v>
      </c>
      <c r="C1" s="688"/>
      <c r="D1" s="688"/>
      <c r="E1" s="688" t="s">
        <v>1593</v>
      </c>
      <c r="F1" s="688"/>
      <c r="G1" s="688"/>
      <c r="H1" s="688" t="s">
        <v>1594</v>
      </c>
      <c r="I1" s="688"/>
      <c r="J1" s="688"/>
      <c r="K1" s="688" t="s">
        <v>1595</v>
      </c>
      <c r="L1" s="688"/>
      <c r="M1" s="688"/>
      <c r="N1" s="688" t="s">
        <v>1596</v>
      </c>
      <c r="O1" s="688"/>
      <c r="P1" s="688"/>
      <c r="Q1" s="688" t="s">
        <v>1597</v>
      </c>
      <c r="R1" s="688"/>
      <c r="S1" s="688"/>
      <c r="U1" s="688" t="s">
        <v>183</v>
      </c>
      <c r="V1" s="688"/>
      <c r="W1" s="692" t="s">
        <v>1593</v>
      </c>
      <c r="X1" s="692"/>
      <c r="Y1" s="693" t="s">
        <v>1594</v>
      </c>
      <c r="Z1" s="693"/>
      <c r="AA1" s="694" t="s">
        <v>1595</v>
      </c>
      <c r="AB1" s="694"/>
      <c r="AC1" s="695" t="s">
        <v>1596</v>
      </c>
      <c r="AD1" s="695"/>
      <c r="AE1" s="691" t="s">
        <v>1597</v>
      </c>
      <c r="AF1" s="691"/>
      <c r="AH1" s="688" t="s">
        <v>183</v>
      </c>
      <c r="AI1" s="688"/>
      <c r="AJ1" s="692" t="s">
        <v>1593</v>
      </c>
      <c r="AK1" s="692"/>
      <c r="AL1" s="693" t="s">
        <v>1594</v>
      </c>
      <c r="AM1" s="693"/>
      <c r="AN1" s="694" t="s">
        <v>1595</v>
      </c>
      <c r="AO1" s="694"/>
      <c r="AP1" s="695" t="s">
        <v>1596</v>
      </c>
      <c r="AQ1" s="695"/>
      <c r="AR1" s="691" t="s">
        <v>1597</v>
      </c>
      <c r="AS1" s="691"/>
      <c r="AU1" s="688" t="s">
        <v>183</v>
      </c>
      <c r="AV1" s="688"/>
      <c r="AW1" s="692" t="s">
        <v>1593</v>
      </c>
      <c r="AX1" s="692"/>
      <c r="AY1" s="693" t="s">
        <v>1594</v>
      </c>
      <c r="AZ1" s="693"/>
      <c r="BA1" s="694" t="s">
        <v>1595</v>
      </c>
      <c r="BB1" s="694"/>
      <c r="BC1" s="695" t="s">
        <v>1596</v>
      </c>
      <c r="BD1" s="695"/>
      <c r="BE1" s="691" t="s">
        <v>1597</v>
      </c>
      <c r="BF1" s="691"/>
      <c r="BK1" s="690" t="s">
        <v>183</v>
      </c>
      <c r="BL1" s="690"/>
      <c r="BM1" s="690"/>
      <c r="BN1" s="690"/>
      <c r="BO1" s="690"/>
      <c r="BP1" s="690"/>
      <c r="BQ1" s="690" t="s">
        <v>1593</v>
      </c>
      <c r="BR1" s="690"/>
      <c r="BS1" s="690"/>
      <c r="BT1" s="690"/>
      <c r="BU1" s="690"/>
      <c r="BV1" s="690"/>
      <c r="BW1" s="690" t="s">
        <v>1594</v>
      </c>
      <c r="BX1" s="690"/>
      <c r="BY1" s="690"/>
      <c r="BZ1" s="690"/>
      <c r="CA1" s="690"/>
      <c r="CB1" s="690"/>
      <c r="CC1" s="689" t="s">
        <v>1595</v>
      </c>
      <c r="CD1" s="689"/>
      <c r="CE1" s="689"/>
      <c r="CF1" s="689"/>
      <c r="CG1" s="689"/>
      <c r="CH1" s="689"/>
      <c r="CI1" s="689"/>
      <c r="CJ1" s="689"/>
      <c r="CK1" s="689"/>
      <c r="CL1" s="689"/>
      <c r="CM1" s="689"/>
      <c r="CN1" s="689"/>
    </row>
    <row r="2" spans="1:98" ht="31">
      <c r="A2" s="498" t="s">
        <v>0</v>
      </c>
      <c r="B2" s="340" t="s">
        <v>181</v>
      </c>
      <c r="C2" s="340" t="s">
        <v>179</v>
      </c>
      <c r="D2" s="341" t="s">
        <v>180</v>
      </c>
      <c r="E2" s="340" t="s">
        <v>181</v>
      </c>
      <c r="F2" s="340" t="s">
        <v>179</v>
      </c>
      <c r="G2" s="341" t="s">
        <v>180</v>
      </c>
      <c r="H2" s="340" t="s">
        <v>181</v>
      </c>
      <c r="I2" s="340" t="s">
        <v>179</v>
      </c>
      <c r="J2" s="341" t="s">
        <v>180</v>
      </c>
      <c r="K2" s="340" t="s">
        <v>181</v>
      </c>
      <c r="L2" s="340" t="s">
        <v>179</v>
      </c>
      <c r="M2" s="341" t="s">
        <v>180</v>
      </c>
      <c r="N2" s="340" t="s">
        <v>181</v>
      </c>
      <c r="O2" s="340" t="s">
        <v>179</v>
      </c>
      <c r="P2" s="341" t="s">
        <v>180</v>
      </c>
      <c r="Q2" s="340" t="s">
        <v>181</v>
      </c>
      <c r="R2" s="340" t="s">
        <v>179</v>
      </c>
      <c r="S2" s="341" t="s">
        <v>180</v>
      </c>
      <c r="U2" s="347" t="s">
        <v>185</v>
      </c>
      <c r="V2" s="347" t="s">
        <v>186</v>
      </c>
      <c r="W2" s="348" t="s">
        <v>185</v>
      </c>
      <c r="X2" s="348" t="s">
        <v>186</v>
      </c>
      <c r="Y2" s="583" t="s">
        <v>185</v>
      </c>
      <c r="Z2" s="583" t="s">
        <v>186</v>
      </c>
      <c r="AA2" s="584" t="s">
        <v>185</v>
      </c>
      <c r="AB2" s="584" t="s">
        <v>186</v>
      </c>
      <c r="AC2" s="585" t="s">
        <v>185</v>
      </c>
      <c r="AD2" s="585" t="s">
        <v>186</v>
      </c>
      <c r="AE2" s="586" t="s">
        <v>185</v>
      </c>
      <c r="AF2" s="586" t="s">
        <v>186</v>
      </c>
      <c r="AH2" s="347" t="s">
        <v>187</v>
      </c>
      <c r="AI2" s="347" t="s">
        <v>188</v>
      </c>
      <c r="AJ2" s="348" t="s">
        <v>187</v>
      </c>
      <c r="AK2" s="348" t="s">
        <v>188</v>
      </c>
      <c r="AL2" s="583" t="s">
        <v>187</v>
      </c>
      <c r="AM2" s="583" t="s">
        <v>188</v>
      </c>
      <c r="AN2" s="584" t="s">
        <v>187</v>
      </c>
      <c r="AO2" s="584" t="s">
        <v>188</v>
      </c>
      <c r="AP2" s="588" t="s">
        <v>187</v>
      </c>
      <c r="AQ2" s="588" t="s">
        <v>188</v>
      </c>
      <c r="AR2" s="587" t="s">
        <v>187</v>
      </c>
      <c r="AS2" s="587" t="s">
        <v>188</v>
      </c>
      <c r="AU2" s="347" t="s">
        <v>1310</v>
      </c>
      <c r="AV2" s="347" t="s">
        <v>1311</v>
      </c>
      <c r="AW2" s="348" t="s">
        <v>1310</v>
      </c>
      <c r="AX2" s="348" t="s">
        <v>1311</v>
      </c>
      <c r="AY2" s="583" t="s">
        <v>1310</v>
      </c>
      <c r="AZ2" s="583" t="s">
        <v>1311</v>
      </c>
      <c r="BA2" s="584" t="s">
        <v>1310</v>
      </c>
      <c r="BB2" s="584" t="s">
        <v>1311</v>
      </c>
      <c r="BC2" s="585" t="s">
        <v>1310</v>
      </c>
      <c r="BD2" s="585" t="s">
        <v>1311</v>
      </c>
      <c r="BE2" s="586" t="s">
        <v>1310</v>
      </c>
      <c r="BF2" s="586" t="s">
        <v>1311</v>
      </c>
      <c r="BK2" s="35" t="s">
        <v>1801</v>
      </c>
      <c r="BL2" s="35" t="s">
        <v>1802</v>
      </c>
      <c r="BM2" s="35" t="s">
        <v>1794</v>
      </c>
      <c r="BN2" s="35" t="s">
        <v>1797</v>
      </c>
      <c r="BO2" s="35" t="s">
        <v>1786</v>
      </c>
      <c r="BP2" s="35" t="s">
        <v>1785</v>
      </c>
      <c r="BQ2" s="35" t="s">
        <v>1801</v>
      </c>
      <c r="BR2" s="35" t="s">
        <v>1802</v>
      </c>
      <c r="BS2" s="35" t="s">
        <v>1794</v>
      </c>
      <c r="BT2" s="35" t="s">
        <v>1797</v>
      </c>
      <c r="BU2" s="35" t="s">
        <v>1786</v>
      </c>
      <c r="BV2" s="35" t="s">
        <v>1785</v>
      </c>
      <c r="BW2" s="35" t="s">
        <v>1801</v>
      </c>
      <c r="BX2" s="35" t="s">
        <v>1802</v>
      </c>
      <c r="BY2" s="35" t="s">
        <v>1794</v>
      </c>
      <c r="BZ2" s="35" t="s">
        <v>1797</v>
      </c>
      <c r="CA2" s="35" t="s">
        <v>1786</v>
      </c>
      <c r="CB2" s="35" t="s">
        <v>1785</v>
      </c>
      <c r="CC2" s="35" t="s">
        <v>1801</v>
      </c>
      <c r="CD2" s="35" t="s">
        <v>1802</v>
      </c>
      <c r="CE2" s="35" t="s">
        <v>1794</v>
      </c>
      <c r="CF2" s="35" t="s">
        <v>1797</v>
      </c>
      <c r="CG2" s="35" t="s">
        <v>1786</v>
      </c>
      <c r="CH2" s="35" t="s">
        <v>1785</v>
      </c>
      <c r="CI2" s="35"/>
      <c r="CJ2" s="35"/>
      <c r="CK2" s="35"/>
      <c r="CL2" s="35"/>
      <c r="CM2" s="35"/>
      <c r="CN2" s="35"/>
      <c r="CO2" s="35"/>
      <c r="CP2" s="35"/>
      <c r="CQ2" s="35"/>
      <c r="CR2" s="35"/>
      <c r="CS2" s="35"/>
      <c r="CT2" s="35"/>
    </row>
    <row r="3" spans="1:98">
      <c r="A3" s="14">
        <v>44690</v>
      </c>
      <c r="B3" t="s">
        <v>182</v>
      </c>
      <c r="C3" t="s">
        <v>182</v>
      </c>
      <c r="D3" t="s">
        <v>182</v>
      </c>
      <c r="E3" t="s">
        <v>182</v>
      </c>
      <c r="F3" t="s">
        <v>182</v>
      </c>
      <c r="G3" t="s">
        <v>182</v>
      </c>
      <c r="H3" t="s">
        <v>182</v>
      </c>
      <c r="I3" t="s">
        <v>182</v>
      </c>
      <c r="J3" t="s">
        <v>182</v>
      </c>
      <c r="K3" t="s">
        <v>182</v>
      </c>
      <c r="L3" t="s">
        <v>182</v>
      </c>
      <c r="M3" t="s">
        <v>182</v>
      </c>
      <c r="N3" t="s">
        <v>182</v>
      </c>
      <c r="O3" t="s">
        <v>182</v>
      </c>
      <c r="P3" t="s">
        <v>182</v>
      </c>
      <c r="Q3" t="s">
        <v>182</v>
      </c>
      <c r="R3" t="s">
        <v>182</v>
      </c>
      <c r="S3" t="s">
        <v>182</v>
      </c>
      <c r="U3" s="77" t="s">
        <v>182</v>
      </c>
      <c r="V3" s="77" t="s">
        <v>182</v>
      </c>
      <c r="W3" s="77" t="s">
        <v>182</v>
      </c>
      <c r="X3" s="77" t="s">
        <v>182</v>
      </c>
      <c r="Y3" s="77" t="s">
        <v>182</v>
      </c>
      <c r="Z3" s="77" t="s">
        <v>182</v>
      </c>
      <c r="AA3" s="77" t="s">
        <v>182</v>
      </c>
      <c r="AB3" s="77" t="s">
        <v>182</v>
      </c>
      <c r="AC3" s="77" t="s">
        <v>182</v>
      </c>
      <c r="AD3" s="77" t="s">
        <v>182</v>
      </c>
      <c r="AE3" s="77" t="s">
        <v>182</v>
      </c>
      <c r="AF3" s="77" t="s">
        <v>182</v>
      </c>
      <c r="AH3" s="77" t="s">
        <v>182</v>
      </c>
      <c r="AI3" s="77" t="s">
        <v>182</v>
      </c>
      <c r="AJ3" s="77" t="s">
        <v>182</v>
      </c>
      <c r="AK3" s="77" t="s">
        <v>182</v>
      </c>
      <c r="AL3" s="77" t="s">
        <v>182</v>
      </c>
      <c r="AM3" s="77" t="s">
        <v>182</v>
      </c>
      <c r="AN3" s="77" t="s">
        <v>182</v>
      </c>
      <c r="AO3" s="77" t="s">
        <v>182</v>
      </c>
      <c r="AP3" s="77" t="s">
        <v>182</v>
      </c>
      <c r="AQ3" s="77" t="s">
        <v>182</v>
      </c>
      <c r="AR3" s="77" t="s">
        <v>182</v>
      </c>
      <c r="AS3" s="77" t="s">
        <v>182</v>
      </c>
      <c r="AU3" s="77" t="s">
        <v>182</v>
      </c>
      <c r="AV3" s="77" t="s">
        <v>182</v>
      </c>
      <c r="AW3" s="77" t="s">
        <v>182</v>
      </c>
      <c r="AX3" s="77" t="s">
        <v>182</v>
      </c>
      <c r="AY3" s="77" t="s">
        <v>182</v>
      </c>
      <c r="AZ3" s="77" t="s">
        <v>182</v>
      </c>
      <c r="BA3" s="77" t="s">
        <v>182</v>
      </c>
      <c r="BB3" s="77" t="s">
        <v>182</v>
      </c>
      <c r="BC3" s="77" t="s">
        <v>182</v>
      </c>
      <c r="BD3" s="77" t="s">
        <v>182</v>
      </c>
      <c r="BE3" s="77" t="s">
        <v>182</v>
      </c>
      <c r="BF3" s="77" t="s">
        <v>182</v>
      </c>
      <c r="BK3" s="12" t="e">
        <f>((BO3-BP3)*$BJ$12)/$BJ$11</f>
        <v>#VALUE!</v>
      </c>
      <c r="BL3" t="e">
        <f>(BP3*$BJ$12)/$BJ$11</f>
        <v>#VALUE!</v>
      </c>
      <c r="BM3" t="e">
        <f>BK3*$BJ$14</f>
        <v>#VALUE!</v>
      </c>
      <c r="BN3" t="e">
        <f>BL3*$BJ$15</f>
        <v>#VALUE!</v>
      </c>
      <c r="BO3" t="e">
        <f>D3-C3</f>
        <v>#VALUE!</v>
      </c>
      <c r="BP3" t="e">
        <f>C3-B3</f>
        <v>#VALUE!</v>
      </c>
      <c r="BQ3" s="12" t="e">
        <f>((BU3-BV3)*$BJ$12)/$BJ$11</f>
        <v>#VALUE!</v>
      </c>
      <c r="BR3" t="e">
        <f>(BV3*$BJ$12)/$BJ$11</f>
        <v>#VALUE!</v>
      </c>
      <c r="BS3" t="e">
        <f>BQ3*$BJ$14</f>
        <v>#VALUE!</v>
      </c>
      <c r="BT3" t="e">
        <f>BR3*$BJ$15</f>
        <v>#VALUE!</v>
      </c>
      <c r="BU3" t="e">
        <f>G3-F3</f>
        <v>#VALUE!</v>
      </c>
      <c r="BV3" t="e">
        <f>F3-E3</f>
        <v>#VALUE!</v>
      </c>
      <c r="BW3" s="12" t="e">
        <f>((CA3-CB3)*$BJ$12)/$BJ$11</f>
        <v>#VALUE!</v>
      </c>
      <c r="BX3" t="e">
        <f>(CB3*$BJ$12)/$BJ$11</f>
        <v>#VALUE!</v>
      </c>
      <c r="BY3" t="e">
        <f>BW3*$BJ$14</f>
        <v>#VALUE!</v>
      </c>
      <c r="BZ3" t="e">
        <f>BX3*$BJ$15</f>
        <v>#VALUE!</v>
      </c>
      <c r="CA3" t="e">
        <f>J3-I3</f>
        <v>#VALUE!</v>
      </c>
      <c r="CB3" t="e">
        <f>I3-H3</f>
        <v>#VALUE!</v>
      </c>
      <c r="CC3" s="12" t="e">
        <f>((CG3-CH3)*$BJ$12)/$BJ$11</f>
        <v>#VALUE!</v>
      </c>
      <c r="CD3" t="e">
        <f>(CH3*$BJ$12)/$BJ$11</f>
        <v>#VALUE!</v>
      </c>
      <c r="CE3" t="e">
        <f>CC3*$BJ$14</f>
        <v>#VALUE!</v>
      </c>
      <c r="CF3" t="e">
        <f>CD3*$BJ$15</f>
        <v>#VALUE!</v>
      </c>
      <c r="CG3" t="e">
        <f>M3-L3</f>
        <v>#VALUE!</v>
      </c>
      <c r="CH3" t="e">
        <f>L3-K3</f>
        <v>#VALUE!</v>
      </c>
    </row>
    <row r="4" spans="1:98">
      <c r="A4" s="14">
        <v>44694</v>
      </c>
      <c r="B4">
        <v>3.3</v>
      </c>
      <c r="C4">
        <v>3.9</v>
      </c>
      <c r="D4">
        <v>10.199999999999999</v>
      </c>
      <c r="E4">
        <v>10.35</v>
      </c>
      <c r="F4">
        <v>10.8</v>
      </c>
      <c r="G4">
        <v>16.2</v>
      </c>
      <c r="H4">
        <v>16.2</v>
      </c>
      <c r="I4">
        <v>16.600000000000001</v>
      </c>
      <c r="J4">
        <v>22.4</v>
      </c>
      <c r="K4">
        <v>22.4</v>
      </c>
      <c r="L4">
        <v>22.7</v>
      </c>
      <c r="M4">
        <v>27.7</v>
      </c>
      <c r="N4">
        <v>27.7</v>
      </c>
      <c r="O4">
        <v>28.5</v>
      </c>
      <c r="P4">
        <v>33.5</v>
      </c>
      <c r="Q4">
        <v>33.5</v>
      </c>
      <c r="R4">
        <v>34.299999999999997</v>
      </c>
      <c r="S4">
        <v>39.700000000000003</v>
      </c>
      <c r="U4" s="77">
        <f>((((D4-C4)*0.06)/20)*1000)*100</f>
        <v>1889.9999999999995</v>
      </c>
      <c r="V4" s="77">
        <f>((((C4-B4)*0.06)/20)*1000)*100</f>
        <v>180.00000000000003</v>
      </c>
      <c r="W4" s="77">
        <f>((((G4-F4)*0.06)/20)*1000)*100</f>
        <v>1619.9999999999995</v>
      </c>
      <c r="X4" s="77">
        <f>((((F4-E4)*0.06)/20)*1000)*100</f>
        <v>135.00000000000031</v>
      </c>
      <c r="Y4" s="77">
        <f>((((J4-I4)*0.06)/20)*1000)*100</f>
        <v>1739.9999999999991</v>
      </c>
      <c r="Z4" s="77">
        <f>((((I4-H4)*0.06)/20)*1000)*100</f>
        <v>120.00000000000061</v>
      </c>
      <c r="AA4" s="77">
        <f>((((M4-L4)*0.06)/20)*1000)*100</f>
        <v>1500</v>
      </c>
      <c r="AB4" s="77">
        <f>((((L4-K4)*0.06)/20)*1000)*100</f>
        <v>90.000000000000199</v>
      </c>
      <c r="AC4" s="77">
        <f>((((P4-O4)*0.06)/20)*1000)*100</f>
        <v>1500</v>
      </c>
      <c r="AD4" s="77">
        <f>((((O4-N4)*0.06)/20)*1000)*100</f>
        <v>240.00000000000023</v>
      </c>
      <c r="AE4" s="77">
        <f>((((S4-R4)*0.06)/20)*1000)*100</f>
        <v>1620.0000000000018</v>
      </c>
      <c r="AF4" s="77">
        <f>((((R4-Q4)*0.06)/20)*1000)*100</f>
        <v>239.99999999999915</v>
      </c>
      <c r="AH4" s="589">
        <f t="shared" ref="AH4:AS4" si="0">(U4/100)*84</f>
        <v>1587.5999999999997</v>
      </c>
      <c r="AI4" s="589">
        <f t="shared" si="0"/>
        <v>151.20000000000002</v>
      </c>
      <c r="AJ4" s="589">
        <f t="shared" si="0"/>
        <v>1360.7999999999997</v>
      </c>
      <c r="AK4" s="589">
        <f t="shared" si="0"/>
        <v>113.40000000000026</v>
      </c>
      <c r="AL4" s="589">
        <f t="shared" si="0"/>
        <v>1461.5999999999992</v>
      </c>
      <c r="AM4" s="589">
        <f t="shared" si="0"/>
        <v>100.80000000000052</v>
      </c>
      <c r="AN4" s="589">
        <f t="shared" si="0"/>
        <v>1260</v>
      </c>
      <c r="AO4" s="589">
        <f t="shared" si="0"/>
        <v>75.600000000000165</v>
      </c>
      <c r="AP4" s="589">
        <f t="shared" si="0"/>
        <v>1260</v>
      </c>
      <c r="AQ4" s="589">
        <f t="shared" si="0"/>
        <v>201.60000000000019</v>
      </c>
      <c r="AR4" s="589">
        <f t="shared" si="0"/>
        <v>1360.8000000000015</v>
      </c>
      <c r="AS4" s="589">
        <f t="shared" si="0"/>
        <v>201.59999999999928</v>
      </c>
      <c r="AU4" s="589">
        <f>(D4-C4)*60.01</f>
        <v>378.06299999999993</v>
      </c>
      <c r="AV4" s="589">
        <f>(C4-B4)*60.01</f>
        <v>36.006000000000007</v>
      </c>
      <c r="AW4" s="589">
        <f>(G4-F4)*60.01</f>
        <v>324.05399999999992</v>
      </c>
      <c r="AX4" s="589">
        <f>(F4-E4)*60.01</f>
        <v>27.004500000000064</v>
      </c>
      <c r="AY4" s="589">
        <f>(J4-I4)*60.01</f>
        <v>348.05799999999982</v>
      </c>
      <c r="AZ4" s="589">
        <f>(I4-H4)*60.01</f>
        <v>24.004000000000126</v>
      </c>
      <c r="BA4" s="589">
        <f>(M4-L4)*60.01</f>
        <v>300.05</v>
      </c>
      <c r="BB4" s="589">
        <f>(L4-K4)*60.01</f>
        <v>18.003000000000043</v>
      </c>
      <c r="BC4" s="589">
        <f>(P4-O4)*60.01</f>
        <v>300.05</v>
      </c>
      <c r="BD4" s="589">
        <f>(O4-N4)*60.01</f>
        <v>48.008000000000038</v>
      </c>
      <c r="BE4" s="589">
        <f>(S4-R4)*60.01</f>
        <v>324.05400000000031</v>
      </c>
      <c r="BF4" s="589">
        <f>(R4-Q4)*60.01</f>
        <v>48.007999999999825</v>
      </c>
      <c r="BK4" s="12">
        <f t="shared" ref="BK4:BK9" si="1">((BO4-BP4)*$BJ$12)/$BJ$11</f>
        <v>5.6999999999999993</v>
      </c>
      <c r="BL4">
        <f t="shared" ref="BL4:BL9" si="2">(BP4*$BJ$12)/$BJ$11</f>
        <v>0.60000000000000009</v>
      </c>
      <c r="BM4">
        <f t="shared" ref="BM4:BM9" si="3">BK4*$BJ$14</f>
        <v>347.69999999999993</v>
      </c>
      <c r="BN4">
        <f t="shared" ref="BN4:BN9" si="4">BL4*$BJ$15</f>
        <v>36.000000000000007</v>
      </c>
      <c r="BO4">
        <f t="shared" ref="BO4:BO9" si="5">D4-C4</f>
        <v>6.2999999999999989</v>
      </c>
      <c r="BP4">
        <f t="shared" ref="BP4:BP9" si="6">C4-B4</f>
        <v>0.60000000000000009</v>
      </c>
      <c r="BQ4" s="12">
        <f t="shared" ref="BQ4:BQ9" si="7">((BU4-BV4)*$BJ$12)/$BJ$11</f>
        <v>4.9499999999999975</v>
      </c>
      <c r="BR4">
        <f t="shared" ref="BR4:BR9" si="8">(BV4*$BJ$12)/$BJ$11</f>
        <v>0.45000000000000107</v>
      </c>
      <c r="BS4">
        <f t="shared" ref="BS4:BS9" si="9">BQ4*$BJ$14</f>
        <v>301.94999999999987</v>
      </c>
      <c r="BT4">
        <f t="shared" ref="BT4:BT9" si="10">BR4*$BJ$15</f>
        <v>27.000000000000064</v>
      </c>
      <c r="BU4">
        <f t="shared" ref="BU4:BU9" si="11">G4-F4</f>
        <v>5.3999999999999986</v>
      </c>
      <c r="BV4">
        <f t="shared" ref="BV4:BV9" si="12">F4-E4</f>
        <v>0.45000000000000107</v>
      </c>
      <c r="BW4" s="12">
        <f t="shared" ref="BW4:BW9" si="13">((CA4-CB4)*$BJ$12)/$BJ$11</f>
        <v>5.399999999999995</v>
      </c>
      <c r="BX4">
        <f t="shared" ref="BX4:BX9" si="14">(CB4*$BJ$12)/$BJ$11</f>
        <v>0.40000000000000213</v>
      </c>
      <c r="BY4">
        <f t="shared" ref="BY4:BY9" si="15">BW4*$BJ$14</f>
        <v>329.39999999999969</v>
      </c>
      <c r="BZ4">
        <f t="shared" ref="BZ4:BZ9" si="16">BX4*$BJ$15</f>
        <v>24.000000000000128</v>
      </c>
      <c r="CA4">
        <f t="shared" ref="CA4:CA9" si="17">J4-I4</f>
        <v>5.7999999999999972</v>
      </c>
      <c r="CB4">
        <f t="shared" ref="CB4:CB9" si="18">I4-H4</f>
        <v>0.40000000000000213</v>
      </c>
      <c r="CC4" s="12">
        <f t="shared" ref="CC4:CC9" si="19">((CG4-CH4)*$BJ$12)/$BJ$11</f>
        <v>4.6999999999999993</v>
      </c>
      <c r="CD4">
        <f t="shared" ref="CD4:CD9" si="20">(CH4*$BJ$12)/$BJ$11</f>
        <v>0.30000000000000071</v>
      </c>
      <c r="CE4">
        <f t="shared" ref="CE4:CE9" si="21">CC4*$BJ$14</f>
        <v>286.69999999999993</v>
      </c>
      <c r="CF4">
        <f t="shared" ref="CF4:CF9" si="22">CD4*$BJ$15</f>
        <v>18.000000000000043</v>
      </c>
      <c r="CG4">
        <f t="shared" ref="CG4:CG9" si="23">M4-L4</f>
        <v>5</v>
      </c>
      <c r="CH4">
        <f t="shared" ref="CH4:CH9" si="24">L4-K4</f>
        <v>0.30000000000000071</v>
      </c>
    </row>
    <row r="5" spans="1:98">
      <c r="A5" s="14">
        <v>44697</v>
      </c>
      <c r="B5">
        <v>7.6</v>
      </c>
      <c r="C5">
        <v>8.1999999999999993</v>
      </c>
      <c r="D5">
        <v>13</v>
      </c>
      <c r="E5">
        <v>13</v>
      </c>
      <c r="F5">
        <v>13.5</v>
      </c>
      <c r="G5">
        <v>18.3</v>
      </c>
      <c r="H5">
        <v>18.3</v>
      </c>
      <c r="I5">
        <v>18.8</v>
      </c>
      <c r="J5">
        <v>23.8</v>
      </c>
      <c r="K5">
        <v>23.8</v>
      </c>
      <c r="L5">
        <v>24.2</v>
      </c>
      <c r="M5">
        <v>28.9</v>
      </c>
      <c r="N5">
        <v>28.9</v>
      </c>
      <c r="O5">
        <v>29.5</v>
      </c>
      <c r="P5">
        <v>34.4</v>
      </c>
      <c r="Q5">
        <v>34.4</v>
      </c>
      <c r="R5">
        <v>35</v>
      </c>
      <c r="S5">
        <v>39.9</v>
      </c>
      <c r="U5" s="77">
        <f t="shared" ref="U5:U8" si="25">((((D5-C5)*0.06)/20)*1000)*100</f>
        <v>1440.0000000000002</v>
      </c>
      <c r="V5" s="77">
        <f t="shared" ref="V5:V8" si="26">((((C5-B5)*0.06)/20)*1000)*100</f>
        <v>179.99999999999989</v>
      </c>
      <c r="W5" s="77">
        <f t="shared" ref="W5:W8" si="27">((((G5-F5)*0.06)/20)*1000)*100</f>
        <v>1440.0000000000002</v>
      </c>
      <c r="X5" s="77">
        <f t="shared" ref="X5:X8" si="28">((((F5-E5)*0.06)/20)*1000)*100</f>
        <v>150</v>
      </c>
      <c r="Y5" s="77">
        <f t="shared" ref="Y5:Y8" si="29">((((J5-I5)*0.06)/20)*1000)*100</f>
        <v>1500</v>
      </c>
      <c r="Z5" s="77">
        <f t="shared" ref="Z5:Z8" si="30">((((I5-H5)*0.06)/20)*1000)*100</f>
        <v>150</v>
      </c>
      <c r="AA5" s="77">
        <f t="shared" ref="AA5:AA8" si="31">((((M5-L5)*0.06)/20)*1000)*100</f>
        <v>1409.9999999999998</v>
      </c>
      <c r="AB5" s="77">
        <f t="shared" ref="AB5:AB8" si="32">((((L5-K5)*0.06)/20)*1000)*100</f>
        <v>119.99999999999957</v>
      </c>
      <c r="AC5" s="77">
        <f t="shared" ref="AC5:AC8" si="33">((((P5-O5)*0.06)/20)*1000)*100</f>
        <v>1469.9999999999995</v>
      </c>
      <c r="AD5" s="77">
        <f t="shared" ref="AD5:AD8" si="34">((((O5-N5)*0.06)/20)*1000)*100</f>
        <v>180.0000000000004</v>
      </c>
      <c r="AE5" s="77">
        <f t="shared" ref="AE5:AE8" si="35">((((S5-R5)*0.06)/20)*1000)*100</f>
        <v>1469.9999999999995</v>
      </c>
      <c r="AF5" s="77">
        <f t="shared" ref="AF5:AF8" si="36">((((R5-Q5)*0.06)/20)*1000)*100</f>
        <v>180.0000000000004</v>
      </c>
      <c r="AH5" s="589">
        <f t="shared" ref="AH5:AH8" si="37">(U5/100)*84</f>
        <v>1209.6000000000001</v>
      </c>
      <c r="AI5" s="589">
        <f t="shared" ref="AI5:AI8" si="38">(V5/100)*84</f>
        <v>151.1999999999999</v>
      </c>
      <c r="AJ5" s="589">
        <f t="shared" ref="AJ5:AJ8" si="39">(W5/100)*84</f>
        <v>1209.6000000000001</v>
      </c>
      <c r="AK5" s="589">
        <f t="shared" ref="AK5:AK8" si="40">(X5/100)*84</f>
        <v>126</v>
      </c>
      <c r="AL5" s="589">
        <f t="shared" ref="AL5:AL8" si="41">(Y5/100)*84</f>
        <v>1260</v>
      </c>
      <c r="AM5" s="589">
        <f t="shared" ref="AM5:AM8" si="42">(Z5/100)*84</f>
        <v>126</v>
      </c>
      <c r="AN5" s="589">
        <f t="shared" ref="AN5:AN8" si="43">(AA5/100)*84</f>
        <v>1184.3999999999999</v>
      </c>
      <c r="AO5" s="589">
        <f t="shared" ref="AO5:AO8" si="44">(AB5/100)*84</f>
        <v>100.79999999999964</v>
      </c>
      <c r="AP5" s="589">
        <f t="shared" ref="AP5:AP8" si="45">(AC5/100)*84</f>
        <v>1234.7999999999997</v>
      </c>
      <c r="AQ5" s="589">
        <f t="shared" ref="AQ5:AQ8" si="46">(AD5/100)*84</f>
        <v>151.20000000000033</v>
      </c>
      <c r="AR5" s="589">
        <f t="shared" ref="AR5:AR8" si="47">(AE5/100)*84</f>
        <v>1234.7999999999997</v>
      </c>
      <c r="AS5" s="589">
        <f t="shared" ref="AS5:AS8" si="48">(AF5/100)*84</f>
        <v>151.20000000000033</v>
      </c>
      <c r="AU5" s="589">
        <f t="shared" ref="AU5:AU8" si="49">(D5-C5)*60.01</f>
        <v>288.04800000000006</v>
      </c>
      <c r="AV5" s="589">
        <f t="shared" ref="AV5:AV8" si="50">(C5-B5)*60.01</f>
        <v>36.005999999999979</v>
      </c>
      <c r="AW5" s="589">
        <f t="shared" ref="AW5:AW8" si="51">(G5-F5)*60.01</f>
        <v>288.04800000000006</v>
      </c>
      <c r="AX5" s="589">
        <f t="shared" ref="AX5:AX8" si="52">(F5-E5)*60.01</f>
        <v>30.004999999999999</v>
      </c>
      <c r="AY5" s="589">
        <f t="shared" ref="AY5:AY8" si="53">(J5-I5)*60.01</f>
        <v>300.05</v>
      </c>
      <c r="AZ5" s="589">
        <f t="shared" ref="AZ5:AZ8" si="54">(I5-H5)*60.01</f>
        <v>30.004999999999999</v>
      </c>
      <c r="BA5" s="589">
        <f t="shared" ref="BA5:BA8" si="55">(M5-L5)*60.01</f>
        <v>282.04699999999997</v>
      </c>
      <c r="BB5" s="589">
        <f t="shared" ref="BB5:BB8" si="56">(L5-K5)*60.01</f>
        <v>24.003999999999913</v>
      </c>
      <c r="BC5" s="589">
        <f t="shared" ref="BC5:BC8" si="57">(P5-O5)*60.01</f>
        <v>294.04899999999992</v>
      </c>
      <c r="BD5" s="589">
        <f t="shared" ref="BD5:BD8" si="58">(O5-N5)*60.01</f>
        <v>36.006000000000085</v>
      </c>
      <c r="BE5" s="589">
        <f t="shared" ref="BE5:BE8" si="59">(S5-R5)*60.01</f>
        <v>294.04899999999992</v>
      </c>
      <c r="BF5" s="589">
        <f t="shared" ref="BF5:BF8" si="60">(R5-Q5)*60.01</f>
        <v>36.006000000000085</v>
      </c>
      <c r="BK5" s="12">
        <f t="shared" si="1"/>
        <v>4.2000000000000011</v>
      </c>
      <c r="BL5">
        <f t="shared" si="2"/>
        <v>0.59999999999999964</v>
      </c>
      <c r="BM5">
        <f t="shared" si="3"/>
        <v>256.20000000000005</v>
      </c>
      <c r="BN5">
        <f t="shared" si="4"/>
        <v>35.999999999999979</v>
      </c>
      <c r="BO5">
        <f t="shared" si="5"/>
        <v>4.8000000000000007</v>
      </c>
      <c r="BP5">
        <f t="shared" si="6"/>
        <v>0.59999999999999964</v>
      </c>
      <c r="BQ5" s="12">
        <f t="shared" si="7"/>
        <v>4.3000000000000007</v>
      </c>
      <c r="BR5">
        <f t="shared" si="8"/>
        <v>0.5</v>
      </c>
      <c r="BS5">
        <f t="shared" si="9"/>
        <v>262.30000000000007</v>
      </c>
      <c r="BT5">
        <f t="shared" si="10"/>
        <v>30</v>
      </c>
      <c r="BU5">
        <f t="shared" si="11"/>
        <v>4.8000000000000007</v>
      </c>
      <c r="BV5">
        <f t="shared" si="12"/>
        <v>0.5</v>
      </c>
      <c r="BW5" s="12">
        <f t="shared" si="13"/>
        <v>4.5</v>
      </c>
      <c r="BX5">
        <f t="shared" si="14"/>
        <v>0.5</v>
      </c>
      <c r="BY5">
        <f t="shared" si="15"/>
        <v>274.5</v>
      </c>
      <c r="BZ5">
        <f t="shared" si="16"/>
        <v>30</v>
      </c>
      <c r="CA5">
        <f t="shared" si="17"/>
        <v>5</v>
      </c>
      <c r="CB5">
        <f t="shared" si="18"/>
        <v>0.5</v>
      </c>
      <c r="CC5" s="12">
        <f t="shared" si="19"/>
        <v>4.3000000000000007</v>
      </c>
      <c r="CD5">
        <f t="shared" si="20"/>
        <v>0.39999999999999858</v>
      </c>
      <c r="CE5">
        <f t="shared" si="21"/>
        <v>262.30000000000007</v>
      </c>
      <c r="CF5">
        <f t="shared" si="22"/>
        <v>23.999999999999915</v>
      </c>
      <c r="CG5">
        <f t="shared" si="23"/>
        <v>4.6999999999999993</v>
      </c>
      <c r="CH5">
        <f t="shared" si="24"/>
        <v>0.39999999999999858</v>
      </c>
    </row>
    <row r="6" spans="1:98">
      <c r="A6" s="14">
        <v>44700</v>
      </c>
      <c r="B6">
        <v>7.9</v>
      </c>
      <c r="C6">
        <v>8.6999999999999993</v>
      </c>
      <c r="D6">
        <v>13</v>
      </c>
      <c r="E6">
        <v>13.1</v>
      </c>
      <c r="F6">
        <v>13.5</v>
      </c>
      <c r="G6">
        <v>18.399999999999999</v>
      </c>
      <c r="H6">
        <v>18.399999999999999</v>
      </c>
      <c r="I6">
        <v>18.7</v>
      </c>
      <c r="J6">
        <v>24</v>
      </c>
      <c r="K6">
        <v>24</v>
      </c>
      <c r="L6">
        <v>24.3</v>
      </c>
      <c r="M6">
        <v>29.2</v>
      </c>
      <c r="N6">
        <v>29.2</v>
      </c>
      <c r="O6">
        <v>29.8</v>
      </c>
      <c r="P6">
        <v>34.700000000000003</v>
      </c>
      <c r="Q6">
        <v>34.700000000000003</v>
      </c>
      <c r="R6">
        <v>35.5</v>
      </c>
      <c r="S6">
        <v>40.299999999999997</v>
      </c>
      <c r="U6" s="77">
        <f t="shared" si="25"/>
        <v>1290</v>
      </c>
      <c r="V6" s="77">
        <f t="shared" si="26"/>
        <v>239.99999999999969</v>
      </c>
      <c r="W6" s="77">
        <f t="shared" si="27"/>
        <v>1469.9999999999995</v>
      </c>
      <c r="X6" s="77">
        <f t="shared" si="28"/>
        <v>120.00000000000011</v>
      </c>
      <c r="Y6" s="77">
        <f t="shared" si="29"/>
        <v>1590</v>
      </c>
      <c r="Z6" s="77">
        <f t="shared" si="30"/>
        <v>90.000000000000199</v>
      </c>
      <c r="AA6" s="77">
        <f t="shared" si="31"/>
        <v>1469.9999999999995</v>
      </c>
      <c r="AB6" s="77">
        <f t="shared" si="32"/>
        <v>90.000000000000199</v>
      </c>
      <c r="AC6" s="77">
        <f t="shared" si="33"/>
        <v>1470.0000000000005</v>
      </c>
      <c r="AD6" s="77">
        <f t="shared" si="34"/>
        <v>180.0000000000004</v>
      </c>
      <c r="AE6" s="77">
        <f t="shared" si="35"/>
        <v>1439.9999999999991</v>
      </c>
      <c r="AF6" s="77">
        <f t="shared" si="36"/>
        <v>239.99999999999915</v>
      </c>
      <c r="AH6" s="589">
        <f t="shared" si="37"/>
        <v>1083.6000000000001</v>
      </c>
      <c r="AI6" s="589">
        <f t="shared" si="38"/>
        <v>201.59999999999974</v>
      </c>
      <c r="AJ6" s="589">
        <f t="shared" si="39"/>
        <v>1234.7999999999997</v>
      </c>
      <c r="AK6" s="589">
        <f t="shared" si="40"/>
        <v>100.8000000000001</v>
      </c>
      <c r="AL6" s="589">
        <f t="shared" si="41"/>
        <v>1335.6000000000001</v>
      </c>
      <c r="AM6" s="589">
        <f t="shared" si="42"/>
        <v>75.600000000000165</v>
      </c>
      <c r="AN6" s="589">
        <f t="shared" si="43"/>
        <v>1234.7999999999997</v>
      </c>
      <c r="AO6" s="589">
        <f t="shared" si="44"/>
        <v>75.600000000000165</v>
      </c>
      <c r="AP6" s="589">
        <f t="shared" si="45"/>
        <v>1234.8000000000004</v>
      </c>
      <c r="AQ6" s="589">
        <f t="shared" si="46"/>
        <v>151.20000000000033</v>
      </c>
      <c r="AR6" s="589">
        <f t="shared" si="47"/>
        <v>1209.5999999999992</v>
      </c>
      <c r="AS6" s="589">
        <f t="shared" si="48"/>
        <v>201.59999999999928</v>
      </c>
      <c r="AU6" s="589">
        <f t="shared" si="49"/>
        <v>258.04300000000001</v>
      </c>
      <c r="AV6" s="589">
        <f t="shared" si="50"/>
        <v>48.007999999999932</v>
      </c>
      <c r="AW6" s="589">
        <f t="shared" si="51"/>
        <v>294.04899999999992</v>
      </c>
      <c r="AX6" s="589">
        <f t="shared" si="52"/>
        <v>24.004000000000019</v>
      </c>
      <c r="AY6" s="589">
        <f t="shared" si="53"/>
        <v>318.05300000000005</v>
      </c>
      <c r="AZ6" s="589">
        <f t="shared" si="54"/>
        <v>18.003000000000043</v>
      </c>
      <c r="BA6" s="589">
        <f t="shared" si="55"/>
        <v>294.04899999999992</v>
      </c>
      <c r="BB6" s="589">
        <f t="shared" si="56"/>
        <v>18.003000000000043</v>
      </c>
      <c r="BC6" s="589">
        <f t="shared" si="57"/>
        <v>294.04900000000009</v>
      </c>
      <c r="BD6" s="589">
        <f t="shared" si="58"/>
        <v>36.006000000000085</v>
      </c>
      <c r="BE6" s="589">
        <f t="shared" si="59"/>
        <v>288.04799999999983</v>
      </c>
      <c r="BF6" s="589">
        <f t="shared" si="60"/>
        <v>48.007999999999825</v>
      </c>
      <c r="BK6" s="12">
        <f t="shared" si="1"/>
        <v>3.5000000000000013</v>
      </c>
      <c r="BL6">
        <f t="shared" si="2"/>
        <v>0.79999999999999893</v>
      </c>
      <c r="BM6">
        <f t="shared" si="3"/>
        <v>213.50000000000009</v>
      </c>
      <c r="BN6">
        <f t="shared" si="4"/>
        <v>47.999999999999936</v>
      </c>
      <c r="BO6">
        <f t="shared" si="5"/>
        <v>4.3000000000000007</v>
      </c>
      <c r="BP6">
        <f t="shared" si="6"/>
        <v>0.79999999999999893</v>
      </c>
      <c r="BQ6" s="12">
        <f t="shared" si="7"/>
        <v>4.4999999999999982</v>
      </c>
      <c r="BR6">
        <f t="shared" si="8"/>
        <v>0.40000000000000036</v>
      </c>
      <c r="BS6">
        <f t="shared" si="9"/>
        <v>274.49999999999989</v>
      </c>
      <c r="BT6">
        <f t="shared" si="10"/>
        <v>24.000000000000021</v>
      </c>
      <c r="BU6">
        <f t="shared" si="11"/>
        <v>4.8999999999999986</v>
      </c>
      <c r="BV6">
        <f t="shared" si="12"/>
        <v>0.40000000000000036</v>
      </c>
      <c r="BW6" s="12">
        <f t="shared" si="13"/>
        <v>5</v>
      </c>
      <c r="BX6">
        <f t="shared" si="14"/>
        <v>0.30000000000000071</v>
      </c>
      <c r="BY6">
        <f t="shared" si="15"/>
        <v>305</v>
      </c>
      <c r="BZ6">
        <f t="shared" si="16"/>
        <v>18.000000000000043</v>
      </c>
      <c r="CA6">
        <f t="shared" si="17"/>
        <v>5.3000000000000007</v>
      </c>
      <c r="CB6">
        <f t="shared" si="18"/>
        <v>0.30000000000000071</v>
      </c>
      <c r="CC6" s="12">
        <f t="shared" si="19"/>
        <v>4.5999999999999979</v>
      </c>
      <c r="CD6">
        <f t="shared" si="20"/>
        <v>0.30000000000000071</v>
      </c>
      <c r="CE6">
        <f t="shared" si="21"/>
        <v>280.59999999999985</v>
      </c>
      <c r="CF6">
        <f t="shared" si="22"/>
        <v>18.000000000000043</v>
      </c>
      <c r="CG6">
        <f t="shared" si="23"/>
        <v>4.8999999999999986</v>
      </c>
      <c r="CH6">
        <f t="shared" si="24"/>
        <v>0.30000000000000071</v>
      </c>
    </row>
    <row r="7" spans="1:98">
      <c r="A7" s="14">
        <v>44704</v>
      </c>
      <c r="B7">
        <v>7.8</v>
      </c>
      <c r="C7">
        <v>8.9</v>
      </c>
      <c r="D7">
        <v>13.4</v>
      </c>
      <c r="E7">
        <v>13.4</v>
      </c>
      <c r="F7">
        <v>13.9</v>
      </c>
      <c r="G7">
        <v>19.399999999999999</v>
      </c>
      <c r="H7">
        <v>19.399999999999999</v>
      </c>
      <c r="I7">
        <v>20</v>
      </c>
      <c r="J7">
        <v>25</v>
      </c>
      <c r="K7">
        <v>25</v>
      </c>
      <c r="L7">
        <v>25.7</v>
      </c>
      <c r="M7">
        <v>30.7</v>
      </c>
      <c r="N7">
        <v>30.7</v>
      </c>
      <c r="O7">
        <v>31.5</v>
      </c>
      <c r="P7">
        <v>36.1</v>
      </c>
      <c r="Q7">
        <v>36.1</v>
      </c>
      <c r="R7">
        <v>36.9</v>
      </c>
      <c r="S7">
        <v>41.8</v>
      </c>
      <c r="U7" s="77">
        <f t="shared" si="25"/>
        <v>1350.0000000000002</v>
      </c>
      <c r="V7" s="77">
        <f t="shared" si="26"/>
        <v>330.00000000000017</v>
      </c>
      <c r="W7" s="77">
        <f t="shared" si="27"/>
        <v>1649.9999999999993</v>
      </c>
      <c r="X7" s="77">
        <f t="shared" si="28"/>
        <v>150</v>
      </c>
      <c r="Y7" s="77">
        <f t="shared" si="29"/>
        <v>1500</v>
      </c>
      <c r="Z7" s="77">
        <f t="shared" si="30"/>
        <v>180.0000000000004</v>
      </c>
      <c r="AA7" s="77">
        <f t="shared" si="31"/>
        <v>1500</v>
      </c>
      <c r="AB7" s="77">
        <f t="shared" si="32"/>
        <v>209.99999999999977</v>
      </c>
      <c r="AC7" s="77">
        <f t="shared" si="33"/>
        <v>1380.0000000000002</v>
      </c>
      <c r="AD7" s="77">
        <f t="shared" si="34"/>
        <v>240.00000000000023</v>
      </c>
      <c r="AE7" s="77">
        <f t="shared" si="35"/>
        <v>1469.9999999999995</v>
      </c>
      <c r="AF7" s="77">
        <f t="shared" si="36"/>
        <v>239.99999999999915</v>
      </c>
      <c r="AH7" s="589">
        <f t="shared" si="37"/>
        <v>1134.0000000000002</v>
      </c>
      <c r="AI7" s="589">
        <f t="shared" si="38"/>
        <v>277.20000000000016</v>
      </c>
      <c r="AJ7" s="589">
        <f t="shared" si="39"/>
        <v>1385.9999999999993</v>
      </c>
      <c r="AK7" s="589">
        <f t="shared" si="40"/>
        <v>126</v>
      </c>
      <c r="AL7" s="589">
        <f t="shared" si="41"/>
        <v>1260</v>
      </c>
      <c r="AM7" s="589">
        <f t="shared" si="42"/>
        <v>151.20000000000033</v>
      </c>
      <c r="AN7" s="589">
        <f t="shared" si="43"/>
        <v>1260</v>
      </c>
      <c r="AO7" s="589">
        <f t="shared" si="44"/>
        <v>176.39999999999981</v>
      </c>
      <c r="AP7" s="589">
        <f t="shared" si="45"/>
        <v>1159.2000000000003</v>
      </c>
      <c r="AQ7" s="589">
        <f t="shared" si="46"/>
        <v>201.60000000000019</v>
      </c>
      <c r="AR7" s="589">
        <f t="shared" si="47"/>
        <v>1234.7999999999997</v>
      </c>
      <c r="AS7" s="589">
        <f t="shared" si="48"/>
        <v>201.59999999999928</v>
      </c>
      <c r="AU7" s="589">
        <f t="shared" si="49"/>
        <v>270.04500000000002</v>
      </c>
      <c r="AV7" s="589">
        <f t="shared" si="50"/>
        <v>66.011000000000024</v>
      </c>
      <c r="AW7" s="589">
        <f t="shared" si="51"/>
        <v>330.05499999999989</v>
      </c>
      <c r="AX7" s="589">
        <f t="shared" si="52"/>
        <v>30.004999999999999</v>
      </c>
      <c r="AY7" s="589">
        <f t="shared" si="53"/>
        <v>300.05</v>
      </c>
      <c r="AZ7" s="589">
        <f t="shared" si="54"/>
        <v>36.006000000000085</v>
      </c>
      <c r="BA7" s="589">
        <f t="shared" si="55"/>
        <v>300.05</v>
      </c>
      <c r="BB7" s="589">
        <f t="shared" si="56"/>
        <v>42.006999999999955</v>
      </c>
      <c r="BC7" s="589">
        <f t="shared" si="57"/>
        <v>276.04600000000005</v>
      </c>
      <c r="BD7" s="589">
        <f t="shared" si="58"/>
        <v>48.008000000000038</v>
      </c>
      <c r="BE7" s="589">
        <f t="shared" si="59"/>
        <v>294.04899999999992</v>
      </c>
      <c r="BF7" s="589">
        <f t="shared" si="60"/>
        <v>48.007999999999825</v>
      </c>
      <c r="BK7" s="12">
        <f t="shared" si="1"/>
        <v>3.3999999999999995</v>
      </c>
      <c r="BL7">
        <f t="shared" si="2"/>
        <v>1.1000000000000005</v>
      </c>
      <c r="BM7">
        <f t="shared" si="3"/>
        <v>207.39999999999998</v>
      </c>
      <c r="BN7">
        <f t="shared" si="4"/>
        <v>66.000000000000028</v>
      </c>
      <c r="BO7">
        <f t="shared" si="5"/>
        <v>4.5</v>
      </c>
      <c r="BP7">
        <f t="shared" si="6"/>
        <v>1.1000000000000005</v>
      </c>
      <c r="BQ7" s="12">
        <f t="shared" si="7"/>
        <v>4.9999999999999982</v>
      </c>
      <c r="BR7">
        <f t="shared" si="8"/>
        <v>0.5</v>
      </c>
      <c r="BS7">
        <f t="shared" si="9"/>
        <v>304.99999999999989</v>
      </c>
      <c r="BT7">
        <f t="shared" si="10"/>
        <v>30</v>
      </c>
      <c r="BU7">
        <f t="shared" si="11"/>
        <v>5.4999999999999982</v>
      </c>
      <c r="BV7">
        <f t="shared" si="12"/>
        <v>0.5</v>
      </c>
      <c r="BW7" s="12">
        <f t="shared" si="13"/>
        <v>4.3999999999999986</v>
      </c>
      <c r="BX7">
        <f t="shared" si="14"/>
        <v>0.60000000000000142</v>
      </c>
      <c r="BY7">
        <f t="shared" si="15"/>
        <v>268.39999999999992</v>
      </c>
      <c r="BZ7">
        <f t="shared" si="16"/>
        <v>36.000000000000085</v>
      </c>
      <c r="CA7">
        <f t="shared" si="17"/>
        <v>5</v>
      </c>
      <c r="CB7">
        <f t="shared" si="18"/>
        <v>0.60000000000000142</v>
      </c>
      <c r="CC7" s="12">
        <f t="shared" si="19"/>
        <v>4.3000000000000007</v>
      </c>
      <c r="CD7">
        <f t="shared" si="20"/>
        <v>0.69999999999999929</v>
      </c>
      <c r="CE7">
        <f t="shared" si="21"/>
        <v>262.30000000000007</v>
      </c>
      <c r="CF7">
        <f t="shared" si="22"/>
        <v>41.999999999999957</v>
      </c>
      <c r="CG7">
        <f t="shared" si="23"/>
        <v>5</v>
      </c>
      <c r="CH7">
        <f t="shared" si="24"/>
        <v>0.69999999999999929</v>
      </c>
    </row>
    <row r="8" spans="1:98">
      <c r="A8" s="14">
        <v>44706</v>
      </c>
      <c r="B8">
        <v>3.8</v>
      </c>
      <c r="C8">
        <v>4.4000000000000004</v>
      </c>
      <c r="D8">
        <v>9.5</v>
      </c>
      <c r="E8">
        <v>9.9</v>
      </c>
      <c r="F8">
        <v>10.5</v>
      </c>
      <c r="G8">
        <v>15.4</v>
      </c>
      <c r="H8">
        <v>15.4</v>
      </c>
      <c r="I8">
        <v>15.7</v>
      </c>
      <c r="J8">
        <v>20.6</v>
      </c>
      <c r="K8">
        <v>20.6</v>
      </c>
      <c r="L8">
        <v>21</v>
      </c>
      <c r="M8">
        <v>25.9</v>
      </c>
      <c r="N8">
        <v>25.9</v>
      </c>
      <c r="O8">
        <v>26.3</v>
      </c>
      <c r="P8">
        <v>31.5</v>
      </c>
      <c r="Q8">
        <v>31.5</v>
      </c>
      <c r="R8">
        <v>31.9</v>
      </c>
      <c r="S8">
        <v>36.9</v>
      </c>
      <c r="U8" s="77">
        <f t="shared" si="25"/>
        <v>1530</v>
      </c>
      <c r="V8" s="77">
        <f t="shared" si="26"/>
        <v>180.00000000000017</v>
      </c>
      <c r="W8" s="77">
        <f t="shared" si="27"/>
        <v>1470</v>
      </c>
      <c r="X8" s="77">
        <f t="shared" si="28"/>
        <v>179.99999999999989</v>
      </c>
      <c r="Y8" s="77">
        <f t="shared" si="29"/>
        <v>1470.0000000000005</v>
      </c>
      <c r="Z8" s="77">
        <f t="shared" si="30"/>
        <v>89.999999999999687</v>
      </c>
      <c r="AA8" s="77">
        <f t="shared" si="31"/>
        <v>1469.9999999999995</v>
      </c>
      <c r="AB8" s="77">
        <f t="shared" si="32"/>
        <v>119.99999999999957</v>
      </c>
      <c r="AC8" s="77">
        <f t="shared" si="33"/>
        <v>1559.9999999999998</v>
      </c>
      <c r="AD8" s="77">
        <f t="shared" si="34"/>
        <v>120.00000000000061</v>
      </c>
      <c r="AE8" s="77">
        <f t="shared" si="35"/>
        <v>1500</v>
      </c>
      <c r="AF8" s="77">
        <f t="shared" si="36"/>
        <v>119.99999999999957</v>
      </c>
      <c r="AH8" s="589">
        <f t="shared" si="37"/>
        <v>1285.2</v>
      </c>
      <c r="AI8" s="589">
        <f t="shared" si="38"/>
        <v>151.20000000000013</v>
      </c>
      <c r="AJ8" s="589">
        <f t="shared" si="39"/>
        <v>1234.8</v>
      </c>
      <c r="AK8" s="589">
        <f t="shared" si="40"/>
        <v>151.1999999999999</v>
      </c>
      <c r="AL8" s="589">
        <f t="shared" si="41"/>
        <v>1234.8000000000004</v>
      </c>
      <c r="AM8" s="589">
        <f t="shared" si="42"/>
        <v>75.599999999999739</v>
      </c>
      <c r="AN8" s="589">
        <f t="shared" si="43"/>
        <v>1234.7999999999997</v>
      </c>
      <c r="AO8" s="589">
        <f t="shared" si="44"/>
        <v>100.79999999999964</v>
      </c>
      <c r="AP8" s="589">
        <f t="shared" si="45"/>
        <v>1310.3999999999999</v>
      </c>
      <c r="AQ8" s="589">
        <f t="shared" si="46"/>
        <v>100.80000000000052</v>
      </c>
      <c r="AR8" s="589">
        <f t="shared" si="47"/>
        <v>1260</v>
      </c>
      <c r="AS8" s="589">
        <f t="shared" si="48"/>
        <v>100.79999999999964</v>
      </c>
      <c r="AU8" s="589">
        <f t="shared" si="49"/>
        <v>306.05099999999999</v>
      </c>
      <c r="AV8" s="589">
        <f t="shared" si="50"/>
        <v>36.006000000000029</v>
      </c>
      <c r="AW8" s="589">
        <f t="shared" si="51"/>
        <v>294.04900000000004</v>
      </c>
      <c r="AX8" s="589">
        <f t="shared" si="52"/>
        <v>36.005999999999979</v>
      </c>
      <c r="AY8" s="589">
        <f t="shared" si="53"/>
        <v>294.04900000000009</v>
      </c>
      <c r="AZ8" s="589">
        <f t="shared" si="54"/>
        <v>18.002999999999936</v>
      </c>
      <c r="BA8" s="589">
        <f t="shared" si="55"/>
        <v>294.04899999999992</v>
      </c>
      <c r="BB8" s="589">
        <f t="shared" si="56"/>
        <v>24.003999999999913</v>
      </c>
      <c r="BC8" s="589">
        <f t="shared" si="57"/>
        <v>312.05199999999996</v>
      </c>
      <c r="BD8" s="589">
        <f t="shared" si="58"/>
        <v>24.004000000000126</v>
      </c>
      <c r="BE8" s="589">
        <f t="shared" si="59"/>
        <v>300.05</v>
      </c>
      <c r="BF8" s="589">
        <f t="shared" si="60"/>
        <v>24.003999999999913</v>
      </c>
      <c r="BK8" s="12">
        <f t="shared" si="1"/>
        <v>4.4999999999999991</v>
      </c>
      <c r="BL8">
        <f t="shared" si="2"/>
        <v>0.60000000000000053</v>
      </c>
      <c r="BM8">
        <f t="shared" si="3"/>
        <v>274.49999999999994</v>
      </c>
      <c r="BN8">
        <f t="shared" si="4"/>
        <v>36.000000000000028</v>
      </c>
      <c r="BO8">
        <f t="shared" si="5"/>
        <v>5.0999999999999996</v>
      </c>
      <c r="BP8">
        <f t="shared" si="6"/>
        <v>0.60000000000000053</v>
      </c>
      <c r="BQ8" s="12">
        <f t="shared" si="7"/>
        <v>4.3000000000000007</v>
      </c>
      <c r="BR8">
        <f t="shared" si="8"/>
        <v>0.59999999999999964</v>
      </c>
      <c r="BS8">
        <f t="shared" si="9"/>
        <v>262.30000000000007</v>
      </c>
      <c r="BT8">
        <f t="shared" si="10"/>
        <v>35.999999999999979</v>
      </c>
      <c r="BU8">
        <f t="shared" si="11"/>
        <v>4.9000000000000004</v>
      </c>
      <c r="BV8">
        <f t="shared" si="12"/>
        <v>0.59999999999999964</v>
      </c>
      <c r="BW8" s="12">
        <f t="shared" si="13"/>
        <v>4.6000000000000032</v>
      </c>
      <c r="BX8">
        <f t="shared" si="14"/>
        <v>0.29999999999999893</v>
      </c>
      <c r="BY8">
        <f t="shared" si="15"/>
        <v>280.60000000000019</v>
      </c>
      <c r="BZ8">
        <f t="shared" si="16"/>
        <v>17.999999999999936</v>
      </c>
      <c r="CA8">
        <f t="shared" si="17"/>
        <v>4.9000000000000021</v>
      </c>
      <c r="CB8">
        <f t="shared" si="18"/>
        <v>0.29999999999999893</v>
      </c>
      <c r="CC8" s="12">
        <f t="shared" si="19"/>
        <v>4.5</v>
      </c>
      <c r="CD8">
        <f t="shared" si="20"/>
        <v>0.39999999999999858</v>
      </c>
      <c r="CE8">
        <f t="shared" si="21"/>
        <v>274.5</v>
      </c>
      <c r="CF8">
        <f t="shared" si="22"/>
        <v>23.999999999999915</v>
      </c>
      <c r="CG8">
        <f t="shared" si="23"/>
        <v>4.8999999999999986</v>
      </c>
      <c r="CH8">
        <f t="shared" si="24"/>
        <v>0.39999999999999858</v>
      </c>
    </row>
    <row r="9" spans="1:98">
      <c r="A9" s="14">
        <v>44712</v>
      </c>
      <c r="B9" t="s">
        <v>182</v>
      </c>
      <c r="C9" t="s">
        <v>182</v>
      </c>
      <c r="D9" t="s">
        <v>182</v>
      </c>
      <c r="E9" t="s">
        <v>182</v>
      </c>
      <c r="F9" t="s">
        <v>182</v>
      </c>
      <c r="G9" t="s">
        <v>182</v>
      </c>
      <c r="H9" t="s">
        <v>182</v>
      </c>
      <c r="I9" t="s">
        <v>182</v>
      </c>
      <c r="J9" t="s">
        <v>182</v>
      </c>
      <c r="K9" t="s">
        <v>182</v>
      </c>
      <c r="L9" t="s">
        <v>182</v>
      </c>
      <c r="M9" t="s">
        <v>182</v>
      </c>
      <c r="N9" t="s">
        <v>182</v>
      </c>
      <c r="O9" t="s">
        <v>182</v>
      </c>
      <c r="P9" t="s">
        <v>182</v>
      </c>
      <c r="Q9" t="s">
        <v>182</v>
      </c>
      <c r="R9" t="s">
        <v>182</v>
      </c>
      <c r="S9" t="s">
        <v>182</v>
      </c>
      <c r="U9" s="77" t="s">
        <v>182</v>
      </c>
      <c r="V9" s="77" t="s">
        <v>182</v>
      </c>
      <c r="W9" s="77" t="s">
        <v>182</v>
      </c>
      <c r="X9" s="77" t="s">
        <v>182</v>
      </c>
      <c r="Y9" s="77" t="s">
        <v>182</v>
      </c>
      <c r="Z9" s="77" t="s">
        <v>182</v>
      </c>
      <c r="AA9" s="77" t="s">
        <v>182</v>
      </c>
      <c r="AB9" s="77" t="s">
        <v>182</v>
      </c>
      <c r="AC9" s="77" t="s">
        <v>182</v>
      </c>
      <c r="AD9" s="77" t="s">
        <v>182</v>
      </c>
      <c r="AE9" s="77" t="s">
        <v>182</v>
      </c>
      <c r="AF9" s="77" t="s">
        <v>182</v>
      </c>
      <c r="AH9" s="77" t="s">
        <v>182</v>
      </c>
      <c r="AI9" s="77" t="s">
        <v>182</v>
      </c>
      <c r="AJ9" s="77" t="s">
        <v>182</v>
      </c>
      <c r="AK9" s="77" t="s">
        <v>182</v>
      </c>
      <c r="AL9" s="77" t="s">
        <v>182</v>
      </c>
      <c r="AM9" s="77" t="s">
        <v>182</v>
      </c>
      <c r="AN9" s="77" t="s">
        <v>182</v>
      </c>
      <c r="AO9" s="77" t="s">
        <v>182</v>
      </c>
      <c r="AP9" s="77" t="s">
        <v>182</v>
      </c>
      <c r="AQ9" s="77" t="s">
        <v>182</v>
      </c>
      <c r="AR9" s="77" t="s">
        <v>182</v>
      </c>
      <c r="AS9" s="77" t="s">
        <v>182</v>
      </c>
      <c r="AU9" s="77" t="s">
        <v>182</v>
      </c>
      <c r="AV9" s="77" t="s">
        <v>182</v>
      </c>
      <c r="AW9" s="77" t="s">
        <v>182</v>
      </c>
      <c r="AX9" s="77" t="s">
        <v>182</v>
      </c>
      <c r="AY9" s="77" t="s">
        <v>182</v>
      </c>
      <c r="AZ9" s="77" t="s">
        <v>182</v>
      </c>
      <c r="BA9" s="77" t="s">
        <v>182</v>
      </c>
      <c r="BB9" s="77" t="s">
        <v>182</v>
      </c>
      <c r="BC9" s="77" t="s">
        <v>182</v>
      </c>
      <c r="BD9" s="77" t="s">
        <v>182</v>
      </c>
      <c r="BE9" s="77" t="s">
        <v>182</v>
      </c>
      <c r="BF9" s="77" t="s">
        <v>182</v>
      </c>
      <c r="BK9" s="12" t="e">
        <f t="shared" si="1"/>
        <v>#VALUE!</v>
      </c>
      <c r="BL9" t="e">
        <f t="shared" si="2"/>
        <v>#VALUE!</v>
      </c>
      <c r="BM9" t="e">
        <f t="shared" si="3"/>
        <v>#VALUE!</v>
      </c>
      <c r="BN9" t="e">
        <f t="shared" si="4"/>
        <v>#VALUE!</v>
      </c>
      <c r="BO9" t="e">
        <f t="shared" si="5"/>
        <v>#VALUE!</v>
      </c>
      <c r="BP9" t="e">
        <f t="shared" si="6"/>
        <v>#VALUE!</v>
      </c>
      <c r="BQ9" s="12" t="e">
        <f t="shared" si="7"/>
        <v>#VALUE!</v>
      </c>
      <c r="BR9" t="e">
        <f t="shared" si="8"/>
        <v>#VALUE!</v>
      </c>
      <c r="BS9" t="e">
        <f t="shared" si="9"/>
        <v>#VALUE!</v>
      </c>
      <c r="BT9" t="e">
        <f t="shared" si="10"/>
        <v>#VALUE!</v>
      </c>
      <c r="BU9" t="e">
        <f t="shared" si="11"/>
        <v>#VALUE!</v>
      </c>
      <c r="BV9" t="e">
        <f t="shared" si="12"/>
        <v>#VALUE!</v>
      </c>
      <c r="BW9" s="12" t="e">
        <f t="shared" si="13"/>
        <v>#VALUE!</v>
      </c>
      <c r="BX9" t="e">
        <f t="shared" si="14"/>
        <v>#VALUE!</v>
      </c>
      <c r="BY9" t="e">
        <f t="shared" si="15"/>
        <v>#VALUE!</v>
      </c>
      <c r="BZ9" t="e">
        <f t="shared" si="16"/>
        <v>#VALUE!</v>
      </c>
      <c r="CA9" t="e">
        <f t="shared" si="17"/>
        <v>#VALUE!</v>
      </c>
      <c r="CB9" t="e">
        <f t="shared" si="18"/>
        <v>#VALUE!</v>
      </c>
      <c r="CC9" s="12" t="e">
        <f t="shared" si="19"/>
        <v>#VALUE!</v>
      </c>
      <c r="CD9" t="e">
        <f t="shared" si="20"/>
        <v>#VALUE!</v>
      </c>
      <c r="CE9" t="e">
        <f t="shared" si="21"/>
        <v>#VALUE!</v>
      </c>
      <c r="CF9" t="e">
        <f t="shared" si="22"/>
        <v>#VALUE!</v>
      </c>
      <c r="CG9" t="e">
        <f t="shared" si="23"/>
        <v>#VALUE!</v>
      </c>
      <c r="CH9" t="e">
        <f t="shared" si="24"/>
        <v>#VALUE!</v>
      </c>
    </row>
    <row r="11" spans="1:98">
      <c r="AT11" t="s">
        <v>227</v>
      </c>
      <c r="AU11" s="77">
        <f>AVERAGE(AU4:AU8)</f>
        <v>300.05</v>
      </c>
      <c r="AV11" s="77">
        <f t="shared" ref="AV11:BF11" si="61">AVERAGE(AV4:AV8)</f>
        <v>44.407399999999996</v>
      </c>
      <c r="AW11" s="77">
        <f t="shared" si="61"/>
        <v>306.05099999999993</v>
      </c>
      <c r="AX11" s="77">
        <f t="shared" si="61"/>
        <v>29.404900000000008</v>
      </c>
      <c r="AY11" s="77">
        <f t="shared" si="61"/>
        <v>312.05199999999996</v>
      </c>
      <c r="AZ11" s="77">
        <f t="shared" si="61"/>
        <v>25.204200000000036</v>
      </c>
      <c r="BA11" s="77">
        <f t="shared" si="61"/>
        <v>294.04899999999998</v>
      </c>
      <c r="BB11" s="77">
        <f t="shared" si="61"/>
        <v>25.204199999999975</v>
      </c>
      <c r="BC11" s="77">
        <f t="shared" si="61"/>
        <v>295.24919999999997</v>
      </c>
      <c r="BD11" s="77">
        <f t="shared" si="61"/>
        <v>38.406400000000076</v>
      </c>
      <c r="BE11" s="77">
        <f t="shared" si="61"/>
        <v>300.05</v>
      </c>
      <c r="BF11" s="77">
        <f t="shared" si="61"/>
        <v>40.806799999999896</v>
      </c>
      <c r="BH11" t="s">
        <v>1787</v>
      </c>
      <c r="BI11" s="77" t="s">
        <v>1788</v>
      </c>
      <c r="BJ11">
        <v>20</v>
      </c>
    </row>
    <row r="12" spans="1:98">
      <c r="BH12" t="s">
        <v>1789</v>
      </c>
      <c r="BI12" t="s">
        <v>1790</v>
      </c>
      <c r="BJ12">
        <v>20</v>
      </c>
      <c r="BL12" t="s">
        <v>1826</v>
      </c>
      <c r="BM12" t="s">
        <v>1816</v>
      </c>
      <c r="BO12" t="s">
        <v>1817</v>
      </c>
      <c r="BP12" s="12"/>
      <c r="BQ12" t="s">
        <v>1820</v>
      </c>
      <c r="BS12" t="s">
        <v>1831</v>
      </c>
    </row>
    <row r="13" spans="1:98">
      <c r="BL13" t="s">
        <v>1305</v>
      </c>
      <c r="BM13" t="s">
        <v>1814</v>
      </c>
      <c r="BN13" t="s">
        <v>1815</v>
      </c>
      <c r="BO13" t="s">
        <v>1814</v>
      </c>
      <c r="BP13" t="s">
        <v>1815</v>
      </c>
      <c r="BQ13" t="s">
        <v>1818</v>
      </c>
      <c r="BR13" t="s">
        <v>1819</v>
      </c>
      <c r="BS13" t="s">
        <v>1818</v>
      </c>
      <c r="BT13" t="s">
        <v>1819</v>
      </c>
    </row>
    <row r="14" spans="1:98">
      <c r="BI14" t="s">
        <v>1795</v>
      </c>
      <c r="BJ14">
        <v>61</v>
      </c>
      <c r="BL14" t="s">
        <v>1593</v>
      </c>
      <c r="BM14" s="77">
        <f>AVERAGE(BS4:BS8)</f>
        <v>281.20999999999992</v>
      </c>
      <c r="BN14" s="77">
        <f>AVERAGE(BT4:BT8)</f>
        <v>29.400000000000013</v>
      </c>
      <c r="BO14" s="77">
        <f>AVERAGE(BM4:BM8)</f>
        <v>259.86</v>
      </c>
      <c r="BP14" s="77">
        <f>AVERAGE(BN4:BN8)</f>
        <v>44.399999999999991</v>
      </c>
      <c r="BQ14" s="77">
        <f>BM14-BO14</f>
        <v>21.349999999999909</v>
      </c>
      <c r="BR14" s="77">
        <f>BN14-BP14</f>
        <v>-14.999999999999979</v>
      </c>
      <c r="BS14" s="305">
        <f>BQ14/61</f>
        <v>0.34999999999999853</v>
      </c>
      <c r="BT14" s="305">
        <f>BR14/60</f>
        <v>-0.24999999999999964</v>
      </c>
      <c r="BU14" t="s">
        <v>1838</v>
      </c>
    </row>
    <row r="15" spans="1:98">
      <c r="BI15" t="s">
        <v>1796</v>
      </c>
      <c r="BJ15">
        <v>60</v>
      </c>
      <c r="BL15" t="s">
        <v>1594</v>
      </c>
      <c r="BM15" s="77">
        <f>AVERAGE(BY4:BY8)</f>
        <v>291.57999999999993</v>
      </c>
      <c r="BN15" s="77">
        <f>AVERAGE(BZ4:BZ8)</f>
        <v>25.200000000000038</v>
      </c>
      <c r="BO15" s="77">
        <v>259.86</v>
      </c>
      <c r="BP15" s="77">
        <v>44.399999999999991</v>
      </c>
      <c r="BQ15" s="77">
        <f t="shared" ref="BQ15:BQ16" si="62">BM15-BO15</f>
        <v>31.719999999999914</v>
      </c>
      <c r="BR15" s="77">
        <f t="shared" ref="BR15:BR16" si="63">BN15-BP15</f>
        <v>-19.199999999999953</v>
      </c>
      <c r="BS15" s="305">
        <f>BQ15/61</f>
        <v>0.51999999999999857</v>
      </c>
      <c r="BT15" s="305">
        <f>BR15/60</f>
        <v>-0.31999999999999923</v>
      </c>
    </row>
    <row r="16" spans="1:98">
      <c r="BL16" t="s">
        <v>1595</v>
      </c>
      <c r="BM16" s="77">
        <f>AVERAGE(CE4:CE8)</f>
        <v>273.28000000000003</v>
      </c>
      <c r="BN16" s="77">
        <f>AVERAGE(CF4:CF8)</f>
        <v>25.199999999999974</v>
      </c>
      <c r="BO16" s="77">
        <v>259.86</v>
      </c>
      <c r="BP16" s="77">
        <v>44.399999999999991</v>
      </c>
      <c r="BQ16" s="77">
        <f t="shared" si="62"/>
        <v>13.420000000000016</v>
      </c>
      <c r="BR16" s="77">
        <f t="shared" si="63"/>
        <v>-19.200000000000017</v>
      </c>
      <c r="BS16" s="305">
        <f>BQ16/61</f>
        <v>0.22000000000000025</v>
      </c>
      <c r="BT16" s="305">
        <f>BR16/60</f>
        <v>-0.32000000000000028</v>
      </c>
    </row>
  </sheetData>
  <mergeCells count="29">
    <mergeCell ref="AE1:AF1"/>
    <mergeCell ref="B1:D1"/>
    <mergeCell ref="E1:G1"/>
    <mergeCell ref="H1:J1"/>
    <mergeCell ref="K1:M1"/>
    <mergeCell ref="N1:P1"/>
    <mergeCell ref="Q1:S1"/>
    <mergeCell ref="U1:V1"/>
    <mergeCell ref="W1:X1"/>
    <mergeCell ref="Y1:Z1"/>
    <mergeCell ref="AA1:AB1"/>
    <mergeCell ref="AC1:AD1"/>
    <mergeCell ref="BE1:BF1"/>
    <mergeCell ref="AH1:AI1"/>
    <mergeCell ref="AJ1:AK1"/>
    <mergeCell ref="AL1:AM1"/>
    <mergeCell ref="AN1:AO1"/>
    <mergeCell ref="AP1:AQ1"/>
    <mergeCell ref="AR1:AS1"/>
    <mergeCell ref="AU1:AV1"/>
    <mergeCell ref="AW1:AX1"/>
    <mergeCell ref="AY1:AZ1"/>
    <mergeCell ref="BA1:BB1"/>
    <mergeCell ref="BC1:BD1"/>
    <mergeCell ref="BK1:BP1"/>
    <mergeCell ref="BQ1:BV1"/>
    <mergeCell ref="BW1:CB1"/>
    <mergeCell ref="CC1:CH1"/>
    <mergeCell ref="CI1:CN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4820B-471D-7A4B-8601-503530CD9731}">
  <dimension ref="A1:AH93"/>
  <sheetViews>
    <sheetView workbookViewId="0">
      <selection activeCell="E37" sqref="E37"/>
    </sheetView>
  </sheetViews>
  <sheetFormatPr defaultColWidth="10.6640625" defaultRowHeight="15.5"/>
  <cols>
    <col min="5" max="6" width="10.83203125" style="53"/>
    <col min="7" max="8" width="10.83203125" style="51"/>
    <col min="9" max="10" width="10.83203125" style="49"/>
    <col min="11" max="12" width="10.83203125" style="47"/>
    <col min="13" max="14" width="10.83203125" style="138"/>
  </cols>
  <sheetData>
    <row r="1" spans="1:16">
      <c r="E1" s="53" t="s">
        <v>297</v>
      </c>
      <c r="G1" s="51" t="s">
        <v>116</v>
      </c>
      <c r="I1" s="49" t="s">
        <v>117</v>
      </c>
      <c r="K1" s="47" t="s">
        <v>118</v>
      </c>
      <c r="M1" s="138" t="s">
        <v>262</v>
      </c>
      <c r="O1" t="s">
        <v>302</v>
      </c>
    </row>
    <row r="2" spans="1:16">
      <c r="A2" t="s">
        <v>160</v>
      </c>
      <c r="E2" s="53" t="s">
        <v>298</v>
      </c>
      <c r="F2" s="53" t="s">
        <v>299</v>
      </c>
      <c r="G2" s="51" t="s">
        <v>298</v>
      </c>
      <c r="H2" s="51" t="s">
        <v>299</v>
      </c>
      <c r="I2" s="49" t="s">
        <v>298</v>
      </c>
      <c r="J2" s="49" t="s">
        <v>299</v>
      </c>
      <c r="K2" s="47" t="s">
        <v>298</v>
      </c>
      <c r="L2" s="47" t="s">
        <v>299</v>
      </c>
      <c r="M2" s="138" t="s">
        <v>298</v>
      </c>
      <c r="N2" s="138" t="s">
        <v>299</v>
      </c>
      <c r="O2" s="12" t="s">
        <v>303</v>
      </c>
      <c r="P2" s="12" t="s">
        <v>304</v>
      </c>
    </row>
    <row r="3" spans="1:16">
      <c r="A3" s="14">
        <v>44462</v>
      </c>
      <c r="B3" s="14"/>
      <c r="C3" s="14"/>
      <c r="D3" s="14"/>
      <c r="E3" s="53">
        <f>(('Set 3 IC'!K3+2.5896)/2.9069)*5</f>
        <v>556.79194330730343</v>
      </c>
      <c r="F3" s="53">
        <f>(('Set 3 IC'!Q3+2.6686)/1.9555)*5</f>
        <v>175.2590130401432</v>
      </c>
      <c r="G3" s="51">
        <f>(('Set 3 IC'!AC3+2.5896)/2.9069)*5</f>
        <v>566.73260174068605</v>
      </c>
      <c r="H3" s="51">
        <f>(('Set 3 IC'!AI3+2.6686)/1.9555)*5</f>
        <v>216.40322168243415</v>
      </c>
      <c r="I3" s="49">
        <f>(('Set 3 IC'!AU3+2.5896)/2.9069)*5</f>
        <v>4.4542295916612202</v>
      </c>
      <c r="J3" s="49">
        <f>(('Set 3 IC'!BA3+2.6686)/1.9555)*5</f>
        <v>6.8233188442853487</v>
      </c>
      <c r="K3" s="47">
        <f>(('Set 3 IC'!BM3+2.5896)/2.9069)*5</f>
        <v>1903.6934535071725</v>
      </c>
      <c r="L3" s="47">
        <f>(('Set 3 IC'!BS3+2.6686)/1.9555)*5</f>
        <v>732.72232165686535</v>
      </c>
      <c r="O3" s="12">
        <f>(G3+I3+K3)/3</f>
        <v>824.96009494650662</v>
      </c>
      <c r="P3" s="12">
        <f>(H3+J3+L3)/3</f>
        <v>318.64962072786165</v>
      </c>
    </row>
    <row r="4" spans="1:16">
      <c r="A4" s="14">
        <v>44463</v>
      </c>
      <c r="B4" s="14"/>
      <c r="C4" s="14"/>
      <c r="D4" s="14"/>
      <c r="E4" s="53">
        <f>(('Set 3 IC'!K4+2.5896)/2.9069)*5</f>
        <v>565.74546768034691</v>
      </c>
      <c r="F4" s="53">
        <f>(('Set 3 IC'!Q4+2.6686)/1.9555)*5</f>
        <v>122.5617489133214</v>
      </c>
      <c r="G4" s="51">
        <f>(('Set 3 IC'!AC4+2.5896)/2.9069)*5</f>
        <v>421.49110736523448</v>
      </c>
      <c r="H4" s="51">
        <f>(('Set 3 IC'!AI4+2.6686)/1.9555)*5</f>
        <v>86.836870365635392</v>
      </c>
      <c r="I4" s="49">
        <f>(('Set 3 IC'!AU4+2.5896)/2.9069)*5</f>
        <v>555.9561732429737</v>
      </c>
      <c r="J4" s="49">
        <f>(('Set 3 IC'!BA4+2.6686)/1.9555)*5</f>
        <v>142.43211454870877</v>
      </c>
      <c r="K4" s="47">
        <f>(('Set 3 IC'!BM4+2.5896)/2.9069)*5</f>
        <v>573.07784925522037</v>
      </c>
      <c r="L4" s="47">
        <f>(('Set 3 IC'!BS4+2.6686)/1.9555)*5</f>
        <v>130.96573766300179</v>
      </c>
      <c r="O4" s="12">
        <f t="shared" ref="O4:O25" si="0">(G4+I4+K4)/3</f>
        <v>516.84170995447619</v>
      </c>
      <c r="P4" s="12">
        <f t="shared" ref="P4:P25" si="1">(H4+J4+L4)/3</f>
        <v>120.07824085911533</v>
      </c>
    </row>
    <row r="5" spans="1:16">
      <c r="A5" s="14">
        <v>44466</v>
      </c>
      <c r="B5" s="14"/>
      <c r="C5" s="14"/>
      <c r="D5" s="14"/>
      <c r="E5" s="53">
        <f>(('Set 3 IC'!K5+2.5896)/2.9069)*5</f>
        <v>112.3196532388455</v>
      </c>
      <c r="F5" s="53">
        <f>(('Set 3 IC'!Q5+2.6686)/1.9555)*5</f>
        <v>25.849399130657122</v>
      </c>
      <c r="G5" s="51">
        <f>(('Set 3 IC'!AC5+2.5896)/2.9069)*5</f>
        <v>101.5781416629399</v>
      </c>
      <c r="H5" s="51">
        <f>(('Set 3 IC'!AI5+2.6686)/1.9555)*5</f>
        <v>25.509332651495779</v>
      </c>
      <c r="I5" s="49">
        <f>(('Set 3 IC'!AU5+2.5896)/2.9069)*5</f>
        <v>105.62093639272076</v>
      </c>
      <c r="J5" s="49">
        <f>(('Set 3 IC'!BA5+2.6686)/1.9555)*5</f>
        <v>26.359243160317057</v>
      </c>
      <c r="K5" s="47">
        <f>(('Set 3 IC'!BM5+2.5896)/2.9069)*5</f>
        <v>117.79937390347108</v>
      </c>
      <c r="L5" s="47">
        <f>(('Set 3 IC'!BS5+2.6686)/1.9555)*5</f>
        <v>28.863717719253383</v>
      </c>
      <c r="O5" s="12">
        <f t="shared" si="0"/>
        <v>108.33281731971057</v>
      </c>
      <c r="P5" s="12">
        <f t="shared" si="1"/>
        <v>26.910764510355406</v>
      </c>
    </row>
    <row r="6" spans="1:16">
      <c r="A6" s="14">
        <v>44467</v>
      </c>
      <c r="B6" s="14"/>
      <c r="C6" s="14"/>
      <c r="D6" s="14"/>
      <c r="E6" s="53">
        <f>(('Set 3 IC'!K6+2.5896)/2.9069)*5</f>
        <v>226.19818363204786</v>
      </c>
      <c r="F6" s="53">
        <f>(('Set 3 IC'!Q6+2.6686)/1.9555)*5</f>
        <v>63.903093837893117</v>
      </c>
      <c r="G6" s="51">
        <f>(('Set 3 IC'!AC6+2.5896)/2.9069)*5</f>
        <v>233.65819257628402</v>
      </c>
      <c r="H6" s="51">
        <f>(('Set 3 IC'!AI6+2.6686)/1.9555)*5</f>
        <v>66.542316543083615</v>
      </c>
      <c r="I6" s="49">
        <f>(('Set 3 IC'!AU6+2.5896)/2.9069)*5</f>
        <v>239.9931198183632</v>
      </c>
      <c r="J6" s="49">
        <f>(('Set 3 IC'!BA6+2.6686)/1.9555)*5</f>
        <v>68.347225773459485</v>
      </c>
      <c r="K6" s="47">
        <f>(('Set 3 IC'!BM6+2.5896)/2.9069)*5</f>
        <v>216.70060889607487</v>
      </c>
      <c r="L6" s="47">
        <f>(('Set 3 IC'!BS6+2.6686)/1.9555)*5</f>
        <v>61.930452569675282</v>
      </c>
      <c r="O6" s="12">
        <f t="shared" si="0"/>
        <v>230.11730709690735</v>
      </c>
      <c r="P6" s="12">
        <f t="shared" si="1"/>
        <v>65.606664962072799</v>
      </c>
    </row>
    <row r="7" spans="1:16">
      <c r="A7" s="14">
        <v>44468</v>
      </c>
      <c r="B7" s="14"/>
      <c r="C7" s="14"/>
      <c r="D7" s="14"/>
      <c r="E7" s="53">
        <f>(('Set 3 IC'!K7+2.5896)/2.9069)*5</f>
        <v>236.88757783205477</v>
      </c>
      <c r="F7" s="53">
        <f>(('Set 3 IC'!Q7+2.6686)/1.9555)*5</f>
        <v>67.66351316798773</v>
      </c>
      <c r="G7" s="51">
        <f>(('Set 3 IC'!AC7+2.5896)/2.9069)*5</f>
        <v>232.17327737452268</v>
      </c>
      <c r="H7" s="51">
        <f>(('Set 3 IC'!AI7+2.6686)/1.9555)*5</f>
        <v>66.708770135515209</v>
      </c>
      <c r="I7" s="49">
        <f>(('Set 3 IC'!AU7+2.5896)/2.9069)*5</f>
        <v>230.7645601843889</v>
      </c>
      <c r="J7" s="49">
        <f>(('Set 3 IC'!BA7+2.6686)/1.9555)*5</f>
        <v>66.3040143185886</v>
      </c>
      <c r="K7" s="47">
        <f>(('Set 3 IC'!BM7+2.5896)/2.9069)*5</f>
        <v>234.20895111630949</v>
      </c>
      <c r="L7" s="47">
        <f>(('Set 3 IC'!BS7+2.6686)/1.9555)*5</f>
        <v>67.230375862950652</v>
      </c>
      <c r="O7" s="12">
        <f t="shared" si="0"/>
        <v>232.3822628917404</v>
      </c>
      <c r="P7" s="12">
        <f t="shared" si="1"/>
        <v>66.74772010568482</v>
      </c>
    </row>
    <row r="8" spans="1:16">
      <c r="A8" s="14">
        <v>44470</v>
      </c>
      <c r="B8" s="14"/>
      <c r="C8" s="14"/>
      <c r="D8" s="14"/>
      <c r="E8" s="53">
        <f>(('Set 3 IC'!K8+2.5896)/2.9069)*5</f>
        <v>286.85472496473903</v>
      </c>
      <c r="F8" s="53">
        <f>(('Set 3 IC'!Q8+2.6686)/1.9555)*5</f>
        <v>86.659933520838649</v>
      </c>
      <c r="G8" s="51">
        <f>(('Set 3 IC'!AC8+2.5896)/2.9069)*5</f>
        <v>274.87185661701466</v>
      </c>
      <c r="H8" s="51">
        <f>(('Set 3 IC'!AI8+2.6686)/1.9555)*5</f>
        <v>83.282280746612116</v>
      </c>
      <c r="I8" s="49">
        <f>(('Set 3 IC'!AU8+2.5896)/2.9069)*5</f>
        <v>293.70755787952805</v>
      </c>
      <c r="J8" s="49">
        <f>(('Set 3 IC'!BA8+2.6686)/1.9555)*5</f>
        <v>89.335975453848121</v>
      </c>
      <c r="K8" s="47">
        <f>(('Set 3 IC'!BM8+2.5896)/2.9069)*5</f>
        <v>293.60745123671268</v>
      </c>
      <c r="L8" s="47">
        <f>(('Set 3 IC'!BS8+2.6686)/1.9555)*5</f>
        <v>89.19662490411659</v>
      </c>
      <c r="O8" s="12">
        <f t="shared" si="0"/>
        <v>287.39562191108513</v>
      </c>
      <c r="P8" s="12">
        <f t="shared" si="1"/>
        <v>87.271627034858923</v>
      </c>
    </row>
    <row r="9" spans="1:16">
      <c r="A9" s="14">
        <v>44473</v>
      </c>
      <c r="B9" s="14"/>
      <c r="C9" s="14"/>
      <c r="D9" s="14"/>
      <c r="E9" s="53">
        <f>(('Set 3 IC'!K9+2.5896)/2.9069)*5</f>
        <v>274.37751556641098</v>
      </c>
      <c r="F9" s="53">
        <f>(('Set 3 IC'!Q9+2.6686)/1.9555)*5</f>
        <v>99.338788033750959</v>
      </c>
      <c r="G9" s="51">
        <f>(('Set 3 IC'!AC9+2.5896)/2.9069)*5</f>
        <v>291.39960094946508</v>
      </c>
      <c r="H9" s="51">
        <f>(('Set 3 IC'!AI9+2.6686)/1.9555)*5</f>
        <v>106.40552288417283</v>
      </c>
      <c r="I9" s="49">
        <f>(('Set 3 IC'!AU9+2.5896)/2.9069)*5</f>
        <v>273.19756441570058</v>
      </c>
      <c r="J9" s="49">
        <f>(('Set 3 IC'!BA9+2.6686)/1.9555)*5</f>
        <v>99.396318077218098</v>
      </c>
      <c r="K9" s="47">
        <f>(('Set 3 IC'!BM9+2.5896)/2.9069)*5</f>
        <v>293.3644088203929</v>
      </c>
      <c r="L9" s="47">
        <f>(('Set 3 IC'!BS9+2.6686)/1.9555)*5</f>
        <v>107.24085911531576</v>
      </c>
      <c r="O9" s="12">
        <f t="shared" si="0"/>
        <v>285.98719139518619</v>
      </c>
      <c r="P9" s="12">
        <f t="shared" si="1"/>
        <v>104.34756669223556</v>
      </c>
    </row>
    <row r="10" spans="1:16">
      <c r="A10" s="14">
        <v>44475</v>
      </c>
      <c r="B10" s="14"/>
      <c r="C10" s="14"/>
      <c r="D10" s="14"/>
      <c r="E10" s="53">
        <f>(('Set 3 IC'!K10+2.5896)/2.9069)*5</f>
        <v>283.98121710413159</v>
      </c>
      <c r="F10" s="53">
        <f>(('Set 3 IC'!Q10+2.6686)/1.9555)*5</f>
        <v>86.796982868831506</v>
      </c>
      <c r="G10" s="51">
        <f>(('Set 3 IC'!AC10+2.5896)/2.9069)*5</f>
        <v>283.49564828511473</v>
      </c>
      <c r="H10" s="51">
        <f>(('Set 3 IC'!AI10+2.6686)/1.9555)*5</f>
        <v>87.221682434160059</v>
      </c>
      <c r="I10" s="49">
        <f>(('Set 3 IC'!AU10+2.5896)/2.9069)*5</f>
        <v>272.07110667721628</v>
      </c>
      <c r="J10" s="49">
        <f>(('Set 3 IC'!BA10+2.6686)/1.9555)*5</f>
        <v>83.364356941958576</v>
      </c>
      <c r="K10" s="47">
        <f>(('Set 3 IC'!BM10+2.5896)/2.9069)*5</f>
        <v>267.32326533420479</v>
      </c>
      <c r="L10" s="47">
        <f>(('Set 3 IC'!BS10+2.6686)/1.9555)*5</f>
        <v>81.358731782152901</v>
      </c>
      <c r="O10" s="12">
        <f t="shared" si="0"/>
        <v>274.29667343217858</v>
      </c>
      <c r="P10" s="12">
        <f t="shared" si="1"/>
        <v>83.981590386090502</v>
      </c>
    </row>
    <row r="11" spans="1:16">
      <c r="A11" s="14">
        <v>44477</v>
      </c>
      <c r="B11" s="14"/>
      <c r="C11" s="14"/>
      <c r="D11" s="14"/>
      <c r="E11" s="53">
        <f>(('Set 3 IC'!K11+2.5896)/2.9069)*5</f>
        <v>216.61804671643335</v>
      </c>
      <c r="F11" s="53">
        <f>(('Set 3 IC'!Q11+2.6686)/1.9555)*5</f>
        <v>71.57402198926107</v>
      </c>
      <c r="G11" s="51">
        <f>(('Set 3 IC'!AC11+2.5896)/2.9069)*5</f>
        <v>212.92459320926073</v>
      </c>
      <c r="H11" s="51">
        <f>(('Set 3 IC'!AI11+2.6686)/1.9555)*5</f>
        <v>70.164663768857068</v>
      </c>
      <c r="I11" s="49">
        <f>(('Set 3 IC'!AU11+2.5896)/2.9069)*5</f>
        <v>206.0172348550002</v>
      </c>
      <c r="J11" s="49">
        <f>(('Set 3 IC'!BA11+2.6686)/1.9555)*5</f>
        <v>67.774737918690874</v>
      </c>
      <c r="K11" s="47">
        <f>(('Set 3 IC'!BM11+2.5896)/2.9069)*5</f>
        <v>208.23729746465307</v>
      </c>
      <c r="L11" s="47">
        <f>(('Set 3 IC'!BS11+2.6686)/1.9555)*5</f>
        <v>68.440296599335227</v>
      </c>
      <c r="O11" s="12">
        <f t="shared" si="0"/>
        <v>209.059708509638</v>
      </c>
      <c r="P11" s="12">
        <f t="shared" si="1"/>
        <v>68.793232762294394</v>
      </c>
    </row>
    <row r="12" spans="1:16">
      <c r="A12" s="14">
        <v>44480</v>
      </c>
      <c r="B12" s="14"/>
      <c r="C12" s="14"/>
      <c r="D12" s="14"/>
      <c r="E12" s="53">
        <f>(('Set 3 IC'!K12+2.5896)/2.9069)*5</f>
        <v>241.06144002201657</v>
      </c>
      <c r="F12" s="53">
        <f>(('Set 3 IC'!Q12+2.6686)/1.9555)*5</f>
        <v>75.487087701355151</v>
      </c>
      <c r="G12" s="51">
        <f>(('Set 3 IC'!AC12+2.5896)/2.9069)*5</f>
        <v>243.22972926485261</v>
      </c>
      <c r="H12" s="51">
        <f>(('Set 3 IC'!AI12+2.6686)/1.9555)*5</f>
        <v>76.57248785476861</v>
      </c>
      <c r="I12" s="49">
        <f>(('Set 3 IC'!AU12+2.5896)/2.9069)*5</f>
        <v>234.07513158347382</v>
      </c>
      <c r="J12" s="49">
        <f>(('Set 3 IC'!BA12+2.6686)/1.9555)*5</f>
        <v>73.517003323958065</v>
      </c>
      <c r="K12" s="47">
        <f>(('Set 3 IC'!BM12+2.5896)/2.9069)*5</f>
        <v>242.56355567786986</v>
      </c>
      <c r="L12" s="47">
        <f>(('Set 3 IC'!BS12+2.6686)/1.9555)*5</f>
        <v>76.377141396062399</v>
      </c>
      <c r="O12" s="12">
        <f t="shared" si="0"/>
        <v>239.95613884206543</v>
      </c>
      <c r="P12" s="12">
        <f t="shared" si="1"/>
        <v>75.488877524929691</v>
      </c>
    </row>
    <row r="13" spans="1:16">
      <c r="A13" s="14">
        <v>44482</v>
      </c>
      <c r="B13" s="14"/>
      <c r="C13" s="14"/>
      <c r="D13" s="14"/>
      <c r="E13" s="53">
        <f>(('Set 3 IC'!K13+2.5896)/2.9069)*5</f>
        <v>216.17977914616947</v>
      </c>
      <c r="F13" s="53">
        <f>(('Set 3 IC'!Q13+2.6686)/1.9555)*5</f>
        <v>65.297366402454614</v>
      </c>
      <c r="G13" s="51">
        <f>(('Set 3 IC'!AC13+2.5896)/2.9069)*5</f>
        <v>242.62169321270082</v>
      </c>
      <c r="H13" s="51">
        <f>(('Set 3 IC'!AI13+2.6686)/1.9555)*5</f>
        <v>76.111736128867307</v>
      </c>
      <c r="I13" s="49">
        <f>(('Set 3 IC'!AU13+2.5896)/2.9069)*5</f>
        <v>237.62117719907806</v>
      </c>
      <c r="J13" s="49">
        <f>(('Set 3 IC'!BA13+2.6686)/1.9555)*5</f>
        <v>74.396062388136031</v>
      </c>
      <c r="K13" s="47">
        <f>(('Set 3 IC'!BM13+2.5896)/2.9069)*5</f>
        <v>235.0443771715573</v>
      </c>
      <c r="L13" s="47">
        <f>(('Set 3 IC'!BS13+2.6686)/1.9555)*5</f>
        <v>76.501917668115581</v>
      </c>
      <c r="O13" s="12">
        <f t="shared" si="0"/>
        <v>238.42908252777875</v>
      </c>
      <c r="P13" s="12">
        <f t="shared" si="1"/>
        <v>75.669905395039635</v>
      </c>
    </row>
    <row r="14" spans="1:16">
      <c r="A14" s="14">
        <v>44483</v>
      </c>
      <c r="B14" s="14"/>
      <c r="C14" s="14"/>
      <c r="D14" s="14"/>
      <c r="E14" s="53">
        <f>(('Set 3 IC'!K14+2.5896)/2.9069)*5</f>
        <v>307.49836595686128</v>
      </c>
      <c r="F14" s="53">
        <f>(('Set 3 IC'!Q14+2.6686)/1.9555)*5</f>
        <v>95.963180772181019</v>
      </c>
      <c r="G14" s="51">
        <f>(('Set 3 IC'!AC14+2.5896)/2.9069)*5</f>
        <v>307.03550173724585</v>
      </c>
      <c r="H14" s="51">
        <f>(('Set 3 IC'!AI14+2.6686)/1.9555)*5</f>
        <v>96.293786755305547</v>
      </c>
      <c r="I14" s="49">
        <f>(('Set 3 IC'!AU14+2.5896)/2.9069)*5</f>
        <v>308.33258798032267</v>
      </c>
      <c r="J14" s="49">
        <f>(('Set 3 IC'!BA14+2.6686)/1.9555)*5</f>
        <v>96.691127588851941</v>
      </c>
      <c r="K14" s="47">
        <f>(('Set 3 IC'!BM14+2.5896)/2.9069)*5</f>
        <v>292.76118889538685</v>
      </c>
      <c r="L14" s="47">
        <f>(('Set 3 IC'!BS14+2.6686)/1.9555)*5</f>
        <v>91.632830478138573</v>
      </c>
      <c r="O14" s="12">
        <f t="shared" si="0"/>
        <v>302.70975953765179</v>
      </c>
      <c r="P14" s="12">
        <f t="shared" si="1"/>
        <v>94.872581607432025</v>
      </c>
    </row>
    <row r="15" spans="1:16">
      <c r="A15" s="14">
        <v>44487</v>
      </c>
      <c r="B15" s="14"/>
      <c r="C15" s="14"/>
      <c r="D15" s="14"/>
      <c r="E15" s="53">
        <f>(('Set 3 IC'!K15+2.5896)/2.9069)*5</f>
        <v>333.43751075028376</v>
      </c>
      <c r="F15" s="53">
        <f>(('Set 3 IC'!Q15+2.6686)/1.9555)*5</f>
        <v>98.657376630017893</v>
      </c>
      <c r="G15" s="51">
        <f>(('Set 3 IC'!AC15+2.5896)/2.9069)*5</f>
        <v>326.21590009976268</v>
      </c>
      <c r="H15" s="51">
        <f>(('Set 3 IC'!AI15+2.6686)/1.9555)*5</f>
        <v>96.777039120429563</v>
      </c>
      <c r="I15" s="49">
        <f>(('Set 3 IC'!AU15+2.5896)/2.9069)*5</f>
        <v>334.66975128143389</v>
      </c>
      <c r="J15" s="49">
        <f>(('Set 3 IC'!BA15+2.6686)/1.9555)*5</f>
        <v>99.543594988493993</v>
      </c>
      <c r="K15" s="47">
        <f>(('Set 3 IC'!BM15+2.5896)/2.9069)*5</f>
        <v>342.80006192163478</v>
      </c>
      <c r="L15" s="47">
        <f>(('Set 3 IC'!BS15+2.6686)/1.9555)*5</f>
        <v>102.29122986448476</v>
      </c>
      <c r="O15" s="12">
        <f t="shared" si="0"/>
        <v>334.5619044342771</v>
      </c>
      <c r="P15" s="12">
        <f t="shared" si="1"/>
        <v>99.537287991136111</v>
      </c>
    </row>
    <row r="16" spans="1:16">
      <c r="A16" s="14">
        <v>44489</v>
      </c>
      <c r="B16" s="14"/>
      <c r="C16" s="14"/>
      <c r="D16" s="14"/>
      <c r="E16" s="53">
        <f>(('Set 3 IC'!K16+2.5896)/2.9069)*5</f>
        <v>320.20468540369461</v>
      </c>
      <c r="F16" s="53">
        <f>(('Set 3 IC'!Q16+2.6686)/1.9555)*5</f>
        <v>90.746867808744554</v>
      </c>
      <c r="G16" s="51">
        <f>(('Set 3 IC'!AC16+2.5896)/2.9069)*5</f>
        <v>320.49623310055387</v>
      </c>
      <c r="H16" s="51">
        <f>(('Set 3 IC'!AI16+2.6686)/1.9555)*5</f>
        <v>89.605216057274347</v>
      </c>
      <c r="I16" s="49">
        <f>(('Set 3 IC'!AU16+2.5896)/2.9069)*5</f>
        <v>333.90742715607695</v>
      </c>
      <c r="J16" s="49">
        <f>(('Set 3 IC'!BA16+2.6686)/1.9555)*5</f>
        <v>93.849143441575052</v>
      </c>
      <c r="K16" s="47">
        <f>(('Set 3 IC'!BM16+2.5896)/2.9069)*5</f>
        <v>482.68344284289105</v>
      </c>
      <c r="L16" s="47">
        <f>(('Set 3 IC'!BS16+2.6686)/1.9555)*5</f>
        <v>163.43825108667858</v>
      </c>
      <c r="O16" s="12">
        <f t="shared" si="0"/>
        <v>379.02903436650723</v>
      </c>
      <c r="P16" s="12">
        <f t="shared" si="1"/>
        <v>115.63087019517599</v>
      </c>
    </row>
    <row r="17" spans="1:16">
      <c r="A17" s="14">
        <v>44490</v>
      </c>
      <c r="B17" s="14"/>
      <c r="C17" s="14"/>
      <c r="D17" s="14"/>
      <c r="E17" s="53">
        <f>(('Set 3 IC'!K17+2.5896)/2.9069)*5</f>
        <v>339.25470432419417</v>
      </c>
      <c r="F17" s="53">
        <f>(('Set 3 IC'!Q17+2.6686)/1.9555)*5</f>
        <v>91.652518537458434</v>
      </c>
      <c r="G17" s="51">
        <f>(('Set 3 IC'!AC17+2.5896)/2.9069)*5</f>
        <v>337.0086690288623</v>
      </c>
      <c r="H17" s="51">
        <f>(('Set 3 IC'!AI17+2.6686)/1.9555)*5</f>
        <v>91.092303758629498</v>
      </c>
      <c r="I17" s="49">
        <f>(('Set 3 IC'!AU17+2.5896)/2.9069)*5</f>
        <v>344.50084282225049</v>
      </c>
      <c r="J17" s="49">
        <f>(('Set 3 IC'!BA17+2.6686)/1.9555)*5</f>
        <v>93.736895934543597</v>
      </c>
      <c r="K17" s="47">
        <f>(('Set 3 IC'!BM17+2.5896)/2.9069)*5</f>
        <v>343.31813959888541</v>
      </c>
      <c r="L17" s="47">
        <f>(('Set 3 IC'!BS17+2.6686)/1.9555)*5</f>
        <v>93.469445154691897</v>
      </c>
      <c r="O17" s="12">
        <f t="shared" si="0"/>
        <v>341.60921714999944</v>
      </c>
      <c r="P17" s="12">
        <f t="shared" si="1"/>
        <v>92.76621494928834</v>
      </c>
    </row>
    <row r="18" spans="1:16">
      <c r="A18" s="14">
        <v>44491</v>
      </c>
      <c r="B18" s="14"/>
      <c r="C18" s="14"/>
      <c r="D18" s="14"/>
      <c r="E18" s="53">
        <f>(('Set 3 IC'!K18+2.5896)/2.9069)*5</f>
        <v>278.50149643950601</v>
      </c>
      <c r="F18" s="53">
        <f>(('Set 3 IC'!Q18+2.6686)/1.9555)*5</f>
        <v>65.26029148555358</v>
      </c>
      <c r="G18" s="51">
        <f>(('Set 3 IC'!AC18+2.5896)/2.9069)*5</f>
        <v>286.46479067047369</v>
      </c>
      <c r="H18" s="51">
        <f>(('Set 3 IC'!AI18+2.6686)/1.9555)*5</f>
        <v>65.673740731270783</v>
      </c>
      <c r="I18" s="49">
        <f>(('Set 3 IC'!AU18+2.5896)/2.9069)*5</f>
        <v>265.4375795521002</v>
      </c>
      <c r="J18" s="49">
        <f>(('Set 3 IC'!BA18+2.6686)/1.9555)*5</f>
        <v>58.822551777039124</v>
      </c>
      <c r="K18" s="47">
        <f>(('Set 3 IC'!BM18+2.5896)/2.9069)*5</f>
        <v>1374.3121538408616</v>
      </c>
      <c r="L18" s="47">
        <f>(('Set 3 IC'!BS18+2.6686)/1.9555)*5</f>
        <v>431.36410125287654</v>
      </c>
      <c r="O18" s="12">
        <f t="shared" si="0"/>
        <v>642.07150802114518</v>
      </c>
      <c r="P18" s="12">
        <f t="shared" si="1"/>
        <v>185.28679792039546</v>
      </c>
    </row>
    <row r="19" spans="1:16">
      <c r="A19" s="14">
        <v>44494</v>
      </c>
      <c r="B19" s="14"/>
      <c r="C19" s="14"/>
      <c r="D19" s="14"/>
      <c r="E19" s="53">
        <f>(('Set 3 IC'!K19+2.5896)/2.9069)*5</f>
        <v>330.36086552684992</v>
      </c>
      <c r="F19" s="53">
        <f>(('Set 3 IC'!Q19+2.6686)/1.9555)*5</f>
        <v>76.99028381488111</v>
      </c>
      <c r="G19" s="51">
        <f>(('Set 3 IC'!AC19+2.5896)/2.9069)*5</f>
        <v>320.6818260002064</v>
      </c>
      <c r="H19" s="51">
        <f>(('Set 3 IC'!AI19+2.6686)/1.9555)*5</f>
        <v>74.214267450779857</v>
      </c>
      <c r="I19" s="49">
        <f>(('Set 3 IC'!AU19+2.5896)/2.9069)*5</f>
        <v>312.58471223640305</v>
      </c>
      <c r="J19" s="49">
        <f>(('Set 3 IC'!BA19+2.6686)/1.9555)*5</f>
        <v>71.857836870365631</v>
      </c>
      <c r="K19" s="47">
        <f>(('Set 3 IC'!BM19+2.5896)/2.9069)*5</f>
        <v>419.16887405827515</v>
      </c>
      <c r="L19" s="47">
        <f>(('Set 3 IC'!BS19+2.6686)/1.9555)*5</f>
        <v>132.09434927128609</v>
      </c>
      <c r="O19" s="12">
        <f t="shared" si="0"/>
        <v>350.81180409829489</v>
      </c>
      <c r="P19" s="12">
        <f t="shared" si="1"/>
        <v>92.722151197477203</v>
      </c>
    </row>
    <row r="20" spans="1:16">
      <c r="A20" s="14">
        <v>44503</v>
      </c>
      <c r="B20" s="14"/>
      <c r="C20" s="14"/>
      <c r="D20" s="14"/>
      <c r="E20" s="53">
        <f>(('Set 3 IC'!K20+2.5896)/2.9069)*5</f>
        <v>269.24197598816608</v>
      </c>
      <c r="F20" s="53">
        <f>(('Set 3 IC'!Q20+2.6686)/1.9555)*5</f>
        <v>64.158015852723082</v>
      </c>
      <c r="G20" s="51">
        <f>(('Set 3 IC'!AC20+2.5896)/2.9069)*5</f>
        <v>281.94623138050849</v>
      </c>
      <c r="H20" s="51">
        <f>(('Set 3 IC'!AI20+2.6686)/1.9555)*5</f>
        <v>68.343390437228337</v>
      </c>
      <c r="I20" s="49">
        <f>(('Set 3 IC'!AU20+2.5896)/2.9069)*5</f>
        <v>258.07767725067941</v>
      </c>
      <c r="J20" s="49">
        <f>(('Set 3 IC'!BA20+2.6686)/1.9555)*5</f>
        <v>61.245461518793157</v>
      </c>
      <c r="K20" s="47">
        <f>(('Set 3 IC'!BM20+2.5896)/2.9069)*5</f>
        <v>268.6876053527813</v>
      </c>
      <c r="L20" s="47">
        <f>(('Set 3 IC'!BS20+2.6686)/1.9555)*5</f>
        <v>64.345435949884944</v>
      </c>
      <c r="M20" s="138">
        <f>(('0 Set 2&amp;3'!Y3+2.5896)/2.9069)*5</f>
        <v>433.81076060407997</v>
      </c>
      <c r="N20" s="138">
        <f>(('0 Set 2&amp;3'!AE3+2.6686)/1.9555)*5</f>
        <v>262.49833802096651</v>
      </c>
      <c r="O20" s="12">
        <f t="shared" si="0"/>
        <v>269.57050466132301</v>
      </c>
      <c r="P20" s="12">
        <f t="shared" si="1"/>
        <v>64.644762635302143</v>
      </c>
    </row>
    <row r="21" spans="1:16">
      <c r="A21" s="14">
        <v>44504</v>
      </c>
      <c r="B21" s="14"/>
      <c r="C21" s="14"/>
      <c r="D21" s="14"/>
      <c r="E21" s="53">
        <f>(('Set 3 IC'!K21+2.5896)/2.9069)*5</f>
        <v>333.69792562523651</v>
      </c>
      <c r="F21" s="53">
        <f>(('Set 3 IC'!Q21+2.6686)/1.9555)*5</f>
        <v>82.884684223983641</v>
      </c>
      <c r="G21" s="51">
        <f>(('Set 3 IC'!AC21+2.5896)/2.9069)*5</f>
        <v>325.26058687949364</v>
      </c>
      <c r="H21" s="51">
        <f>(('Set 3 IC'!AI21+2.6686)/1.9555)*5</f>
        <v>80.406034262337002</v>
      </c>
      <c r="I21" s="49">
        <f>(('Set 3 IC'!AU21+2.5896)/2.9069)*5</f>
        <v>331.38807664522346</v>
      </c>
      <c r="J21" s="49">
        <f>(('Set 3 IC'!BA21+2.6686)/1.9555)*5</f>
        <v>82.447711582715414</v>
      </c>
      <c r="K21" s="47">
        <f>(('Set 3 IC'!BM21+2.5896)/2.9069)*5</f>
        <v>325.41109085279857</v>
      </c>
      <c r="L21" s="47">
        <f>(('Set 3 IC'!BS21+2.6686)/1.9555)*5</f>
        <v>80.556635131679869</v>
      </c>
      <c r="M21" s="138">
        <f>(('0 Set 2&amp;3'!Y4+2.5896)/2.9069)*5</f>
        <v>425.75544394372014</v>
      </c>
      <c r="N21" s="138">
        <f>(('0 Set 2&amp;3'!AE4+2.6686)/1.9555)*5</f>
        <v>109.21094349271284</v>
      </c>
      <c r="O21" s="12">
        <f t="shared" si="0"/>
        <v>327.35325145917187</v>
      </c>
      <c r="P21" s="12">
        <f t="shared" si="1"/>
        <v>81.136793658910747</v>
      </c>
    </row>
    <row r="22" spans="1:16">
      <c r="A22" s="14">
        <v>44505</v>
      </c>
      <c r="B22" s="14"/>
      <c r="C22" s="14"/>
      <c r="D22" s="14"/>
      <c r="E22" s="53">
        <f>(('Set 3 IC'!K22+2.5896)/2.9069)*5</f>
        <v>313.48962812618254</v>
      </c>
      <c r="F22" s="53">
        <f>(('Set 3 IC'!Q22+2.6686)/1.9555)*5</f>
        <v>78.162106878036312</v>
      </c>
      <c r="G22" s="51">
        <f>(('Set 3 IC'!AC22+2.5896)/2.9069)*5</f>
        <v>326.94588737142658</v>
      </c>
      <c r="H22" s="51">
        <f>(('Set 3 IC'!AI22+2.6686)/1.9555)*5</f>
        <v>82.697264126821779</v>
      </c>
      <c r="I22" s="49">
        <f>(('Set 3 IC'!AU22+2.5896)/2.9069)*5</f>
        <v>308.59953902783036</v>
      </c>
      <c r="J22" s="49">
        <f>(('Set 3 IC'!BA22+2.6686)/1.9555)*5</f>
        <v>76.877269240603425</v>
      </c>
      <c r="K22" s="47">
        <f>(('Set 3 IC'!BM22+2.5896)/2.9069)*5</f>
        <v>327.68361484743195</v>
      </c>
      <c r="L22" s="47">
        <f>(('Set 3 IC'!BS22+2.6686)/1.9555)*5</f>
        <v>82.877780618767574</v>
      </c>
      <c r="M22" s="138">
        <f>(('0 Set 2&amp;3'!Y5+2.5896)/2.9069)*5</f>
        <v>415.77058034332106</v>
      </c>
      <c r="N22" s="138">
        <f>(('0 Set 2&amp;3'!AE5+2.6686)/1.9555)*5</f>
        <v>92.916901048325229</v>
      </c>
      <c r="O22" s="12">
        <f t="shared" si="0"/>
        <v>321.07634708222963</v>
      </c>
      <c r="P22" s="12">
        <f t="shared" si="1"/>
        <v>80.817437995397597</v>
      </c>
    </row>
    <row r="23" spans="1:16">
      <c r="A23" s="14">
        <v>44510</v>
      </c>
      <c r="B23" s="14"/>
      <c r="C23" s="14"/>
      <c r="D23" s="14"/>
      <c r="E23" s="53">
        <f>(('Set 3 IC'!K23+2.5896)/2.9069)*5</f>
        <v>383.84739757129586</v>
      </c>
      <c r="F23" s="53">
        <f>(('Set 3 IC'!Q23+2.6686)/1.9555)*5</f>
        <v>88.445154691894658</v>
      </c>
      <c r="G23" s="51">
        <f>(('Set 3 IC'!AC23+2.5896)/2.9069)*5</f>
        <v>373.69723760707279</v>
      </c>
      <c r="H23" s="51">
        <f>(('Set 3 IC'!AI23+2.6686)/1.9555)*5</f>
        <v>85.562260291485558</v>
      </c>
      <c r="I23" s="49">
        <f>(('Set 3 IC'!AU23+2.5896)/2.9069)*5</f>
        <v>353.23179331934364</v>
      </c>
      <c r="J23" s="49">
        <f>(('Set 3 IC'!BA23+2.6686)/1.9555)*5</f>
        <v>79.984147276911273</v>
      </c>
      <c r="K23" s="47">
        <f>(('Set 3 IC'!BM23+2.5896)/2.9069)*5</f>
        <v>376.59173002167256</v>
      </c>
      <c r="L23" s="47">
        <f>(('Set 3 IC'!BS23+2.6686)/1.9555)*5</f>
        <v>86.482740986959854</v>
      </c>
      <c r="M23" s="138">
        <f>(('0 Set 2&amp;3'!Y6+2.5896)/2.9069)*5</f>
        <v>492.99614709828347</v>
      </c>
      <c r="N23" s="138">
        <f>(('0 Set 2&amp;3'!AE6+2.6686)/1.9555)*5</f>
        <v>133.48222960879571</v>
      </c>
      <c r="O23" s="12">
        <f t="shared" si="0"/>
        <v>367.84025364936298</v>
      </c>
      <c r="P23" s="12">
        <f t="shared" si="1"/>
        <v>84.009716185118904</v>
      </c>
    </row>
    <row r="24" spans="1:16">
      <c r="A24" s="14">
        <v>44512</v>
      </c>
      <c r="B24" s="14"/>
      <c r="C24" s="14"/>
      <c r="D24" s="14"/>
      <c r="E24" s="53">
        <f>(('Set 3 IC'!K24+1.1392)/2.8986)*5</f>
        <v>343.89291382046503</v>
      </c>
      <c r="F24" s="53">
        <f>(('Set 3 IC'!Q24+1.6493)/1.9034)*5</f>
        <v>69.146527266995903</v>
      </c>
      <c r="G24" s="51">
        <f>(('Set 3 IC'!AC24+1.1392)/2.8986)*5</f>
        <v>394.18063892913824</v>
      </c>
      <c r="H24" s="51">
        <f>(('Set 3 IC'!AI24+1.16493)/1.9034)*5</f>
        <v>130.85933067143006</v>
      </c>
      <c r="I24" s="49">
        <f>(('Set 3 IC'!AU24+1.1392)/2.8986)*5</f>
        <v>462.61471054992063</v>
      </c>
      <c r="J24" s="49">
        <f>(('Set 3 IC'!BA24+1.6493)/1.9034)*5</f>
        <v>167.31060208048751</v>
      </c>
      <c r="K24" s="47">
        <f>(('Set 3 IC'!BM24+1.1392)/2.8986)*5</f>
        <v>473.57845166632171</v>
      </c>
      <c r="L24" s="47">
        <f>(('Set 3 IC'!BS24+1.6493)/1.9034)*5</f>
        <v>130.9879688977619</v>
      </c>
      <c r="M24" s="138">
        <f>(('0 Set 2&amp;3'!Y7+1.1392)/2.8986)*5</f>
        <v>403.18032843441654</v>
      </c>
      <c r="N24" s="138">
        <f>(('0 Set 2&amp;3'!AE7+1.6493)/1.9034)*5</f>
        <v>118.94688452243352</v>
      </c>
      <c r="O24" s="12">
        <f t="shared" si="0"/>
        <v>443.4579337151269</v>
      </c>
      <c r="P24" s="12">
        <f t="shared" si="1"/>
        <v>143.05263388322649</v>
      </c>
    </row>
    <row r="25" spans="1:16">
      <c r="A25" s="14">
        <v>44515</v>
      </c>
      <c r="B25" s="14"/>
      <c r="C25" s="14"/>
      <c r="D25" s="14"/>
      <c r="E25" s="53">
        <f>(('Set 3 IC'!K25+1.1392)/2.8986)*5</f>
        <v>346.95853170496093</v>
      </c>
      <c r="F25" s="53">
        <f>(('Set 3 IC'!Q25+1.6493)/1.9034)*5</f>
        <v>68.807397289061669</v>
      </c>
      <c r="G25" s="51">
        <f>(('Set 3 IC'!AC25+1.1392)/2.8986)*5</f>
        <v>338.09701235079001</v>
      </c>
      <c r="H25" s="51">
        <f>(('Set 3 IC'!AI25+1.16493)/1.9034)*5</f>
        <v>65.409609120521168</v>
      </c>
      <c r="I25" s="49">
        <f>(('Set 3 IC'!AU25+1.1392)/2.8986)*5</f>
        <v>335.05416407921064</v>
      </c>
      <c r="J25" s="49">
        <f>(('Set 3 IC'!BA25+1.6493)/1.9034)*5</f>
        <v>65.946989597562265</v>
      </c>
      <c r="K25" s="47">
        <f>(('Set 3 IC'!BM25+1.1392)/2.8986)*5</f>
        <v>337.21020492651621</v>
      </c>
      <c r="L25" s="47">
        <f>(('Set 3 IC'!BS25+1.6493)/1.9034)*5</f>
        <v>66.373594620153412</v>
      </c>
      <c r="M25" s="138">
        <f>(('0 Set 2&amp;3'!Y8+1.1392)/2.8986)*5</f>
        <v>388.10253225695158</v>
      </c>
      <c r="N25" s="138">
        <f>(('0 Set 2&amp;3'!AE8+1.6493)/1.9034)*5</f>
        <v>100.25506987496058</v>
      </c>
      <c r="O25" s="12">
        <f t="shared" si="0"/>
        <v>336.78712711883895</v>
      </c>
      <c r="P25" s="12">
        <f t="shared" si="1"/>
        <v>65.910064446078948</v>
      </c>
    </row>
    <row r="26" spans="1:16">
      <c r="A26" s="14">
        <v>44517</v>
      </c>
      <c r="B26" s="14"/>
      <c r="C26" s="14"/>
      <c r="D26" s="14"/>
      <c r="E26" s="53">
        <f>(('Set 3 IC'!K26+1.1392)/2.8986)*5</f>
        <v>260.58873249154766</v>
      </c>
      <c r="F26" s="53">
        <f>(('Set 3 IC'!Q26+1.6493)/1.9034)*5</f>
        <v>60.688767468740153</v>
      </c>
      <c r="G26" s="51">
        <f>(('Set 3 IC'!AC26+1.1392)/2.8986)*5</f>
        <v>258.83374732629545</v>
      </c>
      <c r="H26" s="51">
        <f>(('Set 3 IC'!AI26+1.16493)/1.9034)*5</f>
        <v>59.092755069874954</v>
      </c>
      <c r="I26" s="49">
        <f>(('Set 3 IC'!AU26+1.1392)/2.8986)*5</f>
        <v>255.99703305043815</v>
      </c>
      <c r="J26" s="49">
        <f>(('Set 3 IC'!BA26+1.6493)/1.9034)*5</f>
        <v>61.532258064516128</v>
      </c>
      <c r="K26" s="47">
        <f>(('Set 3 IC'!BM26+1.1392)/2.8986)*5</f>
        <v>265.03415441937489</v>
      </c>
      <c r="L26" s="47">
        <f>(('Set 3 IC'!BS26+1.6493)/1.9034)*5</f>
        <v>61.901597141956508</v>
      </c>
      <c r="M26" s="138">
        <f>(('0 Set 2&amp;3'!Y9+1.1392)/2.8986)*5</f>
        <v>342.88363347823088</v>
      </c>
      <c r="N26" s="138">
        <f>(('0 Set 2&amp;3'!AE9+1.6493)/1.9034)*5</f>
        <v>104.23163812125671</v>
      </c>
      <c r="O26" s="12">
        <f t="shared" ref="O26:O28" si="2">(G26+I26+K26)/3</f>
        <v>259.9549782653695</v>
      </c>
      <c r="P26" s="12">
        <f t="shared" ref="P26:P28" si="3">(H26+J26+L26)/3</f>
        <v>60.842203425449192</v>
      </c>
    </row>
    <row r="27" spans="1:16">
      <c r="A27" s="14">
        <v>44519</v>
      </c>
      <c r="B27" s="14"/>
      <c r="C27" s="14"/>
      <c r="D27" s="14"/>
      <c r="E27" s="53">
        <f>(('Set 3 IC'!K27+1.1392)/2.8986)*5</f>
        <v>258.71075691713236</v>
      </c>
      <c r="F27" s="53">
        <f>(('Set 3 IC'!Q27+1.6493)/1.9034)*5</f>
        <v>60.473888830513822</v>
      </c>
      <c r="G27" s="51">
        <f>(('Set 3 IC'!AC27+1.1392)/2.8986)*5</f>
        <v>262.68543434761608</v>
      </c>
      <c r="H27" s="51">
        <f>(('Set 3 IC'!AI27+1.16493)/1.9034)*5</f>
        <v>58.707654723127035</v>
      </c>
      <c r="I27" s="49">
        <f>(('Set 3 IC'!AU27+1.1392)/2.8986)*5</f>
        <v>255.04985165252185</v>
      </c>
      <c r="J27" s="49">
        <f>(('Set 3 IC'!BA27+1.6493)/1.9034)*5</f>
        <v>59.717610591572978</v>
      </c>
      <c r="K27" s="47">
        <f>(('Set 3 IC'!BM27+1.1392)/2.8986)*5</f>
        <v>265.6924032291451</v>
      </c>
      <c r="L27" s="47">
        <f>(('Set 3 IC'!BS27+1.6493)/1.9034)*5</f>
        <v>62.299043816328677</v>
      </c>
      <c r="M27" s="138">
        <f>(('0 Set 2&amp;3'!Y10+1.1392)/2.8986)*5</f>
        <v>263.57569171324081</v>
      </c>
      <c r="N27" s="138">
        <f>(('0 Set 2&amp;3'!AE10+1.6493)/1.9034)*5</f>
        <v>88.571240937270119</v>
      </c>
      <c r="O27" s="12">
        <f t="shared" si="2"/>
        <v>261.14256307642768</v>
      </c>
      <c r="P27" s="12">
        <f t="shared" si="3"/>
        <v>60.241436377009563</v>
      </c>
    </row>
    <row r="28" spans="1:16">
      <c r="A28" s="14">
        <v>44522</v>
      </c>
      <c r="B28" s="14"/>
      <c r="C28" s="14"/>
      <c r="D28" s="14"/>
      <c r="E28" s="53">
        <f>(('Set 3 IC'!K28+1.1392)/2.8986)*5</f>
        <v>272.07410474021941</v>
      </c>
      <c r="F28" s="53">
        <f>(('Set 3 IC'!Q28+1.6493)/1.9034)*5</f>
        <v>62.474781969107916</v>
      </c>
      <c r="G28" s="51">
        <f>(('Set 3 IC'!AC28+1.1392)/2.8986)*5</f>
        <v>356.50745187331813</v>
      </c>
      <c r="H28" s="51">
        <f>(('Set 3 IC'!AI28+1.16493)/1.9034)*5</f>
        <v>70.326599768834711</v>
      </c>
      <c r="I28" s="49">
        <f>(('Set 3 IC'!AU28+1.1392)/2.8986)*5</f>
        <v>1727.9760919064374</v>
      </c>
      <c r="J28" s="49">
        <f>(('Set 3 IC'!BA28+1.6493)/1.9034)*5</f>
        <v>578.08001471051807</v>
      </c>
      <c r="K28" s="47">
        <f>(('Set 3 IC'!BM28+1.1392)/2.8986)*5</f>
        <v>278.22949009866829</v>
      </c>
      <c r="L28" s="47">
        <f>(('Set 3 IC'!BS28+1.6493)/1.9034)*5</f>
        <v>63.565987180834298</v>
      </c>
      <c r="M28" s="138">
        <f>(('0 Set 2&amp;3'!Y11+1.1392)/2.8986)*5</f>
        <v>380.06537638860141</v>
      </c>
      <c r="N28" s="138">
        <f>(('0 Set 2&amp;3'!AE11+1.6493)/1.9034)*5</f>
        <v>142.56567195544812</v>
      </c>
      <c r="O28" s="12">
        <f t="shared" si="2"/>
        <v>787.57101129280784</v>
      </c>
      <c r="P28" s="12">
        <f t="shared" si="3"/>
        <v>237.32420055339571</v>
      </c>
    </row>
    <row r="36" spans="1:34">
      <c r="G36" t="s">
        <v>1526</v>
      </c>
    </row>
    <row r="37" spans="1:34">
      <c r="Y37" t="s">
        <v>1530</v>
      </c>
    </row>
    <row r="38" spans="1:34">
      <c r="E38" s="700" t="s">
        <v>115</v>
      </c>
      <c r="F38" s="690"/>
      <c r="G38" s="690"/>
      <c r="H38" s="690"/>
      <c r="I38" s="701" t="s">
        <v>172</v>
      </c>
      <c r="J38" s="696"/>
      <c r="K38" s="696"/>
      <c r="L38" s="696"/>
      <c r="M38" s="702" t="s">
        <v>173</v>
      </c>
      <c r="N38" s="697"/>
      <c r="O38" s="697"/>
      <c r="P38" s="697"/>
      <c r="Q38" s="703" t="s">
        <v>174</v>
      </c>
      <c r="R38" s="703"/>
      <c r="S38" s="703"/>
      <c r="T38" s="703"/>
      <c r="U38" s="699">
        <v>30</v>
      </c>
      <c r="V38" s="699"/>
      <c r="W38" s="699"/>
      <c r="X38" s="699"/>
      <c r="Y38" s="692" t="s">
        <v>155</v>
      </c>
      <c r="Z38" s="692"/>
      <c r="AA38" s="696" t="s">
        <v>172</v>
      </c>
      <c r="AB38" s="696"/>
      <c r="AC38" s="697" t="s">
        <v>173</v>
      </c>
      <c r="AD38" s="697"/>
      <c r="AE38" s="698" t="s">
        <v>174</v>
      </c>
      <c r="AF38" s="698"/>
      <c r="AG38" s="699">
        <v>30</v>
      </c>
      <c r="AH38" s="699"/>
    </row>
    <row r="39" spans="1:34">
      <c r="A39" t="s">
        <v>1528</v>
      </c>
      <c r="B39" t="s">
        <v>159</v>
      </c>
      <c r="C39" t="s">
        <v>1529</v>
      </c>
      <c r="D39" t="s">
        <v>311</v>
      </c>
      <c r="E39" s="53" t="s">
        <v>1523</v>
      </c>
      <c r="F39" s="53" t="s">
        <v>1524</v>
      </c>
      <c r="G39" s="53" t="s">
        <v>1527</v>
      </c>
      <c r="H39" s="53" t="s">
        <v>299</v>
      </c>
      <c r="I39" s="51" t="s">
        <v>1523</v>
      </c>
      <c r="J39" s="51" t="s">
        <v>1524</v>
      </c>
      <c r="K39" s="51" t="s">
        <v>1527</v>
      </c>
      <c r="L39" s="51" t="s">
        <v>299</v>
      </c>
      <c r="M39" s="49" t="s">
        <v>1523</v>
      </c>
      <c r="N39" s="49" t="s">
        <v>1524</v>
      </c>
      <c r="O39" s="49" t="s">
        <v>1527</v>
      </c>
      <c r="P39" s="49" t="s">
        <v>299</v>
      </c>
      <c r="Q39" s="47" t="s">
        <v>1523</v>
      </c>
      <c r="R39" s="47" t="s">
        <v>1524</v>
      </c>
      <c r="S39" s="47" t="s">
        <v>1527</v>
      </c>
      <c r="T39" s="47" t="s">
        <v>299</v>
      </c>
      <c r="U39" s="404" t="s">
        <v>1523</v>
      </c>
      <c r="V39" s="404" t="s">
        <v>1524</v>
      </c>
      <c r="W39" s="404" t="s">
        <v>1527</v>
      </c>
      <c r="X39" s="404" t="s">
        <v>299</v>
      </c>
      <c r="Y39" s="53" t="s">
        <v>1531</v>
      </c>
      <c r="Z39" s="53" t="s">
        <v>1532</v>
      </c>
      <c r="AA39" s="51" t="s">
        <v>1531</v>
      </c>
      <c r="AB39" s="51" t="s">
        <v>1532</v>
      </c>
      <c r="AC39" s="49" t="s">
        <v>1531</v>
      </c>
      <c r="AD39" s="49" t="s">
        <v>1532</v>
      </c>
      <c r="AE39" s="47" t="s">
        <v>1531</v>
      </c>
      <c r="AF39" s="47" t="s">
        <v>1532</v>
      </c>
      <c r="AG39" s="404" t="s">
        <v>1531</v>
      </c>
      <c r="AH39" s="404" t="s">
        <v>1532</v>
      </c>
    </row>
    <row r="40" spans="1:34">
      <c r="A40" s="14">
        <v>44462</v>
      </c>
      <c r="B40" s="12">
        <v>0.98333333333333328</v>
      </c>
      <c r="C40" s="14">
        <v>44503</v>
      </c>
      <c r="D40" s="12">
        <v>1.75</v>
      </c>
      <c r="E40" s="399">
        <v>321.11810000000003</v>
      </c>
      <c r="F40" s="399">
        <v>65.875200000000007</v>
      </c>
      <c r="G40" s="53">
        <f>((E40+3.3964)/2.9206)*5</f>
        <v>555.56135725535853</v>
      </c>
      <c r="H40" s="53">
        <f>5*((F40+3.2057)/1.9576)</f>
        <v>176.44283816918681</v>
      </c>
      <c r="I40" s="400">
        <v>326.8974</v>
      </c>
      <c r="J40" s="400">
        <v>81.966700000000003</v>
      </c>
      <c r="K40" s="51">
        <f>((I40+3.3964)/2.9206)*5</f>
        <v>565.45538587961391</v>
      </c>
      <c r="L40" s="51">
        <f>5*((J40+3.2057)/1.9576)</f>
        <v>217.54290968532899</v>
      </c>
      <c r="M40" s="49"/>
      <c r="N40" s="49"/>
      <c r="O40" s="49"/>
      <c r="P40" s="49"/>
      <c r="Q40" s="398">
        <v>1104.1796999999999</v>
      </c>
      <c r="R40" s="398">
        <v>283.89909999999998</v>
      </c>
      <c r="S40" s="47">
        <f>((Q40+3.3964)/2.9206)*5</f>
        <v>1896.1447990139013</v>
      </c>
      <c r="T40" s="47">
        <f>5*((R40+3.2057)/1.9576)</f>
        <v>733.30813240702901</v>
      </c>
      <c r="U40" s="405">
        <v>249.61930000000001</v>
      </c>
      <c r="V40" s="405">
        <v>99.994500000000002</v>
      </c>
      <c r="W40" s="404">
        <f>((U40+3.3964)/2.9206)*5</f>
        <v>433.15705676915707</v>
      </c>
      <c r="X40" s="404">
        <f>5*((V40+3.2057)/1.9576)</f>
        <v>263.58857785042909</v>
      </c>
      <c r="Y40" s="53">
        <f>(G40*1)/35.45</f>
        <v>15.6716884980355</v>
      </c>
      <c r="Z40" s="53">
        <f>(H40*2)/96</f>
        <v>3.6758924618580586</v>
      </c>
      <c r="AA40" s="51">
        <f>(K40*1)/35.45</f>
        <v>15.950786625659065</v>
      </c>
      <c r="AB40" s="51">
        <f>(L40*2)/96</f>
        <v>4.5321439517776874</v>
      </c>
      <c r="AC40" s="49">
        <f>(O41*1)/35.45</f>
        <v>15.648223064468754</v>
      </c>
      <c r="AD40" s="49">
        <f>(P41*2)/96</f>
        <v>2.9927323848930665</v>
      </c>
      <c r="AE40" s="47">
        <f>(S40*1)/35.45</f>
        <v>53.487864570208778</v>
      </c>
      <c r="AF40" s="47">
        <f>(T40*2)/96</f>
        <v>15.27725275847977</v>
      </c>
      <c r="AG40" s="404">
        <f>(W40*1)/35.45</f>
        <v>12.218816834108802</v>
      </c>
      <c r="AH40" s="404">
        <f>(X40*2)/96</f>
        <v>5.491428705217273</v>
      </c>
    </row>
    <row r="41" spans="1:34">
      <c r="A41" s="14">
        <v>44463</v>
      </c>
      <c r="B41" s="12">
        <v>19.600000000000001</v>
      </c>
      <c r="C41" s="14">
        <v>44504</v>
      </c>
      <c r="D41" s="12">
        <v>21.616666666666667</v>
      </c>
      <c r="E41" s="399">
        <v>326.32350000000002</v>
      </c>
      <c r="F41" s="399">
        <v>45.265300000000003</v>
      </c>
      <c r="G41" s="53">
        <f t="shared" ref="G41:G83" si="4">((E41+3.3964)/2.9206)*5</f>
        <v>564.47288228446223</v>
      </c>
      <c r="H41" s="53">
        <f t="shared" ref="H41:H83" si="5">5*((F41+3.2057)/1.9576)</f>
        <v>123.80210461789949</v>
      </c>
      <c r="I41" s="400">
        <v>242.45689999999999</v>
      </c>
      <c r="J41" s="400">
        <v>31.293299999999999</v>
      </c>
      <c r="K41" s="51">
        <f t="shared" ref="K41:K83" si="6">((I41+3.3964)/2.9206)*5</f>
        <v>420.89519276860921</v>
      </c>
      <c r="L41" s="51">
        <f t="shared" ref="L41:L83" si="7">5*((J41+3.2057)/1.9576)</f>
        <v>88.115549652635877</v>
      </c>
      <c r="M41" s="397">
        <v>320.63220000000001</v>
      </c>
      <c r="N41" s="397">
        <v>53.0366</v>
      </c>
      <c r="O41" s="49">
        <f t="shared" ref="O41:O83" si="8">((M41+3.3964)/2.9206)*5</f>
        <v>554.72950763541735</v>
      </c>
      <c r="P41" s="49">
        <f t="shared" ref="P41:P83" si="9">5*((N41+3.2057)/1.9576)</f>
        <v>143.65115447486718</v>
      </c>
      <c r="Q41" s="398">
        <v>330.58640000000003</v>
      </c>
      <c r="R41" s="398">
        <v>48.552100000000003</v>
      </c>
      <c r="S41" s="47">
        <f t="shared" ref="S41:S83" si="10">((Q41+3.3964)/2.9206)*5</f>
        <v>571.77086899952064</v>
      </c>
      <c r="T41" s="47">
        <f t="shared" ref="T41:T83" si="11">5*((R41+3.2057)/1.9576)</f>
        <v>132.19707805476094</v>
      </c>
      <c r="U41" s="405">
        <v>244.93610000000001</v>
      </c>
      <c r="V41" s="405">
        <v>40.043799999999997</v>
      </c>
      <c r="W41" s="404">
        <f t="shared" ref="W41:W72" si="12">((U41+3.3964)/2.9206)*5</f>
        <v>425.13952612476891</v>
      </c>
      <c r="X41" s="404">
        <f t="shared" ref="X41:X72" si="13">5*((V41+3.2057)/1.9576)</f>
        <v>110.46562116877809</v>
      </c>
      <c r="Y41" s="53">
        <f t="shared" ref="Y41:Y83" si="14">(G41*1)/35.45</f>
        <v>15.923071432565928</v>
      </c>
      <c r="Z41" s="53">
        <f t="shared" ref="Z41:Z83" si="15">(H41*2)/96</f>
        <v>2.5792105128729061</v>
      </c>
      <c r="AA41" s="51">
        <f t="shared" ref="AA41:AA83" si="16">(K41*1)/35.45</f>
        <v>11.872925042838059</v>
      </c>
      <c r="AB41" s="51">
        <f t="shared" ref="AB41:AB83" si="17">(L41*2)/96</f>
        <v>1.8357406177632474</v>
      </c>
      <c r="AC41" s="49">
        <f t="shared" ref="AC41:AC83" si="18">(O42*1)/35.45</f>
        <v>3.0044206191764404</v>
      </c>
      <c r="AD41" s="49">
        <f t="shared" ref="AD41:AD83" si="19">(P42*2)/96</f>
        <v>0.57714165304454434</v>
      </c>
      <c r="AE41" s="47">
        <f t="shared" ref="AE41:AE83" si="20">(S41*1)/35.45</f>
        <v>16.128938476714261</v>
      </c>
      <c r="AF41" s="47">
        <f t="shared" ref="AF41:AF83" si="21">(T41*2)/96</f>
        <v>2.7541057928075197</v>
      </c>
      <c r="AG41" s="404">
        <f t="shared" ref="AG41:AG83" si="22">(W41*1)/35.45</f>
        <v>11.992652358949757</v>
      </c>
      <c r="AH41" s="404">
        <f t="shared" ref="AH41:AH83" si="23">(X41*2)/96</f>
        <v>2.3013671076828768</v>
      </c>
    </row>
    <row r="42" spans="1:34">
      <c r="A42" s="14">
        <v>44466</v>
      </c>
      <c r="B42" s="12">
        <v>90.816666666666663</v>
      </c>
      <c r="C42" s="14">
        <v>44505</v>
      </c>
      <c r="D42" s="12">
        <v>46.8</v>
      </c>
      <c r="E42" s="399">
        <v>62.710799999999999</v>
      </c>
      <c r="F42" s="399">
        <v>7.4410999999999996</v>
      </c>
      <c r="G42" s="53">
        <f t="shared" si="4"/>
        <v>113.17400534136823</v>
      </c>
      <c r="H42" s="53">
        <f t="shared" si="5"/>
        <v>27.19350224765018</v>
      </c>
      <c r="I42" s="400">
        <v>56.465899999999998</v>
      </c>
      <c r="J42" s="400">
        <v>7.3080999999999996</v>
      </c>
      <c r="K42" s="51">
        <f t="shared" si="6"/>
        <v>102.48288023008971</v>
      </c>
      <c r="L42" s="51">
        <f t="shared" si="7"/>
        <v>26.853800572129138</v>
      </c>
      <c r="M42" s="397">
        <v>58.816299999999998</v>
      </c>
      <c r="N42" s="397">
        <v>7.6405000000000003</v>
      </c>
      <c r="O42" s="49">
        <f t="shared" si="8"/>
        <v>106.50671094980483</v>
      </c>
      <c r="P42" s="49">
        <f t="shared" si="9"/>
        <v>27.702799346138129</v>
      </c>
      <c r="Q42" s="398">
        <v>65.896600000000007</v>
      </c>
      <c r="R42" s="398">
        <v>8.6199999999999992</v>
      </c>
      <c r="S42" s="47">
        <f t="shared" si="10"/>
        <v>118.62802163938917</v>
      </c>
      <c r="T42" s="47">
        <f t="shared" si="11"/>
        <v>30.2045872496935</v>
      </c>
      <c r="U42" s="406">
        <v>239.1311</v>
      </c>
      <c r="V42" s="406">
        <v>33.671199999999999</v>
      </c>
      <c r="W42" s="404">
        <f t="shared" si="12"/>
        <v>415.20149969184416</v>
      </c>
      <c r="X42" s="404">
        <f t="shared" si="13"/>
        <v>94.189058030241114</v>
      </c>
      <c r="Y42" s="53">
        <f t="shared" si="14"/>
        <v>3.1924966245802038</v>
      </c>
      <c r="Z42" s="53">
        <f t="shared" si="15"/>
        <v>0.56653129682604542</v>
      </c>
      <c r="AA42" s="51">
        <f t="shared" si="16"/>
        <v>2.8909134056442793</v>
      </c>
      <c r="AB42" s="51">
        <f t="shared" si="17"/>
        <v>0.55945417858602375</v>
      </c>
      <c r="AC42" s="49">
        <f t="shared" si="18"/>
        <v>6.7771108338250343</v>
      </c>
      <c r="AD42" s="49">
        <f t="shared" si="19"/>
        <v>1.450952910025882</v>
      </c>
      <c r="AE42" s="47">
        <f t="shared" si="20"/>
        <v>3.3463475779799481</v>
      </c>
      <c r="AF42" s="47">
        <f t="shared" si="21"/>
        <v>0.62926223436861461</v>
      </c>
      <c r="AG42" s="404">
        <f t="shared" si="22"/>
        <v>11.7123131083736</v>
      </c>
      <c r="AH42" s="404">
        <f t="shared" si="23"/>
        <v>1.9622720422966899</v>
      </c>
    </row>
    <row r="43" spans="1:34">
      <c r="A43" s="14">
        <v>44467</v>
      </c>
      <c r="B43" s="12">
        <v>114.95</v>
      </c>
      <c r="C43" s="14">
        <v>44510</v>
      </c>
      <c r="D43" s="12">
        <v>166.5</v>
      </c>
      <c r="E43" s="399">
        <v>128.91749999999999</v>
      </c>
      <c r="F43" s="399">
        <v>22.323899999999998</v>
      </c>
      <c r="G43" s="53">
        <f t="shared" si="4"/>
        <v>226.51835239334383</v>
      </c>
      <c r="H43" s="53">
        <f t="shared" si="5"/>
        <v>65.206375153248871</v>
      </c>
      <c r="I43" s="400">
        <v>133.25460000000001</v>
      </c>
      <c r="J43" s="400">
        <v>23.356100000000001</v>
      </c>
      <c r="K43" s="51">
        <f t="shared" si="6"/>
        <v>233.94336780113679</v>
      </c>
      <c r="L43" s="51">
        <f t="shared" si="7"/>
        <v>67.842766653044549</v>
      </c>
      <c r="M43" s="397">
        <v>136.9376</v>
      </c>
      <c r="N43" s="397">
        <v>24.062000000000001</v>
      </c>
      <c r="O43" s="49">
        <f t="shared" si="8"/>
        <v>240.24857905909749</v>
      </c>
      <c r="P43" s="49">
        <f t="shared" si="9"/>
        <v>69.645739681242333</v>
      </c>
      <c r="Q43" s="398">
        <v>123.39579999999999</v>
      </c>
      <c r="R43" s="398">
        <v>21.552399999999999</v>
      </c>
      <c r="S43" s="47">
        <f t="shared" si="10"/>
        <v>217.06532904197769</v>
      </c>
      <c r="T43" s="47">
        <f t="shared" si="11"/>
        <v>63.235850020433176</v>
      </c>
      <c r="U43" s="406">
        <v>284.02850000000001</v>
      </c>
      <c r="V43" s="406">
        <v>49.536299999999997</v>
      </c>
      <c r="W43" s="404">
        <f t="shared" si="12"/>
        <v>492.06481544888038</v>
      </c>
      <c r="X43" s="404">
        <f t="shared" si="13"/>
        <v>134.71087045361668</v>
      </c>
      <c r="Y43" s="53">
        <f t="shared" si="14"/>
        <v>6.3897983749885423</v>
      </c>
      <c r="Z43" s="53">
        <f t="shared" si="15"/>
        <v>1.3584661490260181</v>
      </c>
      <c r="AA43" s="51">
        <f t="shared" si="16"/>
        <v>6.5992487391011778</v>
      </c>
      <c r="AB43" s="51">
        <f t="shared" si="17"/>
        <v>1.4133909719384281</v>
      </c>
      <c r="AC43" s="49">
        <f t="shared" si="18"/>
        <v>6.5180058930642675</v>
      </c>
      <c r="AD43" s="49">
        <f t="shared" si="19"/>
        <v>1.4084316680288789</v>
      </c>
      <c r="AE43" s="47">
        <f t="shared" si="20"/>
        <v>6.1231404525240531</v>
      </c>
      <c r="AF43" s="47">
        <f t="shared" si="21"/>
        <v>1.3174135420923578</v>
      </c>
      <c r="AG43" s="404">
        <f t="shared" si="22"/>
        <v>13.880530760194086</v>
      </c>
      <c r="AH43" s="404">
        <f t="shared" si="23"/>
        <v>2.8064764677836807</v>
      </c>
    </row>
    <row r="44" spans="1:34">
      <c r="A44" s="14">
        <v>44468</v>
      </c>
      <c r="B44" s="12">
        <v>138.43333333333334</v>
      </c>
      <c r="C44" s="14">
        <v>44512</v>
      </c>
      <c r="D44" s="12">
        <v>214.66666666666666</v>
      </c>
      <c r="E44" s="399">
        <v>135.13210000000001</v>
      </c>
      <c r="F44" s="399">
        <v>23.794599999999999</v>
      </c>
      <c r="G44" s="53">
        <f t="shared" si="4"/>
        <v>237.15760460179416</v>
      </c>
      <c r="H44" s="53">
        <f t="shared" si="5"/>
        <v>68.9627605230895</v>
      </c>
      <c r="I44" s="400">
        <v>132.3913</v>
      </c>
      <c r="J44" s="400">
        <v>23.421199999999999</v>
      </c>
      <c r="K44" s="51">
        <f t="shared" si="6"/>
        <v>232.46541806478123</v>
      </c>
      <c r="L44" s="51">
        <f t="shared" si="7"/>
        <v>68.009041683694306</v>
      </c>
      <c r="M44" s="397">
        <v>131.57230000000001</v>
      </c>
      <c r="N44" s="397">
        <v>23.262899999999998</v>
      </c>
      <c r="O44" s="49">
        <f t="shared" si="8"/>
        <v>231.0633089091283</v>
      </c>
      <c r="P44" s="49">
        <f t="shared" si="9"/>
        <v>67.604720065386189</v>
      </c>
      <c r="Q44" s="398">
        <v>133.57480000000001</v>
      </c>
      <c r="R44" s="398">
        <v>23.6252</v>
      </c>
      <c r="S44" s="47">
        <f t="shared" si="10"/>
        <v>234.49154283366437</v>
      </c>
      <c r="T44" s="47">
        <f t="shared" si="11"/>
        <v>68.530087862689001</v>
      </c>
      <c r="U44" s="405">
        <v>232.5925</v>
      </c>
      <c r="V44" s="405">
        <v>43.631399999999999</v>
      </c>
      <c r="W44" s="404">
        <f t="shared" si="12"/>
        <v>404.00756693830039</v>
      </c>
      <c r="X44" s="404">
        <f t="shared" si="13"/>
        <v>119.62888230486311</v>
      </c>
      <c r="Y44" s="53">
        <f t="shared" si="14"/>
        <v>6.6899183244511748</v>
      </c>
      <c r="Z44" s="53">
        <f t="shared" si="15"/>
        <v>1.4367241775643647</v>
      </c>
      <c r="AA44" s="51">
        <f t="shared" si="16"/>
        <v>6.5575576322928413</v>
      </c>
      <c r="AB44" s="51">
        <f t="shared" si="17"/>
        <v>1.4168550350769646</v>
      </c>
      <c r="AC44" s="49">
        <f t="shared" si="18"/>
        <v>8.285220099392216</v>
      </c>
      <c r="AD44" s="49">
        <f t="shared" si="19"/>
        <v>1.8877494551151068</v>
      </c>
      <c r="AE44" s="47">
        <f t="shared" si="20"/>
        <v>6.6147120686506167</v>
      </c>
      <c r="AF44" s="47">
        <f t="shared" si="21"/>
        <v>1.4277101638060208</v>
      </c>
      <c r="AG44" s="404">
        <f t="shared" si="22"/>
        <v>11.396546317018347</v>
      </c>
      <c r="AH44" s="404">
        <f t="shared" si="23"/>
        <v>2.4922683813513147</v>
      </c>
    </row>
    <row r="45" spans="1:34">
      <c r="A45" s="14">
        <v>44470</v>
      </c>
      <c r="B45" s="12">
        <v>190.9</v>
      </c>
      <c r="C45" s="14">
        <v>44515</v>
      </c>
      <c r="D45" s="12">
        <v>286.59999999999997</v>
      </c>
      <c r="E45" s="399">
        <v>164.18199999999999</v>
      </c>
      <c r="F45" s="399">
        <v>31.2241</v>
      </c>
      <c r="G45" s="53">
        <f t="shared" si="4"/>
        <v>286.89036499349447</v>
      </c>
      <c r="H45" s="53">
        <f t="shared" si="5"/>
        <v>87.938802615447486</v>
      </c>
      <c r="I45" s="400">
        <v>157.21539999999999</v>
      </c>
      <c r="J45" s="400">
        <v>29.903099999999998</v>
      </c>
      <c r="K45" s="51">
        <f t="shared" si="6"/>
        <v>274.96370608779017</v>
      </c>
      <c r="L45" s="51">
        <f t="shared" si="7"/>
        <v>84.564773191663264</v>
      </c>
      <c r="M45" s="397">
        <v>168.1661</v>
      </c>
      <c r="N45" s="397">
        <v>32.270699999999998</v>
      </c>
      <c r="O45" s="49">
        <f t="shared" si="8"/>
        <v>293.7110525234541</v>
      </c>
      <c r="P45" s="49">
        <f t="shared" si="9"/>
        <v>90.611973845525128</v>
      </c>
      <c r="Q45" s="398">
        <v>168.1079</v>
      </c>
      <c r="R45" s="398">
        <v>32.216200000000001</v>
      </c>
      <c r="S45" s="47">
        <f t="shared" si="10"/>
        <v>293.61141546257619</v>
      </c>
      <c r="T45" s="47">
        <f t="shared" si="11"/>
        <v>90.472772782999598</v>
      </c>
      <c r="U45" s="405">
        <v>223.85159999999999</v>
      </c>
      <c r="V45" s="405">
        <v>36.515799999999999</v>
      </c>
      <c r="W45" s="404">
        <f t="shared" si="12"/>
        <v>389.04334725741285</v>
      </c>
      <c r="X45" s="404">
        <f t="shared" si="13"/>
        <v>101.4545872496935</v>
      </c>
      <c r="Y45" s="53">
        <f t="shared" si="14"/>
        <v>8.0928170661070364</v>
      </c>
      <c r="Z45" s="53">
        <f t="shared" si="15"/>
        <v>1.8320583878218226</v>
      </c>
      <c r="AA45" s="51">
        <f t="shared" si="16"/>
        <v>7.7563809897825147</v>
      </c>
      <c r="AB45" s="51">
        <f t="shared" si="17"/>
        <v>1.7617661081596514</v>
      </c>
      <c r="AC45" s="49">
        <f t="shared" si="18"/>
        <v>7.7093728542940001</v>
      </c>
      <c r="AD45" s="49">
        <f t="shared" si="19"/>
        <v>2.0971150899060076</v>
      </c>
      <c r="AE45" s="47">
        <f t="shared" si="20"/>
        <v>8.2824094629781708</v>
      </c>
      <c r="AF45" s="47">
        <f t="shared" si="21"/>
        <v>1.8848494329791583</v>
      </c>
      <c r="AG45" s="404">
        <f t="shared" si="22"/>
        <v>10.974424464242956</v>
      </c>
      <c r="AH45" s="404">
        <f t="shared" si="23"/>
        <v>2.1136372343686145</v>
      </c>
    </row>
    <row r="46" spans="1:34">
      <c r="A46" s="14">
        <v>44473</v>
      </c>
      <c r="B46" s="12">
        <v>258.45</v>
      </c>
      <c r="C46" s="14">
        <v>44517</v>
      </c>
      <c r="D46" s="12">
        <v>334.76666666666659</v>
      </c>
      <c r="E46" s="399">
        <v>156.928</v>
      </c>
      <c r="F46" s="399">
        <v>36.1828</v>
      </c>
      <c r="G46" s="53">
        <f t="shared" si="4"/>
        <v>274.47168390056839</v>
      </c>
      <c r="H46" s="53">
        <f t="shared" si="5"/>
        <v>100.60405598692276</v>
      </c>
      <c r="I46" s="400">
        <v>166.82429999999999</v>
      </c>
      <c r="J46" s="400">
        <v>38.946599999999997</v>
      </c>
      <c r="K46" s="51">
        <f t="shared" si="6"/>
        <v>291.41392179689103</v>
      </c>
      <c r="L46" s="51">
        <f t="shared" si="7"/>
        <v>107.66321005312626</v>
      </c>
      <c r="M46" s="397">
        <v>156.24199999999999</v>
      </c>
      <c r="N46" s="397">
        <v>36.205300000000001</v>
      </c>
      <c r="O46" s="49">
        <f t="shared" si="8"/>
        <v>273.29726768472233</v>
      </c>
      <c r="P46" s="49">
        <f t="shared" si="9"/>
        <v>100.66152431548836</v>
      </c>
      <c r="Q46" s="398">
        <v>167.9666</v>
      </c>
      <c r="R46" s="398">
        <v>39.273299999999999</v>
      </c>
      <c r="S46" s="47">
        <f t="shared" si="10"/>
        <v>293.36951311374378</v>
      </c>
      <c r="T46" s="47">
        <f t="shared" si="11"/>
        <v>108.49765018389866</v>
      </c>
      <c r="U46" s="406">
        <v>197.63730000000001</v>
      </c>
      <c r="V46" s="406">
        <v>38.029600000000002</v>
      </c>
      <c r="W46" s="404">
        <f t="shared" si="12"/>
        <v>344.16506882147507</v>
      </c>
      <c r="X46" s="404">
        <f t="shared" si="13"/>
        <v>105.32105639558644</v>
      </c>
      <c r="Y46" s="53">
        <f t="shared" si="14"/>
        <v>7.7425016615110964</v>
      </c>
      <c r="Z46" s="53">
        <f t="shared" si="15"/>
        <v>2.095917833060891</v>
      </c>
      <c r="AA46" s="51">
        <f t="shared" si="16"/>
        <v>8.2204209251591251</v>
      </c>
      <c r="AB46" s="51">
        <f t="shared" si="17"/>
        <v>2.2429835427734637</v>
      </c>
      <c r="AC46" s="49">
        <f t="shared" si="18"/>
        <v>7.6777459507277079</v>
      </c>
      <c r="AD46" s="49">
        <f t="shared" si="19"/>
        <v>1.7634741945920174</v>
      </c>
      <c r="AE46" s="47">
        <f t="shared" si="20"/>
        <v>8.2755857013750003</v>
      </c>
      <c r="AF46" s="47">
        <f t="shared" si="21"/>
        <v>2.2603677121645553</v>
      </c>
      <c r="AG46" s="404">
        <f t="shared" si="22"/>
        <v>9.7084645647806784</v>
      </c>
      <c r="AH46" s="404">
        <f t="shared" si="23"/>
        <v>2.1941886749080508</v>
      </c>
    </row>
    <row r="47" spans="1:34">
      <c r="A47" s="14">
        <v>44475</v>
      </c>
      <c r="B47" s="12">
        <v>306.97000000000003</v>
      </c>
      <c r="C47" s="14">
        <v>44519</v>
      </c>
      <c r="D47" s="12">
        <v>380.89999999999992</v>
      </c>
      <c r="E47" s="396">
        <v>162.51140000000001</v>
      </c>
      <c r="F47" s="396">
        <v>31.277699999999999</v>
      </c>
      <c r="G47" s="53">
        <f t="shared" si="4"/>
        <v>284.03033623228106</v>
      </c>
      <c r="H47" s="53">
        <f t="shared" si="5"/>
        <v>88.07570494483042</v>
      </c>
      <c r="I47" s="393">
        <v>162.22909999999999</v>
      </c>
      <c r="J47" s="393">
        <v>31.4438</v>
      </c>
      <c r="K47" s="51">
        <f t="shared" si="6"/>
        <v>283.54704512771349</v>
      </c>
      <c r="L47" s="51">
        <f t="shared" si="7"/>
        <v>88.49994891704128</v>
      </c>
      <c r="M47" s="394">
        <v>155.58709999999999</v>
      </c>
      <c r="N47" s="394">
        <v>29.935199999999998</v>
      </c>
      <c r="O47" s="49">
        <f t="shared" si="8"/>
        <v>272.17609395329725</v>
      </c>
      <c r="P47" s="49">
        <f t="shared" si="9"/>
        <v>84.64676134041683</v>
      </c>
      <c r="Q47" s="395">
        <v>152.82679999999999</v>
      </c>
      <c r="R47" s="395">
        <v>29.1508</v>
      </c>
      <c r="S47" s="47">
        <f t="shared" si="10"/>
        <v>267.45052386495922</v>
      </c>
      <c r="T47" s="47">
        <f t="shared" si="11"/>
        <v>82.643287699223521</v>
      </c>
      <c r="U47" s="406">
        <v>151.6609</v>
      </c>
      <c r="V47" s="406">
        <v>32.067999999999998</v>
      </c>
      <c r="W47" s="404">
        <f t="shared" si="12"/>
        <v>265.45452989111828</v>
      </c>
      <c r="X47" s="404">
        <f t="shared" si="13"/>
        <v>90.094248058847555</v>
      </c>
      <c r="Y47" s="53">
        <f t="shared" si="14"/>
        <v>8.0121392449162485</v>
      </c>
      <c r="Z47" s="53">
        <f t="shared" si="15"/>
        <v>1.834910519683967</v>
      </c>
      <c r="AA47" s="51">
        <f t="shared" si="16"/>
        <v>7.9985062095264725</v>
      </c>
      <c r="AB47" s="51">
        <f t="shared" si="17"/>
        <v>1.8437489357716934</v>
      </c>
      <c r="AC47" s="49">
        <f t="shared" si="18"/>
        <v>5.8231895275880383</v>
      </c>
      <c r="AD47" s="49">
        <f t="shared" si="19"/>
        <v>1.4390388741315896</v>
      </c>
      <c r="AE47" s="47">
        <f t="shared" si="20"/>
        <v>7.5444435504925025</v>
      </c>
      <c r="AF47" s="47">
        <f t="shared" si="21"/>
        <v>1.72173516040049</v>
      </c>
      <c r="AG47" s="404">
        <f t="shared" si="22"/>
        <v>7.4881390660400076</v>
      </c>
      <c r="AH47" s="404">
        <f t="shared" si="23"/>
        <v>1.8769635012259906</v>
      </c>
    </row>
    <row r="48" spans="1:34">
      <c r="A48" s="14">
        <v>44477</v>
      </c>
      <c r="B48" s="12">
        <v>354.78</v>
      </c>
      <c r="C48" s="14">
        <v>44522</v>
      </c>
      <c r="D48" s="12">
        <v>459.88333333333327</v>
      </c>
      <c r="E48" s="396">
        <v>123.34780000000001</v>
      </c>
      <c r="F48" s="396">
        <v>25.324000000000002</v>
      </c>
      <c r="G48" s="53">
        <f t="shared" si="4"/>
        <v>216.98315414640831</v>
      </c>
      <c r="H48" s="53">
        <f t="shared" si="5"/>
        <v>72.869074376787907</v>
      </c>
      <c r="I48" s="393">
        <v>121.20050000000001</v>
      </c>
      <c r="J48" s="393">
        <v>24.7728</v>
      </c>
      <c r="K48" s="51">
        <f t="shared" si="6"/>
        <v>213.30702595357121</v>
      </c>
      <c r="L48" s="51">
        <f t="shared" si="7"/>
        <v>71.461228034327746</v>
      </c>
      <c r="M48" s="394">
        <v>117.18470000000001</v>
      </c>
      <c r="N48" s="394">
        <v>23.838100000000001</v>
      </c>
      <c r="O48" s="49">
        <f t="shared" si="8"/>
        <v>206.43206875299597</v>
      </c>
      <c r="P48" s="49">
        <f t="shared" si="9"/>
        <v>69.073865958316304</v>
      </c>
      <c r="Q48" s="395">
        <v>118.47539999999999</v>
      </c>
      <c r="R48" s="395">
        <v>24.098400000000002</v>
      </c>
      <c r="S48" s="47">
        <f t="shared" si="10"/>
        <v>208.64171745531738</v>
      </c>
      <c r="T48" s="47">
        <f t="shared" si="11"/>
        <v>69.73871066612179</v>
      </c>
      <c r="U48" s="406">
        <v>219.19229999999999</v>
      </c>
      <c r="V48" s="406">
        <v>52.622599999999998</v>
      </c>
      <c r="W48" s="404">
        <f t="shared" si="12"/>
        <v>381.0667328631103</v>
      </c>
      <c r="X48" s="404">
        <f t="shared" si="13"/>
        <v>142.59373722926031</v>
      </c>
      <c r="Y48" s="53">
        <f t="shared" si="14"/>
        <v>6.1208224018732942</v>
      </c>
      <c r="Z48" s="53">
        <f t="shared" si="15"/>
        <v>1.5181057161830813</v>
      </c>
      <c r="AA48" s="51">
        <f t="shared" si="16"/>
        <v>6.0171234401571567</v>
      </c>
      <c r="AB48" s="51">
        <f t="shared" si="17"/>
        <v>1.4887755840484946</v>
      </c>
      <c r="AC48" s="49">
        <f t="shared" si="18"/>
        <v>6.6109548948875112</v>
      </c>
      <c r="AD48" s="49">
        <f t="shared" si="19"/>
        <v>1.558541070698815</v>
      </c>
      <c r="AE48" s="47">
        <f t="shared" si="20"/>
        <v>5.8855209437325069</v>
      </c>
      <c r="AF48" s="47">
        <f t="shared" si="21"/>
        <v>1.4528898055442039</v>
      </c>
      <c r="AG48" s="404">
        <f t="shared" si="22"/>
        <v>10.749414185137102</v>
      </c>
      <c r="AH48" s="404">
        <f t="shared" si="23"/>
        <v>2.9707028589429232</v>
      </c>
    </row>
    <row r="49" spans="1:34">
      <c r="A49" s="14">
        <v>44480</v>
      </c>
      <c r="B49" s="12">
        <v>427.75</v>
      </c>
      <c r="C49" s="14">
        <v>44524</v>
      </c>
      <c r="D49" s="12">
        <v>507.81666666666661</v>
      </c>
      <c r="E49" s="396">
        <v>137.55869999999999</v>
      </c>
      <c r="F49" s="396">
        <v>26.854399999999998</v>
      </c>
      <c r="G49" s="53">
        <f t="shared" si="4"/>
        <v>241.3118879682257</v>
      </c>
      <c r="H49" s="53">
        <f t="shared" si="5"/>
        <v>76.777942378422551</v>
      </c>
      <c r="I49" s="393">
        <v>138.8193</v>
      </c>
      <c r="J49" s="393">
        <v>27.2789</v>
      </c>
      <c r="K49" s="51">
        <f t="shared" si="6"/>
        <v>243.47000616311718</v>
      </c>
      <c r="L49" s="51">
        <f t="shared" si="7"/>
        <v>77.862178177360036</v>
      </c>
      <c r="M49" s="394">
        <v>133.49700000000001</v>
      </c>
      <c r="N49" s="394">
        <v>26.0839</v>
      </c>
      <c r="O49" s="49">
        <f t="shared" si="8"/>
        <v>234.35835102376228</v>
      </c>
      <c r="P49" s="49">
        <f t="shared" si="9"/>
        <v>74.809971393543123</v>
      </c>
      <c r="Q49" s="395">
        <v>138.43199999999999</v>
      </c>
      <c r="R49" s="395">
        <v>27.202500000000001</v>
      </c>
      <c r="S49" s="47">
        <f t="shared" si="10"/>
        <v>242.80695747449155</v>
      </c>
      <c r="T49" s="47">
        <f t="shared" si="11"/>
        <v>77.667041275030641</v>
      </c>
      <c r="U49" s="405">
        <v>168.72130000000001</v>
      </c>
      <c r="V49" s="405">
        <v>26.8642</v>
      </c>
      <c r="W49" s="404">
        <f t="shared" si="12"/>
        <v>294.66154214887359</v>
      </c>
      <c r="X49" s="404">
        <f t="shared" si="13"/>
        <v>76.802973028197798</v>
      </c>
      <c r="Y49" s="53">
        <f t="shared" si="14"/>
        <v>6.807105443391416</v>
      </c>
      <c r="Z49" s="53">
        <f t="shared" si="15"/>
        <v>1.5995404662171364</v>
      </c>
      <c r="AA49" s="51">
        <f t="shared" si="16"/>
        <v>6.8679832486069721</v>
      </c>
      <c r="AB49" s="51">
        <f t="shared" si="17"/>
        <v>1.6221287120283341</v>
      </c>
      <c r="AC49" s="49">
        <f t="shared" si="18"/>
        <v>6.7105151703376054</v>
      </c>
      <c r="AD49" s="49">
        <f t="shared" si="19"/>
        <v>1.5768351552921944</v>
      </c>
      <c r="AE49" s="47">
        <f t="shared" si="20"/>
        <v>6.8492794774186612</v>
      </c>
      <c r="AF49" s="47">
        <f t="shared" si="21"/>
        <v>1.6180633598964718</v>
      </c>
      <c r="AG49" s="404">
        <f t="shared" si="22"/>
        <v>8.3120322185859958</v>
      </c>
      <c r="AH49" s="404">
        <f t="shared" si="23"/>
        <v>1.6000619380874541</v>
      </c>
    </row>
    <row r="50" spans="1:34">
      <c r="A50" s="14">
        <v>44482</v>
      </c>
      <c r="B50" s="12">
        <v>474.26666666666665</v>
      </c>
      <c r="C50" s="14">
        <v>44529</v>
      </c>
      <c r="D50" s="12">
        <v>625.1</v>
      </c>
      <c r="E50" s="399">
        <v>123.093</v>
      </c>
      <c r="F50" s="399">
        <v>22.869199999999999</v>
      </c>
      <c r="G50" s="53">
        <f t="shared" si="4"/>
        <v>216.54694240909404</v>
      </c>
      <c r="H50" s="53">
        <f t="shared" si="5"/>
        <v>66.599152022885164</v>
      </c>
      <c r="I50" s="400">
        <v>138.4658</v>
      </c>
      <c r="J50" s="400">
        <v>27.098700000000001</v>
      </c>
      <c r="K50" s="51">
        <f t="shared" si="6"/>
        <v>242.86482229678836</v>
      </c>
      <c r="L50" s="51">
        <f t="shared" si="7"/>
        <v>77.401920719248068</v>
      </c>
      <c r="M50" s="397">
        <v>135.55860000000001</v>
      </c>
      <c r="N50" s="397">
        <v>26.427700000000002</v>
      </c>
      <c r="O50" s="49">
        <f t="shared" si="8"/>
        <v>237.88776278846814</v>
      </c>
      <c r="P50" s="49">
        <f t="shared" si="9"/>
        <v>75.688087454025336</v>
      </c>
      <c r="Q50" s="398">
        <v>134.06049999999999</v>
      </c>
      <c r="R50" s="398">
        <v>27.251300000000001</v>
      </c>
      <c r="S50" s="47">
        <f t="shared" si="10"/>
        <v>235.3230500582072</v>
      </c>
      <c r="T50" s="47">
        <f t="shared" si="11"/>
        <v>77.791683694319573</v>
      </c>
      <c r="U50" s="405">
        <v>163.10589999999999</v>
      </c>
      <c r="V50" s="405">
        <v>21.5809</v>
      </c>
      <c r="W50" s="404">
        <f t="shared" si="12"/>
        <v>285.04810655344789</v>
      </c>
      <c r="X50" s="404">
        <f t="shared" si="13"/>
        <v>63.308643236616263</v>
      </c>
      <c r="Y50" s="53">
        <f t="shared" si="14"/>
        <v>6.1085174163355154</v>
      </c>
      <c r="Z50" s="53">
        <f t="shared" si="15"/>
        <v>1.3874823338101077</v>
      </c>
      <c r="AA50" s="51">
        <f t="shared" si="16"/>
        <v>6.8509117714185708</v>
      </c>
      <c r="AB50" s="51">
        <f t="shared" si="17"/>
        <v>1.6125400149843347</v>
      </c>
      <c r="AC50" s="49">
        <f t="shared" si="18"/>
        <v>8.695838625813213</v>
      </c>
      <c r="AD50" s="49">
        <f t="shared" si="19"/>
        <v>2.040817412477864</v>
      </c>
      <c r="AE50" s="47">
        <f t="shared" si="20"/>
        <v>6.6381678436729814</v>
      </c>
      <c r="AF50" s="47">
        <f t="shared" si="21"/>
        <v>1.620660076964991</v>
      </c>
      <c r="AG50" s="404">
        <f t="shared" si="22"/>
        <v>8.0408492680803345</v>
      </c>
      <c r="AH50" s="404">
        <f t="shared" si="23"/>
        <v>1.3189300674295055</v>
      </c>
    </row>
    <row r="51" spans="1:34">
      <c r="A51" s="14">
        <v>44483</v>
      </c>
      <c r="B51" s="12">
        <v>497.58333333333331</v>
      </c>
      <c r="C51" s="14">
        <v>44533</v>
      </c>
      <c r="D51" s="12">
        <v>717.73333333333335</v>
      </c>
      <c r="E51" s="399">
        <v>176.18379999999999</v>
      </c>
      <c r="F51" s="399">
        <v>34.8626</v>
      </c>
      <c r="G51" s="53">
        <f t="shared" si="4"/>
        <v>307.43717044442923</v>
      </c>
      <c r="H51" s="53">
        <f t="shared" si="5"/>
        <v>97.232069881487533</v>
      </c>
      <c r="I51" s="400">
        <v>175.91470000000001</v>
      </c>
      <c r="J51" s="400">
        <v>34.991900000000001</v>
      </c>
      <c r="K51" s="51">
        <f t="shared" si="6"/>
        <v>306.97647743614328</v>
      </c>
      <c r="L51" s="51">
        <f t="shared" si="7"/>
        <v>97.562321209644466</v>
      </c>
      <c r="M51" s="397">
        <v>176.6688</v>
      </c>
      <c r="N51" s="397">
        <v>35.147300000000001</v>
      </c>
      <c r="O51" s="49">
        <f t="shared" si="8"/>
        <v>308.26747928507842</v>
      </c>
      <c r="P51" s="49">
        <f t="shared" si="9"/>
        <v>97.95923579893747</v>
      </c>
      <c r="Q51" s="398">
        <v>167.61590000000001</v>
      </c>
      <c r="R51" s="398">
        <v>33.168999999999997</v>
      </c>
      <c r="S51" s="47">
        <f t="shared" si="10"/>
        <v>292.76912278298983</v>
      </c>
      <c r="T51" s="47">
        <f t="shared" si="11"/>
        <v>92.906364936657127</v>
      </c>
      <c r="U51" s="405">
        <v>158.48140000000001</v>
      </c>
      <c r="V51" s="405">
        <v>19.875699999999998</v>
      </c>
      <c r="W51" s="404">
        <f t="shared" si="12"/>
        <v>277.13106895843322</v>
      </c>
      <c r="X51" s="404">
        <f t="shared" si="13"/>
        <v>58.953310175725377</v>
      </c>
      <c r="Y51" s="53">
        <f t="shared" si="14"/>
        <v>8.6724166556961695</v>
      </c>
      <c r="Z51" s="53">
        <f t="shared" si="15"/>
        <v>2.0256681225309903</v>
      </c>
      <c r="AA51" s="51">
        <f t="shared" si="16"/>
        <v>8.659421084235353</v>
      </c>
      <c r="AB51" s="51">
        <f t="shared" si="17"/>
        <v>2.0325483585342599</v>
      </c>
      <c r="AC51" s="49">
        <f t="shared" si="18"/>
        <v>9.4352919541331186</v>
      </c>
      <c r="AD51" s="49">
        <f t="shared" si="19"/>
        <v>2.1001800674295059</v>
      </c>
      <c r="AE51" s="47">
        <f t="shared" si="20"/>
        <v>8.2586494438078937</v>
      </c>
      <c r="AF51" s="47">
        <f t="shared" si="21"/>
        <v>1.9355492695136902</v>
      </c>
      <c r="AG51" s="404">
        <f t="shared" si="22"/>
        <v>7.8175195756962816</v>
      </c>
      <c r="AH51" s="404">
        <f t="shared" si="23"/>
        <v>1.2281939619942788</v>
      </c>
    </row>
    <row r="52" spans="1:34">
      <c r="A52" s="14">
        <v>44487</v>
      </c>
      <c r="B52" s="12">
        <v>598.85</v>
      </c>
      <c r="C52" s="14">
        <v>44536</v>
      </c>
      <c r="D52" s="12">
        <v>790.18333333333328</v>
      </c>
      <c r="E52" s="399">
        <v>191.26429999999999</v>
      </c>
      <c r="F52" s="399">
        <v>35.9163</v>
      </c>
      <c r="G52" s="53">
        <f t="shared" si="4"/>
        <v>333.25463945764568</v>
      </c>
      <c r="H52" s="53">
        <f t="shared" si="5"/>
        <v>99.923375561912536</v>
      </c>
      <c r="I52" s="400">
        <v>187.0658</v>
      </c>
      <c r="J52" s="400">
        <v>35.180900000000001</v>
      </c>
      <c r="K52" s="51">
        <f t="shared" si="6"/>
        <v>326.06690406080941</v>
      </c>
      <c r="L52" s="51">
        <f t="shared" si="7"/>
        <v>98.045055169595429</v>
      </c>
      <c r="M52" s="397">
        <v>191.98070000000001</v>
      </c>
      <c r="N52" s="397">
        <v>36.262900000000002</v>
      </c>
      <c r="O52" s="49">
        <f t="shared" si="8"/>
        <v>334.48109977401907</v>
      </c>
      <c r="P52" s="49">
        <f t="shared" si="9"/>
        <v>100.80864323661628</v>
      </c>
      <c r="Q52" s="398">
        <v>196.70750000000001</v>
      </c>
      <c r="R52" s="398">
        <v>37.337499999999999</v>
      </c>
      <c r="S52" s="47">
        <f t="shared" si="10"/>
        <v>342.57327261521607</v>
      </c>
      <c r="T52" s="47">
        <f t="shared" si="11"/>
        <v>103.55333060890887</v>
      </c>
      <c r="U52" s="405">
        <v>131.7842</v>
      </c>
      <c r="V52" s="405">
        <v>14.8575</v>
      </c>
      <c r="W52" s="404">
        <f t="shared" si="12"/>
        <v>231.42607683352736</v>
      </c>
      <c r="X52" s="404">
        <f t="shared" si="13"/>
        <v>46.136085002043323</v>
      </c>
      <c r="Y52" s="53">
        <f t="shared" si="14"/>
        <v>9.4006950481705402</v>
      </c>
      <c r="Z52" s="53">
        <f t="shared" si="15"/>
        <v>2.081736990873178</v>
      </c>
      <c r="AA52" s="51">
        <f t="shared" si="16"/>
        <v>9.1979380553119707</v>
      </c>
      <c r="AB52" s="51">
        <f t="shared" si="17"/>
        <v>2.0426053160332382</v>
      </c>
      <c r="AC52" s="49">
        <f t="shared" si="18"/>
        <v>9.4138886197911091</v>
      </c>
      <c r="AD52" s="49">
        <f t="shared" si="19"/>
        <v>1.9816729243291107</v>
      </c>
      <c r="AE52" s="47">
        <f t="shared" si="20"/>
        <v>9.6635619919666027</v>
      </c>
      <c r="AF52" s="47">
        <f t="shared" si="21"/>
        <v>2.1573610543522679</v>
      </c>
      <c r="AG52" s="404">
        <f t="shared" si="22"/>
        <v>6.5282391208329296</v>
      </c>
      <c r="AH52" s="404">
        <f t="shared" si="23"/>
        <v>0.9611684375425692</v>
      </c>
    </row>
    <row r="53" spans="1:34">
      <c r="A53" s="14">
        <v>44489</v>
      </c>
      <c r="B53" s="12">
        <v>643.25</v>
      </c>
      <c r="C53" s="14">
        <v>44538</v>
      </c>
      <c r="D53" s="12">
        <v>838.58333333333337</v>
      </c>
      <c r="E53" s="399">
        <v>183.571</v>
      </c>
      <c r="F53" s="396">
        <v>32.822499999999998</v>
      </c>
      <c r="G53" s="53">
        <f t="shared" si="4"/>
        <v>320.08388687256047</v>
      </c>
      <c r="H53" s="53">
        <f t="shared" si="5"/>
        <v>92.021352676747043</v>
      </c>
      <c r="I53" s="400">
        <v>183.7405</v>
      </c>
      <c r="J53" s="393">
        <v>32.375999999999998</v>
      </c>
      <c r="K53" s="51">
        <f t="shared" si="6"/>
        <v>320.37406697253994</v>
      </c>
      <c r="L53" s="51">
        <f t="shared" si="7"/>
        <v>90.880925623212093</v>
      </c>
      <c r="M53" s="397">
        <v>191.53749999999999</v>
      </c>
      <c r="N53" s="394">
        <v>34.035800000000002</v>
      </c>
      <c r="O53" s="49">
        <f t="shared" si="8"/>
        <v>333.72235157159486</v>
      </c>
      <c r="P53" s="49">
        <f t="shared" si="9"/>
        <v>95.120300367797313</v>
      </c>
      <c r="Q53" s="398">
        <v>278.03289999999998</v>
      </c>
      <c r="R53" s="395">
        <v>61.252099999999999</v>
      </c>
      <c r="S53" s="47">
        <f t="shared" si="10"/>
        <v>481.8004862014655</v>
      </c>
      <c r="T53" s="47">
        <f t="shared" si="11"/>
        <v>164.63475684511647</v>
      </c>
      <c r="U53" s="405">
        <v>152.5745</v>
      </c>
      <c r="V53" s="405">
        <v>29.929099999999998</v>
      </c>
      <c r="W53" s="404">
        <f t="shared" si="12"/>
        <v>267.01859207012257</v>
      </c>
      <c r="X53" s="404">
        <f t="shared" si="13"/>
        <v>84.631181038005707</v>
      </c>
      <c r="Y53" s="53">
        <f t="shared" si="14"/>
        <v>9.0291646508479673</v>
      </c>
      <c r="Z53" s="53">
        <f t="shared" si="15"/>
        <v>1.9171115140988968</v>
      </c>
      <c r="AA53" s="51">
        <f t="shared" si="16"/>
        <v>9.0373502672084598</v>
      </c>
      <c r="AB53" s="51">
        <f t="shared" si="17"/>
        <v>1.8933526171502519</v>
      </c>
      <c r="AC53" s="49">
        <f t="shared" si="18"/>
        <v>9.7113138353722341</v>
      </c>
      <c r="AD53" s="49">
        <f t="shared" si="19"/>
        <v>1.9793369431957502</v>
      </c>
      <c r="AE53" s="47">
        <f t="shared" si="20"/>
        <v>13.590986916825543</v>
      </c>
      <c r="AF53" s="47">
        <f t="shared" si="21"/>
        <v>3.4298907676065933</v>
      </c>
      <c r="AG53" s="404">
        <f t="shared" si="22"/>
        <v>7.5322592967594515</v>
      </c>
      <c r="AH53" s="404">
        <f t="shared" si="23"/>
        <v>1.7631496049584523</v>
      </c>
    </row>
    <row r="54" spans="1:34">
      <c r="A54" s="14">
        <v>44490</v>
      </c>
      <c r="B54" s="12">
        <v>667.73333333333335</v>
      </c>
      <c r="C54" s="14">
        <v>44543</v>
      </c>
      <c r="D54" s="12">
        <v>958.73333333333335</v>
      </c>
      <c r="E54" s="396">
        <v>194.6463</v>
      </c>
      <c r="F54" s="396">
        <v>33.176699999999997</v>
      </c>
      <c r="G54" s="53">
        <f t="shared" si="4"/>
        <v>339.04454564130663</v>
      </c>
      <c r="H54" s="53">
        <f t="shared" si="5"/>
        <v>92.926031875766242</v>
      </c>
      <c r="I54" s="393">
        <v>193.34049999999999</v>
      </c>
      <c r="J54" s="393">
        <v>32.957599999999999</v>
      </c>
      <c r="K54" s="51">
        <f t="shared" si="6"/>
        <v>336.80904608642061</v>
      </c>
      <c r="L54" s="51">
        <f t="shared" si="7"/>
        <v>92.366418062934201</v>
      </c>
      <c r="M54" s="394">
        <v>197.69630000000001</v>
      </c>
      <c r="N54" s="394">
        <v>33.991900000000001</v>
      </c>
      <c r="O54" s="49">
        <f t="shared" si="8"/>
        <v>344.26607546394575</v>
      </c>
      <c r="P54" s="49">
        <f t="shared" si="9"/>
        <v>95.008173273396011</v>
      </c>
      <c r="Q54" s="395">
        <v>197.0087</v>
      </c>
      <c r="R54" s="395">
        <v>33.887300000000003</v>
      </c>
      <c r="S54" s="47">
        <f t="shared" si="10"/>
        <v>343.08892008491404</v>
      </c>
      <c r="T54" s="47">
        <f t="shared" si="11"/>
        <v>94.741009399264414</v>
      </c>
      <c r="U54" s="405">
        <v>144.7132</v>
      </c>
      <c r="V54" s="405">
        <v>17.2591</v>
      </c>
      <c r="W54" s="404">
        <f t="shared" si="12"/>
        <v>253.56022735054441</v>
      </c>
      <c r="X54" s="404">
        <f t="shared" si="13"/>
        <v>52.270126685737637</v>
      </c>
      <c r="Y54" s="53">
        <f t="shared" si="14"/>
        <v>9.5640210336052629</v>
      </c>
      <c r="Z54" s="53">
        <f t="shared" si="15"/>
        <v>1.9359589974117968</v>
      </c>
      <c r="AA54" s="51">
        <f t="shared" si="16"/>
        <v>9.5009603973602417</v>
      </c>
      <c r="AB54" s="51">
        <f t="shared" si="17"/>
        <v>1.9243003763111293</v>
      </c>
      <c r="AC54" s="49">
        <f t="shared" si="18"/>
        <v>7.4915002394836074</v>
      </c>
      <c r="AD54" s="49">
        <f t="shared" si="19"/>
        <v>1.2527350667483994</v>
      </c>
      <c r="AE54" s="47">
        <f t="shared" si="20"/>
        <v>9.6781077598001133</v>
      </c>
      <c r="AF54" s="47">
        <f t="shared" si="21"/>
        <v>1.9737710291513419</v>
      </c>
      <c r="AG54" s="404">
        <f t="shared" si="22"/>
        <v>7.1526157221592213</v>
      </c>
      <c r="AH54" s="404">
        <f t="shared" si="23"/>
        <v>1.0889609726195342</v>
      </c>
    </row>
    <row r="55" spans="1:34">
      <c r="A55" s="14">
        <v>44491</v>
      </c>
      <c r="B55" s="12">
        <v>691.86666666666667</v>
      </c>
      <c r="C55" s="14">
        <v>44546</v>
      </c>
      <c r="D55" s="12">
        <v>1029.5999999999999</v>
      </c>
      <c r="E55" s="396">
        <v>159.32560000000001</v>
      </c>
      <c r="F55" s="396">
        <v>22.854700000000001</v>
      </c>
      <c r="G55" s="53">
        <f t="shared" si="4"/>
        <v>278.57631993426014</v>
      </c>
      <c r="H55" s="53">
        <f t="shared" si="5"/>
        <v>66.562116877809558</v>
      </c>
      <c r="I55" s="393">
        <v>163.95529999999999</v>
      </c>
      <c r="J55" s="393">
        <v>23.016400000000001</v>
      </c>
      <c r="K55" s="51">
        <f t="shared" si="6"/>
        <v>286.50225980962819</v>
      </c>
      <c r="L55" s="51">
        <f t="shared" si="7"/>
        <v>66.975122599100942</v>
      </c>
      <c r="M55" s="394">
        <v>151.73050000000001</v>
      </c>
      <c r="N55" s="394">
        <v>20.3369</v>
      </c>
      <c r="O55" s="49">
        <f t="shared" si="8"/>
        <v>265.57368348969391</v>
      </c>
      <c r="P55" s="49">
        <f t="shared" si="9"/>
        <v>60.131283203923175</v>
      </c>
      <c r="Q55" s="395">
        <v>796.40800000000002</v>
      </c>
      <c r="R55" s="395">
        <v>166.03790000000001</v>
      </c>
      <c r="S55" s="47">
        <f t="shared" si="10"/>
        <v>1369.2467301239471</v>
      </c>
      <c r="T55" s="47">
        <f t="shared" si="11"/>
        <v>432.27319166326117</v>
      </c>
      <c r="U55" s="405">
        <v>124.3484</v>
      </c>
      <c r="V55" s="405">
        <v>14.5648</v>
      </c>
      <c r="W55" s="404">
        <f t="shared" si="12"/>
        <v>218.69615832363212</v>
      </c>
      <c r="X55" s="404">
        <f t="shared" si="13"/>
        <v>45.388485901103394</v>
      </c>
      <c r="Y55" s="53">
        <f t="shared" si="14"/>
        <v>7.8582882915165051</v>
      </c>
      <c r="Z55" s="53">
        <f t="shared" si="15"/>
        <v>1.3867107682876991</v>
      </c>
      <c r="AA55" s="51">
        <f t="shared" si="16"/>
        <v>8.0818691060543912</v>
      </c>
      <c r="AB55" s="51">
        <f t="shared" si="17"/>
        <v>1.3953150541479362</v>
      </c>
      <c r="AC55" s="49">
        <f t="shared" si="18"/>
        <v>8.8152230635994862</v>
      </c>
      <c r="AD55" s="49">
        <f t="shared" si="19"/>
        <v>1.5240121832856559</v>
      </c>
      <c r="AE55" s="47">
        <f t="shared" si="20"/>
        <v>38.624731456246742</v>
      </c>
      <c r="AF55" s="47">
        <f t="shared" si="21"/>
        <v>9.0056914929846084</v>
      </c>
      <c r="AG55" s="404">
        <f t="shared" si="22"/>
        <v>6.1691440993972382</v>
      </c>
      <c r="AH55" s="404">
        <f t="shared" si="23"/>
        <v>0.94559345627298741</v>
      </c>
    </row>
    <row r="56" spans="1:34">
      <c r="A56" s="14">
        <v>44494</v>
      </c>
      <c r="B56" s="12">
        <v>715.85</v>
      </c>
      <c r="C56" s="206">
        <v>44580</v>
      </c>
      <c r="D56" s="12">
        <v>1080.9166666666665</v>
      </c>
      <c r="E56" s="144">
        <v>189.47559999999999</v>
      </c>
      <c r="F56" s="399">
        <v>27.442299999999999</v>
      </c>
      <c r="G56" s="53">
        <f t="shared" si="4"/>
        <v>330.19242621379169</v>
      </c>
      <c r="H56" s="53">
        <f t="shared" si="5"/>
        <v>78.279525950143039</v>
      </c>
      <c r="I56" s="145">
        <v>183.8484</v>
      </c>
      <c r="J56" s="400">
        <v>26.3566</v>
      </c>
      <c r="K56" s="51">
        <f t="shared" si="6"/>
        <v>320.55878928987198</v>
      </c>
      <c r="L56" s="51">
        <f t="shared" si="7"/>
        <v>75.506487535758069</v>
      </c>
      <c r="M56" s="146">
        <v>179.14089999999999</v>
      </c>
      <c r="N56" s="397">
        <v>25.434999999999999</v>
      </c>
      <c r="O56" s="49">
        <f t="shared" si="8"/>
        <v>312.49965760460179</v>
      </c>
      <c r="P56" s="49">
        <f t="shared" si="9"/>
        <v>73.152584797711484</v>
      </c>
      <c r="Q56" s="147">
        <v>241.10679999999999</v>
      </c>
      <c r="R56" s="398">
        <v>48.993499999999997</v>
      </c>
      <c r="S56" s="47">
        <f t="shared" si="10"/>
        <v>418.58385263302063</v>
      </c>
      <c r="T56" s="47">
        <f t="shared" si="11"/>
        <v>133.324478953821</v>
      </c>
      <c r="U56" s="405">
        <v>126.7154</v>
      </c>
      <c r="V56" s="405">
        <v>14.866300000000001</v>
      </c>
      <c r="W56" s="404">
        <f t="shared" si="12"/>
        <v>222.74840786139836</v>
      </c>
      <c r="X56" s="404">
        <f t="shared" si="13"/>
        <v>46.158561503882318</v>
      </c>
      <c r="Y56" s="53">
        <f t="shared" si="14"/>
        <v>9.3143138565244481</v>
      </c>
      <c r="Z56" s="53">
        <f t="shared" si="15"/>
        <v>1.6308234572946467</v>
      </c>
      <c r="AA56" s="51">
        <f t="shared" si="16"/>
        <v>9.0425610519004778</v>
      </c>
      <c r="AB56" s="51">
        <f t="shared" si="17"/>
        <v>1.5730518236616264</v>
      </c>
      <c r="AC56" s="49">
        <f t="shared" si="18"/>
        <v>7.284860511785018</v>
      </c>
      <c r="AD56" s="49">
        <f t="shared" si="19"/>
        <v>1.3031582039231713</v>
      </c>
      <c r="AE56" s="47">
        <f t="shared" si="20"/>
        <v>11.807725039013274</v>
      </c>
      <c r="AF56" s="47">
        <f t="shared" si="21"/>
        <v>2.7775933115379376</v>
      </c>
      <c r="AG56" s="404">
        <f t="shared" si="22"/>
        <v>6.2834529721127881</v>
      </c>
      <c r="AH56" s="404">
        <f t="shared" si="23"/>
        <v>0.96163669799754825</v>
      </c>
    </row>
    <row r="57" spans="1:34" ht="16" thickBot="1">
      <c r="A57" s="153">
        <v>44503</v>
      </c>
      <c r="B57" s="154">
        <v>934.7833333333333</v>
      </c>
      <c r="C57" s="14">
        <v>44582</v>
      </c>
      <c r="D57" s="12">
        <v>1129.2166666666665</v>
      </c>
      <c r="E57" s="105">
        <v>153.94229999999999</v>
      </c>
      <c r="F57" s="163">
        <v>22.4236</v>
      </c>
      <c r="G57" s="53">
        <f t="shared" si="4"/>
        <v>269.36023419845236</v>
      </c>
      <c r="H57" s="53">
        <f t="shared" si="5"/>
        <v>65.461023702492852</v>
      </c>
      <c r="I57" s="93">
        <v>161.32830000000001</v>
      </c>
      <c r="J57" s="157">
        <v>24.060500000000001</v>
      </c>
      <c r="K57" s="51">
        <f t="shared" si="6"/>
        <v>282.00489625419436</v>
      </c>
      <c r="L57" s="51">
        <f t="shared" si="7"/>
        <v>69.641908459337969</v>
      </c>
      <c r="M57" s="97">
        <v>147.45160000000001</v>
      </c>
      <c r="N57" s="159">
        <v>21.284500000000001</v>
      </c>
      <c r="O57" s="49">
        <f t="shared" si="8"/>
        <v>258.24830514277892</v>
      </c>
      <c r="P57" s="49">
        <f t="shared" si="9"/>
        <v>62.551593788312225</v>
      </c>
      <c r="Q57" s="101">
        <v>153.62</v>
      </c>
      <c r="R57" s="161">
        <v>22.4969</v>
      </c>
      <c r="S57" s="47">
        <f t="shared" si="10"/>
        <v>268.80846401424367</v>
      </c>
      <c r="T57" s="47">
        <f t="shared" si="11"/>
        <v>65.648242746219864</v>
      </c>
      <c r="U57" s="405">
        <v>142.0744</v>
      </c>
      <c r="V57" s="405">
        <v>22.657900000000001</v>
      </c>
      <c r="W57" s="404">
        <f t="shared" si="12"/>
        <v>249.04266246661646</v>
      </c>
      <c r="X57" s="404">
        <f t="shared" si="13"/>
        <v>66.059460563955867</v>
      </c>
      <c r="Y57" s="53">
        <f t="shared" si="14"/>
        <v>7.5983140817617016</v>
      </c>
      <c r="Z57" s="53">
        <f t="shared" si="15"/>
        <v>1.3637713271352678</v>
      </c>
      <c r="AA57" s="51">
        <f t="shared" si="16"/>
        <v>7.955004125647231</v>
      </c>
      <c r="AB57" s="51">
        <f t="shared" si="17"/>
        <v>1.4508730929028744</v>
      </c>
      <c r="AC57" s="49">
        <f t="shared" si="18"/>
        <v>9.3431542700376404</v>
      </c>
      <c r="AD57" s="49">
        <f t="shared" si="19"/>
        <v>1.7443979021931615</v>
      </c>
      <c r="AE57" s="47">
        <f t="shared" si="20"/>
        <v>7.5827493374962947</v>
      </c>
      <c r="AF57" s="47">
        <f t="shared" si="21"/>
        <v>1.3676717238795806</v>
      </c>
      <c r="AG57" s="404">
        <f t="shared" si="22"/>
        <v>7.0251808876337503</v>
      </c>
      <c r="AH57" s="404">
        <f t="shared" si="23"/>
        <v>1.3762387617490806</v>
      </c>
    </row>
    <row r="58" spans="1:34" ht="16" thickTop="1">
      <c r="A58" s="14">
        <v>44504</v>
      </c>
      <c r="B58" s="12">
        <v>954.58333333333337</v>
      </c>
      <c r="C58" s="14">
        <v>44585</v>
      </c>
      <c r="D58" s="12">
        <v>1197.6666666666665</v>
      </c>
      <c r="E58" s="4">
        <v>191.41569999999999</v>
      </c>
      <c r="F58" s="399">
        <v>29.747599999999998</v>
      </c>
      <c r="G58" s="53">
        <f t="shared" si="4"/>
        <v>333.51383277408752</v>
      </c>
      <c r="H58" s="53">
        <f t="shared" si="5"/>
        <v>84.167603187576617</v>
      </c>
      <c r="I58" s="1">
        <v>186.5104</v>
      </c>
      <c r="J58" s="400">
        <v>28.778199999999998</v>
      </c>
      <c r="K58" s="51">
        <f t="shared" si="6"/>
        <v>325.11607203999182</v>
      </c>
      <c r="L58" s="51">
        <f t="shared" si="7"/>
        <v>81.691612178177365</v>
      </c>
      <c r="M58" s="2">
        <v>190.0728</v>
      </c>
      <c r="N58" s="397">
        <v>29.576699999999999</v>
      </c>
      <c r="O58" s="49">
        <f t="shared" si="8"/>
        <v>331.21481887283437</v>
      </c>
      <c r="P58" s="49">
        <f t="shared" si="9"/>
        <v>83.731099305271755</v>
      </c>
      <c r="Q58" s="3">
        <v>186.59790000000001</v>
      </c>
      <c r="R58" s="398">
        <v>28.8371</v>
      </c>
      <c r="S58" s="47">
        <f t="shared" si="10"/>
        <v>325.26587002670686</v>
      </c>
      <c r="T58" s="47">
        <f t="shared" si="11"/>
        <v>81.842051491622385</v>
      </c>
      <c r="U58" s="405">
        <v>121.2903</v>
      </c>
      <c r="V58" s="405">
        <v>13.725300000000001</v>
      </c>
      <c r="W58" s="404">
        <f t="shared" si="12"/>
        <v>213.4607614873656</v>
      </c>
      <c r="X58" s="404">
        <f t="shared" si="13"/>
        <v>43.244278708622808</v>
      </c>
      <c r="Y58" s="53">
        <f t="shared" si="14"/>
        <v>9.4080065662648096</v>
      </c>
      <c r="Z58" s="53">
        <f t="shared" si="15"/>
        <v>1.7534917330745128</v>
      </c>
      <c r="AA58" s="51">
        <f t="shared" si="16"/>
        <v>9.171116277573816</v>
      </c>
      <c r="AB58" s="51">
        <f t="shared" si="17"/>
        <v>1.7019085870453619</v>
      </c>
      <c r="AC58" s="49">
        <f t="shared" si="18"/>
        <v>8.7033336562506669</v>
      </c>
      <c r="AD58" s="49">
        <f t="shared" si="19"/>
        <v>1.6284715127366842</v>
      </c>
      <c r="AE58" s="47">
        <f t="shared" si="20"/>
        <v>9.1753418907392614</v>
      </c>
      <c r="AF58" s="47">
        <f t="shared" si="21"/>
        <v>1.7050427394087997</v>
      </c>
      <c r="AG58" s="404">
        <f t="shared" si="22"/>
        <v>6.0214601265829506</v>
      </c>
      <c r="AH58" s="404">
        <f t="shared" si="23"/>
        <v>0.90092247309630846</v>
      </c>
    </row>
    <row r="59" spans="1:34">
      <c r="A59" s="14">
        <v>44505</v>
      </c>
      <c r="B59" s="12">
        <v>979.75</v>
      </c>
      <c r="C59" s="14">
        <v>44587</v>
      </c>
      <c r="D59" s="12">
        <v>1246.0333333333331</v>
      </c>
      <c r="E59" s="396">
        <v>179.667</v>
      </c>
      <c r="F59" s="396">
        <v>27.900600000000001</v>
      </c>
      <c r="G59" s="53">
        <f t="shared" si="4"/>
        <v>313.4003286995823</v>
      </c>
      <c r="H59" s="53">
        <f t="shared" si="5"/>
        <v>79.450091949325696</v>
      </c>
      <c r="I59" s="393">
        <v>187.49019999999999</v>
      </c>
      <c r="J59" s="393">
        <v>29.674299999999999</v>
      </c>
      <c r="K59" s="51">
        <f t="shared" si="6"/>
        <v>326.79346709580221</v>
      </c>
      <c r="L59" s="51">
        <f t="shared" si="7"/>
        <v>83.980384143849591</v>
      </c>
      <c r="M59" s="394">
        <v>176.82400000000001</v>
      </c>
      <c r="N59" s="394">
        <v>27.398099999999999</v>
      </c>
      <c r="O59" s="49">
        <f t="shared" si="8"/>
        <v>308.53317811408618</v>
      </c>
      <c r="P59" s="49">
        <f t="shared" si="9"/>
        <v>78.166632611360839</v>
      </c>
      <c r="Q59" s="395">
        <v>187.91909999999999</v>
      </c>
      <c r="R59" s="395">
        <v>29.744900000000001</v>
      </c>
      <c r="S59" s="47">
        <f t="shared" si="10"/>
        <v>327.52773402725467</v>
      </c>
      <c r="T59" s="47">
        <f t="shared" si="11"/>
        <v>84.16070698814876</v>
      </c>
      <c r="U59" s="405">
        <v>144.92359999999999</v>
      </c>
      <c r="V59" s="405">
        <v>26.3155</v>
      </c>
      <c r="W59" s="404">
        <f t="shared" si="12"/>
        <v>253.92042730945695</v>
      </c>
      <c r="X59" s="404">
        <f t="shared" si="13"/>
        <v>75.401512055578252</v>
      </c>
      <c r="Y59" s="53">
        <f t="shared" si="14"/>
        <v>8.8406298645862424</v>
      </c>
      <c r="Z59" s="53">
        <f t="shared" si="15"/>
        <v>1.6552102489442853</v>
      </c>
      <c r="AA59" s="51">
        <f t="shared" si="16"/>
        <v>9.2184334864824304</v>
      </c>
      <c r="AB59" s="51">
        <f t="shared" si="17"/>
        <v>1.7495913363301998</v>
      </c>
      <c r="AC59" s="49">
        <f t="shared" si="18"/>
        <v>9.9564476916899913</v>
      </c>
      <c r="AD59" s="49">
        <f t="shared" si="19"/>
        <v>1.6931287035145075</v>
      </c>
      <c r="AE59" s="47">
        <f t="shared" si="20"/>
        <v>9.2391462349013995</v>
      </c>
      <c r="AF59" s="47">
        <f t="shared" si="21"/>
        <v>1.7533480622530992</v>
      </c>
      <c r="AG59" s="404">
        <f t="shared" si="22"/>
        <v>7.1627765108450472</v>
      </c>
      <c r="AH59" s="404">
        <f t="shared" si="23"/>
        <v>1.5708648344912135</v>
      </c>
    </row>
    <row r="60" spans="1:34">
      <c r="A60" s="14">
        <v>44510</v>
      </c>
      <c r="B60" s="12">
        <v>1099.45</v>
      </c>
      <c r="C60" s="14">
        <v>44589</v>
      </c>
      <c r="D60" s="12">
        <v>1295.8499999999997</v>
      </c>
      <c r="E60" s="396">
        <v>220.57159999999999</v>
      </c>
      <c r="F60" s="396">
        <v>31.9223</v>
      </c>
      <c r="G60" s="53">
        <f t="shared" si="4"/>
        <v>383.42806272683697</v>
      </c>
      <c r="H60" s="53">
        <f t="shared" si="5"/>
        <v>89.722108704536168</v>
      </c>
      <c r="I60" s="393">
        <v>214.6705</v>
      </c>
      <c r="J60" s="393">
        <v>30.794799999999999</v>
      </c>
      <c r="K60" s="51">
        <f t="shared" si="6"/>
        <v>373.3255153050743</v>
      </c>
      <c r="L60" s="51">
        <f t="shared" si="7"/>
        <v>86.842306906416013</v>
      </c>
      <c r="M60" s="394">
        <v>202.7723</v>
      </c>
      <c r="N60" s="394">
        <v>28.613199999999999</v>
      </c>
      <c r="O60" s="49">
        <f t="shared" si="8"/>
        <v>352.95607067041021</v>
      </c>
      <c r="P60" s="49">
        <f t="shared" si="9"/>
        <v>81.270177768696357</v>
      </c>
      <c r="Q60" s="395">
        <v>216.35329999999999</v>
      </c>
      <c r="R60" s="395">
        <v>31.154800000000002</v>
      </c>
      <c r="S60" s="47">
        <f t="shared" si="10"/>
        <v>376.20643018557826</v>
      </c>
      <c r="T60" s="47">
        <f t="shared" si="11"/>
        <v>87.761800163465466</v>
      </c>
      <c r="U60" s="405">
        <v>146.7278</v>
      </c>
      <c r="V60" s="405">
        <v>25.382999999999999</v>
      </c>
      <c r="W60" s="404">
        <f t="shared" si="12"/>
        <v>257.00917619667194</v>
      </c>
      <c r="X60" s="404">
        <f t="shared" si="13"/>
        <v>73.019769105026569</v>
      </c>
      <c r="Y60" s="53">
        <f t="shared" si="14"/>
        <v>10.816024336441098</v>
      </c>
      <c r="Z60" s="53">
        <f t="shared" si="15"/>
        <v>1.8692105980111702</v>
      </c>
      <c r="AA60" s="51">
        <f t="shared" si="16"/>
        <v>10.531044155291235</v>
      </c>
      <c r="AB60" s="51">
        <f t="shared" si="17"/>
        <v>1.8092147272170003</v>
      </c>
      <c r="AC60" s="49">
        <f t="shared" si="18"/>
        <v>13.060486537582797</v>
      </c>
      <c r="AD60" s="49">
        <f t="shared" si="19"/>
        <v>3.471949070290151</v>
      </c>
      <c r="AE60" s="47">
        <f t="shared" si="20"/>
        <v>10.612311147689089</v>
      </c>
      <c r="AF60" s="47">
        <f t="shared" si="21"/>
        <v>1.8283708367388638</v>
      </c>
      <c r="AG60" s="404">
        <f t="shared" si="22"/>
        <v>7.249906239680449</v>
      </c>
      <c r="AH60" s="404">
        <f t="shared" si="23"/>
        <v>1.5212451896880534</v>
      </c>
    </row>
    <row r="61" spans="1:34">
      <c r="A61" s="14">
        <v>44512</v>
      </c>
      <c r="B61" s="12">
        <v>1147.6166666666666</v>
      </c>
      <c r="C61" s="14">
        <v>44594</v>
      </c>
      <c r="D61" s="12">
        <v>1413.5999999999997</v>
      </c>
      <c r="E61" s="399">
        <v>198.22239999999999</v>
      </c>
      <c r="F61" s="399">
        <v>24.673400000000001</v>
      </c>
      <c r="G61" s="53">
        <f t="shared" si="4"/>
        <v>345.16674655892621</v>
      </c>
      <c r="H61" s="53">
        <f t="shared" si="5"/>
        <v>71.207345729464649</v>
      </c>
      <c r="I61" s="400">
        <v>227.37520000000001</v>
      </c>
      <c r="J61" s="400">
        <v>48.650599999999997</v>
      </c>
      <c r="K61" s="51">
        <f t="shared" si="6"/>
        <v>395.07566938300351</v>
      </c>
      <c r="L61" s="51">
        <f t="shared" si="7"/>
        <v>132.4486616264814</v>
      </c>
      <c r="M61" s="397">
        <v>267.0478</v>
      </c>
      <c r="N61" s="397">
        <v>62.042499999999997</v>
      </c>
      <c r="O61" s="49">
        <f t="shared" si="8"/>
        <v>462.99424775731018</v>
      </c>
      <c r="P61" s="49">
        <f t="shared" si="9"/>
        <v>166.65355537392725</v>
      </c>
      <c r="Q61" s="398">
        <v>273.40370000000001</v>
      </c>
      <c r="R61" s="398">
        <v>48.215200000000003</v>
      </c>
      <c r="S61" s="47">
        <f t="shared" si="10"/>
        <v>473.87540231459298</v>
      </c>
      <c r="T61" s="47">
        <f t="shared" si="11"/>
        <v>131.33658561503884</v>
      </c>
      <c r="U61" s="405">
        <v>155.2989</v>
      </c>
      <c r="V61" s="405">
        <v>27.150700000000001</v>
      </c>
      <c r="W61" s="404">
        <f t="shared" si="12"/>
        <v>271.68270218448265</v>
      </c>
      <c r="X61" s="404">
        <f t="shared" si="13"/>
        <v>77.534736411932982</v>
      </c>
      <c r="Y61" s="53">
        <f t="shared" si="14"/>
        <v>9.7367206363589887</v>
      </c>
      <c r="Z61" s="53">
        <f t="shared" si="15"/>
        <v>1.4834863693638469</v>
      </c>
      <c r="AA61" s="51">
        <f t="shared" si="16"/>
        <v>11.144588699097419</v>
      </c>
      <c r="AB61" s="51">
        <f t="shared" si="17"/>
        <v>2.7593471172183626</v>
      </c>
      <c r="AC61" s="49">
        <f t="shared" si="18"/>
        <v>9.4892687293904761</v>
      </c>
      <c r="AD61" s="49">
        <f t="shared" si="19"/>
        <v>1.418674865481542</v>
      </c>
      <c r="AE61" s="47">
        <f t="shared" si="20"/>
        <v>13.367430248648603</v>
      </c>
      <c r="AF61" s="47">
        <f t="shared" si="21"/>
        <v>2.736178866979976</v>
      </c>
      <c r="AG61" s="404">
        <f t="shared" si="22"/>
        <v>7.6638279882787765</v>
      </c>
      <c r="AH61" s="404">
        <f t="shared" si="23"/>
        <v>1.6153070085819372</v>
      </c>
    </row>
    <row r="62" spans="1:34">
      <c r="A62" s="14">
        <v>44515</v>
      </c>
      <c r="B62" s="12">
        <v>1219.55</v>
      </c>
      <c r="C62" s="274">
        <v>44596</v>
      </c>
      <c r="D62" s="12">
        <v>1461.333333333333</v>
      </c>
      <c r="E62" s="399">
        <v>199.99959999999999</v>
      </c>
      <c r="F62" s="399">
        <v>24.5443</v>
      </c>
      <c r="G62" s="53">
        <f t="shared" si="4"/>
        <v>348.20927206738338</v>
      </c>
      <c r="H62" s="53">
        <f t="shared" si="5"/>
        <v>70.877605230894972</v>
      </c>
      <c r="I62" s="400">
        <v>194.86240000000001</v>
      </c>
      <c r="J62" s="400">
        <v>23.735199999999999</v>
      </c>
      <c r="K62" s="51">
        <f t="shared" si="6"/>
        <v>339.41450386906803</v>
      </c>
      <c r="L62" s="51">
        <f t="shared" si="7"/>
        <v>68.81104413567634</v>
      </c>
      <c r="M62" s="397">
        <v>193.0984</v>
      </c>
      <c r="N62" s="397">
        <v>23.455400000000001</v>
      </c>
      <c r="O62" s="49">
        <f t="shared" si="8"/>
        <v>336.39457645689242</v>
      </c>
      <c r="P62" s="49">
        <f t="shared" si="9"/>
        <v>68.096393543114019</v>
      </c>
      <c r="Q62" s="398">
        <v>194.34829999999999</v>
      </c>
      <c r="R62" s="398">
        <v>23.617799999999999</v>
      </c>
      <c r="S62" s="47">
        <f t="shared" si="10"/>
        <v>338.53437649797991</v>
      </c>
      <c r="T62" s="47">
        <f t="shared" si="11"/>
        <v>68.51118716796077</v>
      </c>
      <c r="U62" s="405">
        <v>155.62729999999999</v>
      </c>
      <c r="V62" s="405">
        <v>23.6281</v>
      </c>
      <c r="W62" s="404">
        <f t="shared" si="12"/>
        <v>272.24491542833664</v>
      </c>
      <c r="X62" s="404">
        <f t="shared" si="13"/>
        <v>68.537494891704128</v>
      </c>
      <c r="Y62" s="53">
        <f t="shared" si="14"/>
        <v>9.8225464617033378</v>
      </c>
      <c r="Z62" s="53">
        <f t="shared" si="15"/>
        <v>1.4766167756436452</v>
      </c>
      <c r="AA62" s="51">
        <f t="shared" si="16"/>
        <v>9.5744570908058666</v>
      </c>
      <c r="AB62" s="51">
        <f t="shared" si="17"/>
        <v>1.4335634194932572</v>
      </c>
      <c r="AC62" s="49">
        <f t="shared" si="18"/>
        <v>7.2759649924127308</v>
      </c>
      <c r="AD62" s="49">
        <f t="shared" si="19"/>
        <v>1.3292477608636426</v>
      </c>
      <c r="AE62" s="47">
        <f t="shared" si="20"/>
        <v>9.5496298024818014</v>
      </c>
      <c r="AF62" s="47">
        <f t="shared" si="21"/>
        <v>1.427316399332516</v>
      </c>
      <c r="AG62" s="404">
        <f t="shared" si="22"/>
        <v>7.6796873181477183</v>
      </c>
      <c r="AH62" s="404">
        <f t="shared" si="23"/>
        <v>1.4278644769105027</v>
      </c>
    </row>
    <row r="63" spans="1:34">
      <c r="A63" s="14">
        <v>44517</v>
      </c>
      <c r="B63" s="12">
        <v>1267.7166666666667</v>
      </c>
      <c r="C63" s="39">
        <v>44601</v>
      </c>
      <c r="D63" s="12">
        <v>1581.3499999999997</v>
      </c>
      <c r="E63" s="396">
        <v>149.92930000000001</v>
      </c>
      <c r="F63" s="396">
        <v>21.453700000000001</v>
      </c>
      <c r="G63" s="53">
        <f t="shared" si="4"/>
        <v>262.49007053345207</v>
      </c>
      <c r="H63" s="53">
        <f t="shared" si="5"/>
        <v>62.983755619125468</v>
      </c>
      <c r="I63" s="393">
        <v>148.9119</v>
      </c>
      <c r="J63" s="393">
        <v>21.330500000000001</v>
      </c>
      <c r="K63" s="51">
        <f t="shared" si="6"/>
        <v>260.74830514277886</v>
      </c>
      <c r="L63" s="51">
        <f t="shared" si="7"/>
        <v>62.669084593379651</v>
      </c>
      <c r="M63" s="394">
        <v>147.26740000000001</v>
      </c>
      <c r="N63" s="394">
        <v>21.774799999999999</v>
      </c>
      <c r="O63" s="49">
        <f t="shared" si="8"/>
        <v>257.93295898103133</v>
      </c>
      <c r="P63" s="49">
        <f t="shared" si="9"/>
        <v>63.803892521454841</v>
      </c>
      <c r="Q63" s="395">
        <v>152.50640000000001</v>
      </c>
      <c r="R63" s="395">
        <v>21.915400000000002</v>
      </c>
      <c r="S63" s="47">
        <f t="shared" si="10"/>
        <v>266.90200643703355</v>
      </c>
      <c r="T63" s="47">
        <f t="shared" si="11"/>
        <v>64.163005721291384</v>
      </c>
      <c r="U63" s="405">
        <v>166.79230000000001</v>
      </c>
      <c r="V63" s="405">
        <v>28.2973</v>
      </c>
      <c r="W63" s="404">
        <f t="shared" si="12"/>
        <v>291.35913853317811</v>
      </c>
      <c r="X63" s="404">
        <f t="shared" si="13"/>
        <v>80.463322435635476</v>
      </c>
      <c r="Y63" s="53">
        <f t="shared" si="14"/>
        <v>7.4045153888138797</v>
      </c>
      <c r="Z63" s="53">
        <f t="shared" si="15"/>
        <v>1.3121615753984472</v>
      </c>
      <c r="AA63" s="51">
        <f t="shared" si="16"/>
        <v>7.3553823735621675</v>
      </c>
      <c r="AB63" s="51">
        <f t="shared" si="17"/>
        <v>1.3056059290287427</v>
      </c>
      <c r="AC63" s="49">
        <f t="shared" si="18"/>
        <v>7.2494474588224858</v>
      </c>
      <c r="AD63" s="49">
        <f t="shared" si="19"/>
        <v>1.2924893151478001</v>
      </c>
      <c r="AE63" s="47">
        <f t="shared" si="20"/>
        <v>7.5289705623986887</v>
      </c>
      <c r="AF63" s="47">
        <f t="shared" si="21"/>
        <v>1.3367292858602371</v>
      </c>
      <c r="AG63" s="404">
        <f t="shared" si="22"/>
        <v>8.2188755580586204</v>
      </c>
      <c r="AH63" s="404">
        <f t="shared" si="23"/>
        <v>1.6763192174090724</v>
      </c>
    </row>
    <row r="64" spans="1:34">
      <c r="A64" s="14">
        <v>44519</v>
      </c>
      <c r="B64" s="12">
        <v>1313.85</v>
      </c>
      <c r="C64" s="39">
        <v>44606</v>
      </c>
      <c r="D64" s="12">
        <v>1701.5999999999997</v>
      </c>
      <c r="E64" s="396">
        <v>148.84059999999999</v>
      </c>
      <c r="F64" s="396">
        <v>21.3719</v>
      </c>
      <c r="G64" s="53">
        <f t="shared" si="4"/>
        <v>260.62624118331848</v>
      </c>
      <c r="H64" s="53">
        <f t="shared" si="5"/>
        <v>62.774826317940338</v>
      </c>
      <c r="I64" s="393">
        <v>151.1448</v>
      </c>
      <c r="J64" s="393">
        <v>21.183900000000001</v>
      </c>
      <c r="K64" s="51">
        <f t="shared" si="6"/>
        <v>264.5709785660481</v>
      </c>
      <c r="L64" s="51">
        <f t="shared" si="7"/>
        <v>62.294646505925627</v>
      </c>
      <c r="M64" s="394">
        <v>146.7183</v>
      </c>
      <c r="N64" s="394">
        <v>21.084</v>
      </c>
      <c r="O64" s="49">
        <f t="shared" si="8"/>
        <v>256.99291241525714</v>
      </c>
      <c r="P64" s="49">
        <f t="shared" si="9"/>
        <v>62.039487127094404</v>
      </c>
      <c r="Q64" s="395">
        <v>152.88800000000001</v>
      </c>
      <c r="R64" s="395">
        <v>22.066700000000001</v>
      </c>
      <c r="S64" s="47">
        <f t="shared" si="10"/>
        <v>267.55529685681029</v>
      </c>
      <c r="T64" s="47">
        <f t="shared" si="11"/>
        <v>64.549448304045768</v>
      </c>
      <c r="U64" s="405">
        <v>170.29230000000001</v>
      </c>
      <c r="V64" s="405">
        <v>32.664499999999997</v>
      </c>
      <c r="W64" s="404">
        <f t="shared" si="12"/>
        <v>297.35105800178047</v>
      </c>
      <c r="X64" s="404">
        <f t="shared" si="13"/>
        <v>91.617797302819767</v>
      </c>
      <c r="Y64" s="53">
        <f t="shared" si="14"/>
        <v>7.351939102491353</v>
      </c>
      <c r="Z64" s="53">
        <f t="shared" si="15"/>
        <v>1.307808881623757</v>
      </c>
      <c r="AA64" s="51">
        <f t="shared" si="16"/>
        <v>7.4632151922721599</v>
      </c>
      <c r="AB64" s="51">
        <f t="shared" si="17"/>
        <v>1.2978051355401172</v>
      </c>
      <c r="AC64" s="49">
        <f t="shared" si="18"/>
        <v>48.48586863201303</v>
      </c>
      <c r="AD64" s="49">
        <f t="shared" si="19"/>
        <v>11.792708546178995</v>
      </c>
      <c r="AE64" s="47">
        <f t="shared" si="20"/>
        <v>7.5473990650722218</v>
      </c>
      <c r="AF64" s="47">
        <f t="shared" si="21"/>
        <v>1.3447801730009534</v>
      </c>
      <c r="AG64" s="404">
        <f t="shared" si="22"/>
        <v>8.387900084676458</v>
      </c>
      <c r="AH64" s="404">
        <f t="shared" si="23"/>
        <v>1.9087041104754119</v>
      </c>
    </row>
    <row r="65" spans="1:34">
      <c r="A65" s="14">
        <v>44522</v>
      </c>
      <c r="B65" s="12">
        <v>1393</v>
      </c>
      <c r="C65" s="39">
        <v>44608</v>
      </c>
      <c r="D65" s="12">
        <v>1749.133333333333</v>
      </c>
      <c r="E65" s="396">
        <v>156.58760000000001</v>
      </c>
      <c r="F65" s="396">
        <v>22.133600000000001</v>
      </c>
      <c r="G65" s="53">
        <f t="shared" si="4"/>
        <v>273.88892693282207</v>
      </c>
      <c r="H65" s="53">
        <f t="shared" si="5"/>
        <v>64.720320800980801</v>
      </c>
      <c r="I65" s="393">
        <v>205.53530000000001</v>
      </c>
      <c r="J65" s="393">
        <v>25.606999999999999</v>
      </c>
      <c r="K65" s="51">
        <f t="shared" si="6"/>
        <v>357.68626309662403</v>
      </c>
      <c r="L65" s="51">
        <f t="shared" si="7"/>
        <v>73.591898242746211</v>
      </c>
      <c r="M65" s="394">
        <v>1000.6031</v>
      </c>
      <c r="N65" s="394">
        <v>218.41419999999999</v>
      </c>
      <c r="O65" s="49">
        <f t="shared" si="8"/>
        <v>1718.824043004862</v>
      </c>
      <c r="P65" s="49">
        <f t="shared" si="9"/>
        <v>566.05001021659177</v>
      </c>
      <c r="Q65" s="395">
        <v>160.15600000000001</v>
      </c>
      <c r="R65" s="395">
        <v>22.548999999999999</v>
      </c>
      <c r="S65" s="47">
        <f t="shared" si="10"/>
        <v>279.99794562761076</v>
      </c>
      <c r="T65" s="47">
        <f t="shared" si="11"/>
        <v>65.781313853698407</v>
      </c>
      <c r="U65" s="405">
        <v>158.863</v>
      </c>
      <c r="V65" s="405">
        <v>32.246099999999998</v>
      </c>
      <c r="W65" s="404">
        <f t="shared" si="12"/>
        <v>277.78435937820996</v>
      </c>
      <c r="X65" s="404">
        <f t="shared" si="13"/>
        <v>90.549141806293406</v>
      </c>
      <c r="Y65" s="53">
        <f t="shared" si="14"/>
        <v>7.7260628189794653</v>
      </c>
      <c r="Z65" s="53">
        <f t="shared" si="15"/>
        <v>1.3483400166871</v>
      </c>
      <c r="AA65" s="51">
        <f t="shared" si="16"/>
        <v>10.089880482274301</v>
      </c>
      <c r="AB65" s="51">
        <f t="shared" si="17"/>
        <v>1.5331645467238795</v>
      </c>
      <c r="AC65" s="49">
        <f t="shared" si="18"/>
        <v>7.6277919592038526</v>
      </c>
      <c r="AD65" s="49">
        <f t="shared" si="19"/>
        <v>1.3226495453616673</v>
      </c>
      <c r="AE65" s="47">
        <f t="shared" si="20"/>
        <v>7.8983905677746327</v>
      </c>
      <c r="AF65" s="47">
        <f t="shared" si="21"/>
        <v>1.3704440386187169</v>
      </c>
      <c r="AG65" s="404">
        <f t="shared" si="22"/>
        <v>7.8359480783698148</v>
      </c>
      <c r="AH65" s="404">
        <f t="shared" si="23"/>
        <v>1.8864404542977793</v>
      </c>
    </row>
    <row r="66" spans="1:34">
      <c r="A66" s="14">
        <v>44524</v>
      </c>
      <c r="B66" s="12">
        <v>1441</v>
      </c>
      <c r="C66" s="14">
        <v>44610</v>
      </c>
      <c r="D66" s="12">
        <v>1796.583333333333</v>
      </c>
      <c r="E66" s="399">
        <v>161.36670000000001</v>
      </c>
      <c r="F66" s="399">
        <v>22.585999999999999</v>
      </c>
      <c r="G66" s="53">
        <f t="shared" si="4"/>
        <v>282.07063617064989</v>
      </c>
      <c r="H66" s="53">
        <f t="shared" si="5"/>
        <v>65.875817327339604</v>
      </c>
      <c r="I66" s="400">
        <v>157.9759</v>
      </c>
      <c r="J66" s="400">
        <v>22.269100000000002</v>
      </c>
      <c r="K66" s="51">
        <f t="shared" si="6"/>
        <v>276.26566458946792</v>
      </c>
      <c r="L66" s="51">
        <f t="shared" si="7"/>
        <v>65.066407846342457</v>
      </c>
      <c r="M66" s="397">
        <v>154.55269999999999</v>
      </c>
      <c r="N66" s="397">
        <v>21.6508</v>
      </c>
      <c r="O66" s="49">
        <f t="shared" si="8"/>
        <v>270.40522495377661</v>
      </c>
      <c r="P66" s="49">
        <f t="shared" si="9"/>
        <v>63.487178177360029</v>
      </c>
      <c r="Q66" s="398">
        <v>157.39439999999999</v>
      </c>
      <c r="R66" s="398">
        <v>22.085999999999999</v>
      </c>
      <c r="S66" s="47">
        <f t="shared" si="10"/>
        <v>275.27014996918444</v>
      </c>
      <c r="T66" s="47">
        <f t="shared" si="11"/>
        <v>64.598743359215362</v>
      </c>
      <c r="U66" s="405">
        <v>151.31630000000001</v>
      </c>
      <c r="V66" s="405">
        <v>29.2118</v>
      </c>
      <c r="W66" s="404">
        <f t="shared" si="12"/>
        <v>264.86458262000963</v>
      </c>
      <c r="X66" s="404">
        <f t="shared" si="13"/>
        <v>82.7990907233347</v>
      </c>
      <c r="Y66" s="53">
        <f t="shared" si="14"/>
        <v>7.9568585661678384</v>
      </c>
      <c r="Z66" s="53">
        <f t="shared" si="15"/>
        <v>1.3724128609862418</v>
      </c>
      <c r="AA66" s="51">
        <f t="shared" si="16"/>
        <v>7.7931076047804764</v>
      </c>
      <c r="AB66" s="51">
        <f t="shared" si="17"/>
        <v>1.3555501634654679</v>
      </c>
      <c r="AC66" s="49">
        <f t="shared" si="18"/>
        <v>4.9209366045020211</v>
      </c>
      <c r="AD66" s="49">
        <f t="shared" si="19"/>
        <v>0.80093822367524858</v>
      </c>
      <c r="AE66" s="47">
        <f t="shared" si="20"/>
        <v>7.7650253870009713</v>
      </c>
      <c r="AF66" s="47">
        <f t="shared" si="21"/>
        <v>1.3458071533169866</v>
      </c>
      <c r="AG66" s="404">
        <f t="shared" si="22"/>
        <v>7.4714973940764349</v>
      </c>
      <c r="AH66" s="404">
        <f t="shared" si="23"/>
        <v>1.7249810567361397</v>
      </c>
    </row>
    <row r="67" spans="1:34">
      <c r="A67" s="14">
        <v>44529</v>
      </c>
      <c r="B67" s="12">
        <v>1558.2833333333333</v>
      </c>
      <c r="C67" s="14">
        <v>44613</v>
      </c>
      <c r="D67" s="12">
        <v>1867.3999999999999</v>
      </c>
      <c r="E67" s="399" t="s">
        <v>390</v>
      </c>
      <c r="F67" s="399">
        <v>12.4237</v>
      </c>
      <c r="G67" s="53">
        <f>((104.0382+3.3964)/2.9206)*5</f>
        <v>183.92556324043005</v>
      </c>
      <c r="H67" s="53">
        <f t="shared" si="5"/>
        <v>39.919799754801801</v>
      </c>
      <c r="I67" s="400">
        <v>101.88590000000001</v>
      </c>
      <c r="J67" s="400">
        <v>12.2475</v>
      </c>
      <c r="K67" s="51">
        <f t="shared" si="6"/>
        <v>180.24087516263785</v>
      </c>
      <c r="L67" s="51">
        <f t="shared" si="7"/>
        <v>39.469758888434818</v>
      </c>
      <c r="M67" s="397">
        <v>98.5017</v>
      </c>
      <c r="N67" s="397">
        <v>11.846299999999999</v>
      </c>
      <c r="O67" s="49">
        <f t="shared" si="8"/>
        <v>174.44720262959666</v>
      </c>
      <c r="P67" s="49">
        <f t="shared" si="9"/>
        <v>38.445034736411934</v>
      </c>
      <c r="Q67" s="398">
        <v>102.6885</v>
      </c>
      <c r="R67" s="398">
        <v>12.3629</v>
      </c>
      <c r="S67" s="47">
        <f t="shared" si="10"/>
        <v>181.61490789563788</v>
      </c>
      <c r="T67" s="47">
        <f t="shared" si="11"/>
        <v>39.764507560277892</v>
      </c>
      <c r="U67" s="405">
        <v>156.9753</v>
      </c>
      <c r="V67" s="405">
        <v>26.462700000000002</v>
      </c>
      <c r="W67" s="404">
        <f t="shared" si="12"/>
        <v>274.55266041224411</v>
      </c>
      <c r="X67" s="404">
        <f t="shared" si="13"/>
        <v>75.777482631794044</v>
      </c>
      <c r="Y67" s="53">
        <f t="shared" si="14"/>
        <v>5.1883092592504942</v>
      </c>
      <c r="Z67" s="53">
        <f t="shared" si="15"/>
        <v>0.83166249489170418</v>
      </c>
      <c r="AA67" s="51">
        <f t="shared" si="16"/>
        <v>5.0843688339249038</v>
      </c>
      <c r="AB67" s="51">
        <f t="shared" si="17"/>
        <v>0.82228664350905867</v>
      </c>
      <c r="AC67" s="49">
        <f t="shared" si="18"/>
        <v>5.648538898869921</v>
      </c>
      <c r="AD67" s="49">
        <f t="shared" si="19"/>
        <v>0.88604988250919481</v>
      </c>
      <c r="AE67" s="47">
        <f t="shared" si="20"/>
        <v>5.1231285725144673</v>
      </c>
      <c r="AF67" s="47">
        <f t="shared" si="21"/>
        <v>0.82842724083912278</v>
      </c>
      <c r="AG67" s="404">
        <f t="shared" si="22"/>
        <v>7.7447859072565324</v>
      </c>
      <c r="AH67" s="404">
        <f t="shared" si="23"/>
        <v>1.5786975548290425</v>
      </c>
    </row>
    <row r="68" spans="1:34">
      <c r="A68" s="14">
        <v>44533</v>
      </c>
      <c r="B68" s="12">
        <v>1650.9166666666667</v>
      </c>
      <c r="C68" s="14">
        <v>44615</v>
      </c>
      <c r="D68" s="12">
        <v>1916.1999999999998</v>
      </c>
      <c r="E68" s="399">
        <v>111.0393</v>
      </c>
      <c r="F68" s="399">
        <v>13.115600000000001</v>
      </c>
      <c r="G68" s="53">
        <f t="shared" si="4"/>
        <v>195.91128535232485</v>
      </c>
      <c r="H68" s="53">
        <f t="shared" si="5"/>
        <v>41.687014711892118</v>
      </c>
      <c r="I68" s="400">
        <v>119.7068</v>
      </c>
      <c r="J68" s="400">
        <v>14.2555</v>
      </c>
      <c r="K68" s="51">
        <f t="shared" si="6"/>
        <v>210.74984592207079</v>
      </c>
      <c r="L68" s="51">
        <f t="shared" si="7"/>
        <v>44.598487944421734</v>
      </c>
      <c r="M68" s="397">
        <v>113.5682</v>
      </c>
      <c r="N68" s="397">
        <v>13.4458</v>
      </c>
      <c r="O68" s="49">
        <f t="shared" si="8"/>
        <v>200.24070396493872</v>
      </c>
      <c r="P68" s="49">
        <f t="shared" si="9"/>
        <v>42.530394360441349</v>
      </c>
      <c r="Q68" s="398">
        <v>122.27970000000001</v>
      </c>
      <c r="R68" s="398">
        <v>14.578200000000001</v>
      </c>
      <c r="S68" s="47">
        <f t="shared" si="10"/>
        <v>215.15459152228996</v>
      </c>
      <c r="T68" s="47">
        <f t="shared" si="11"/>
        <v>45.422711483449127</v>
      </c>
      <c r="U68" s="405">
        <v>156.5033</v>
      </c>
      <c r="V68" s="405">
        <v>22.5596</v>
      </c>
      <c r="W68" s="404">
        <f t="shared" si="12"/>
        <v>273.74460727247828</v>
      </c>
      <c r="X68" s="404">
        <f t="shared" si="13"/>
        <v>65.808387821822635</v>
      </c>
      <c r="Y68" s="53">
        <f t="shared" si="14"/>
        <v>5.5264114344802495</v>
      </c>
      <c r="Z68" s="53">
        <f t="shared" si="15"/>
        <v>0.86847947316441909</v>
      </c>
      <c r="AA68" s="51">
        <f t="shared" si="16"/>
        <v>5.9449886014688511</v>
      </c>
      <c r="AB68" s="51">
        <f t="shared" si="17"/>
        <v>0.92913516550878616</v>
      </c>
      <c r="AC68" s="49">
        <f t="shared" si="18"/>
        <v>6.5290794141938289</v>
      </c>
      <c r="AD68" s="49">
        <f t="shared" si="19"/>
        <v>1.5396456971121102</v>
      </c>
      <c r="AE68" s="47">
        <f t="shared" si="20"/>
        <v>6.0692409456217193</v>
      </c>
      <c r="AF68" s="47">
        <f t="shared" si="21"/>
        <v>0.94630648923852345</v>
      </c>
      <c r="AG68" s="404">
        <f t="shared" si="22"/>
        <v>7.7219917425240689</v>
      </c>
      <c r="AH68" s="404">
        <f t="shared" si="23"/>
        <v>1.3710080796213049</v>
      </c>
    </row>
    <row r="69" spans="1:34">
      <c r="A69" s="14">
        <v>44536</v>
      </c>
      <c r="B69" s="12">
        <v>1722.3</v>
      </c>
      <c r="C69" s="14">
        <v>44617</v>
      </c>
      <c r="D69" s="12">
        <v>1964.883333333333</v>
      </c>
      <c r="E69" s="399">
        <v>140.62700000000001</v>
      </c>
      <c r="F69" s="399">
        <v>27.547599999999999</v>
      </c>
      <c r="G69" s="53">
        <f t="shared" si="4"/>
        <v>246.56474696980075</v>
      </c>
      <c r="H69" s="53">
        <f t="shared" si="5"/>
        <v>78.548477727830004</v>
      </c>
      <c r="I69" s="400">
        <v>144.45160000000001</v>
      </c>
      <c r="J69" s="400">
        <v>28.4937</v>
      </c>
      <c r="K69" s="51">
        <f t="shared" si="6"/>
        <v>253.11237416969121</v>
      </c>
      <c r="L69" s="51">
        <f t="shared" si="7"/>
        <v>80.96495709031467</v>
      </c>
      <c r="M69" s="397">
        <v>131.80160000000001</v>
      </c>
      <c r="N69" s="397">
        <v>25.7288</v>
      </c>
      <c r="O69" s="49">
        <f t="shared" si="8"/>
        <v>231.45586523317127</v>
      </c>
      <c r="P69" s="49">
        <f t="shared" si="9"/>
        <v>73.902993461381286</v>
      </c>
      <c r="Q69" s="398">
        <v>134.10929999999999</v>
      </c>
      <c r="R69" s="398">
        <v>26.218599999999999</v>
      </c>
      <c r="S69" s="47">
        <f t="shared" si="10"/>
        <v>235.40659453536944</v>
      </c>
      <c r="T69" s="47">
        <f t="shared" si="11"/>
        <v>75.154015120555783</v>
      </c>
      <c r="U69" s="405">
        <v>173.2578</v>
      </c>
      <c r="V69" s="405">
        <v>36.706800000000001</v>
      </c>
      <c r="W69" s="404">
        <f t="shared" si="12"/>
        <v>302.42792576867765</v>
      </c>
      <c r="X69" s="404">
        <f t="shared" si="13"/>
        <v>101.94242950551697</v>
      </c>
      <c r="Y69" s="53">
        <f t="shared" si="14"/>
        <v>6.9552820019689907</v>
      </c>
      <c r="Z69" s="53">
        <f t="shared" si="15"/>
        <v>1.6364266193297918</v>
      </c>
      <c r="AA69" s="51">
        <f t="shared" si="16"/>
        <v>7.1399823461125864</v>
      </c>
      <c r="AB69" s="51">
        <f t="shared" si="17"/>
        <v>1.6867699393815556</v>
      </c>
      <c r="AC69" s="49">
        <f t="shared" si="18"/>
        <v>14.498334722071041</v>
      </c>
      <c r="AD69" s="49">
        <f t="shared" si="19"/>
        <v>5.5986284225582352</v>
      </c>
      <c r="AE69" s="47">
        <f t="shared" si="20"/>
        <v>6.6405245285012526</v>
      </c>
      <c r="AF69" s="47">
        <f t="shared" si="21"/>
        <v>1.5657086483449121</v>
      </c>
      <c r="AG69" s="404">
        <f t="shared" si="22"/>
        <v>8.5311121514436561</v>
      </c>
      <c r="AH69" s="404">
        <f t="shared" si="23"/>
        <v>2.1238006146982702</v>
      </c>
    </row>
    <row r="70" spans="1:34">
      <c r="A70" s="14">
        <v>44538</v>
      </c>
      <c r="B70" s="12">
        <v>1770.7</v>
      </c>
      <c r="C70" s="14">
        <v>44621</v>
      </c>
      <c r="D70" s="12">
        <v>2060.8833333333332</v>
      </c>
      <c r="E70" s="399">
        <v>146.0556</v>
      </c>
      <c r="F70" s="399">
        <v>29.130299999999998</v>
      </c>
      <c r="G70" s="53">
        <f t="shared" si="4"/>
        <v>255.85838526330207</v>
      </c>
      <c r="H70" s="53">
        <f t="shared" si="5"/>
        <v>82.590927666530433</v>
      </c>
      <c r="I70" s="400">
        <v>148.83949999999999</v>
      </c>
      <c r="J70" s="400">
        <v>32.763199999999998</v>
      </c>
      <c r="K70" s="51">
        <f t="shared" si="6"/>
        <v>260.62435800862835</v>
      </c>
      <c r="L70" s="51">
        <f t="shared" si="7"/>
        <v>91.869891704127497</v>
      </c>
      <c r="M70" s="397">
        <v>296.82139999999998</v>
      </c>
      <c r="N70" s="397">
        <v>102.0091</v>
      </c>
      <c r="O70" s="49">
        <f t="shared" si="8"/>
        <v>513.96596589741841</v>
      </c>
      <c r="P70" s="49">
        <f t="shared" si="9"/>
        <v>268.73416428279529</v>
      </c>
      <c r="Q70" s="398">
        <v>149.5521</v>
      </c>
      <c r="R70" s="398">
        <v>32.707900000000002</v>
      </c>
      <c r="S70" s="47">
        <f t="shared" si="10"/>
        <v>261.84431281243582</v>
      </c>
      <c r="T70" s="47">
        <f t="shared" si="11"/>
        <v>91.728647323252957</v>
      </c>
      <c r="U70" s="405">
        <v>174.8528</v>
      </c>
      <c r="V70" s="405">
        <v>37.255400000000002</v>
      </c>
      <c r="W70" s="404">
        <f t="shared" si="12"/>
        <v>305.15852906936931</v>
      </c>
      <c r="X70" s="404">
        <f t="shared" si="13"/>
        <v>103.34363506334287</v>
      </c>
      <c r="Y70" s="53">
        <f t="shared" si="14"/>
        <v>7.2174438720254459</v>
      </c>
      <c r="Z70" s="53">
        <f t="shared" si="15"/>
        <v>1.7206443263860507</v>
      </c>
      <c r="AA70" s="51">
        <f t="shared" si="16"/>
        <v>7.3518859804972729</v>
      </c>
      <c r="AB70" s="51">
        <f t="shared" si="17"/>
        <v>1.9139560771693229</v>
      </c>
      <c r="AC70" s="49">
        <f t="shared" si="18"/>
        <v>7.4736174445674406</v>
      </c>
      <c r="AD70" s="49">
        <f t="shared" si="19"/>
        <v>1.2368674226944558</v>
      </c>
      <c r="AE70" s="47">
        <f t="shared" si="20"/>
        <v>7.3862993741166658</v>
      </c>
      <c r="AF70" s="47">
        <f t="shared" si="21"/>
        <v>1.9110134859011032</v>
      </c>
      <c r="AG70" s="404">
        <f t="shared" si="22"/>
        <v>8.6081390428595004</v>
      </c>
      <c r="AH70" s="404">
        <f t="shared" si="23"/>
        <v>2.1529923971529765</v>
      </c>
    </row>
    <row r="71" spans="1:34">
      <c r="A71" s="14">
        <v>44543</v>
      </c>
      <c r="B71" s="12">
        <v>1890.85</v>
      </c>
      <c r="C71" s="14">
        <v>44636</v>
      </c>
      <c r="D71" s="12">
        <v>2116.3666666666668</v>
      </c>
      <c r="E71" s="399">
        <v>154.72569999999999</v>
      </c>
      <c r="F71" s="399">
        <v>20.438300000000002</v>
      </c>
      <c r="G71" s="53">
        <f t="shared" si="4"/>
        <v>270.70139697322469</v>
      </c>
      <c r="H71" s="53">
        <f t="shared" si="5"/>
        <v>60.390273804658776</v>
      </c>
      <c r="I71" s="400">
        <v>165.059</v>
      </c>
      <c r="J71" s="400">
        <v>22.121700000000001</v>
      </c>
      <c r="K71" s="51">
        <f t="shared" si="6"/>
        <v>288.39176881462714</v>
      </c>
      <c r="L71" s="51">
        <f t="shared" si="7"/>
        <v>64.689926440539438</v>
      </c>
      <c r="M71" s="397">
        <v>151.36019999999999</v>
      </c>
      <c r="N71" s="397">
        <v>20.038699999999999</v>
      </c>
      <c r="O71" s="49">
        <f t="shared" si="8"/>
        <v>264.93973840991578</v>
      </c>
      <c r="P71" s="49">
        <f t="shared" si="9"/>
        <v>59.369636289333876</v>
      </c>
      <c r="Q71" s="398">
        <v>160.06989999999999</v>
      </c>
      <c r="R71" s="398">
        <v>21.345800000000001</v>
      </c>
      <c r="S71" s="47">
        <f t="shared" si="10"/>
        <v>279.85054440868316</v>
      </c>
      <c r="T71" s="47">
        <f t="shared" si="11"/>
        <v>62.708163056804253</v>
      </c>
      <c r="U71" s="405">
        <v>203.28620000000001</v>
      </c>
      <c r="V71" s="405">
        <v>51.783099999999997</v>
      </c>
      <c r="W71" s="404">
        <f t="shared" si="12"/>
        <v>353.83585564610019</v>
      </c>
      <c r="X71" s="404">
        <f t="shared" si="13"/>
        <v>140.44953003677972</v>
      </c>
      <c r="Y71" s="53">
        <f t="shared" si="14"/>
        <v>7.6361466000909637</v>
      </c>
      <c r="Z71" s="53">
        <f t="shared" si="15"/>
        <v>1.2581307042637244</v>
      </c>
      <c r="AA71" s="51">
        <f t="shared" si="16"/>
        <v>8.1351697832052778</v>
      </c>
      <c r="AB71" s="51">
        <f t="shared" si="17"/>
        <v>1.3477068008445716</v>
      </c>
      <c r="AC71" s="49">
        <f t="shared" si="18"/>
        <v>7.8463455013929071</v>
      </c>
      <c r="AD71" s="49">
        <f t="shared" si="19"/>
        <v>1.5591051117014032</v>
      </c>
      <c r="AE71" s="47">
        <f t="shared" si="20"/>
        <v>7.894232564419835</v>
      </c>
      <c r="AF71" s="47">
        <f t="shared" si="21"/>
        <v>1.306420063683422</v>
      </c>
      <c r="AG71" s="404">
        <f t="shared" si="22"/>
        <v>9.9812653214696798</v>
      </c>
      <c r="AH71" s="404">
        <f t="shared" si="23"/>
        <v>2.926031875766244</v>
      </c>
    </row>
    <row r="72" spans="1:34">
      <c r="A72" s="14">
        <v>44546</v>
      </c>
      <c r="B72" s="12">
        <v>1961.7166666666667</v>
      </c>
      <c r="C72" s="14">
        <v>44638</v>
      </c>
      <c r="D72" s="12">
        <v>2162.9499999999998</v>
      </c>
      <c r="E72" s="399">
        <v>153.9391</v>
      </c>
      <c r="F72" s="399">
        <v>23.593</v>
      </c>
      <c r="G72" s="53">
        <f t="shared" si="4"/>
        <v>269.35475587208111</v>
      </c>
      <c r="H72" s="53">
        <f t="shared" si="5"/>
        <v>68.447844299141806</v>
      </c>
      <c r="I72" s="400">
        <v>161.6985</v>
      </c>
      <c r="J72" s="400">
        <v>25.0991</v>
      </c>
      <c r="K72" s="51">
        <f t="shared" si="6"/>
        <v>282.63867013627339</v>
      </c>
      <c r="L72" s="51">
        <f t="shared" si="7"/>
        <v>72.294646505925627</v>
      </c>
      <c r="M72" s="397">
        <v>159.07830000000001</v>
      </c>
      <c r="N72" s="397">
        <v>26.0945</v>
      </c>
      <c r="O72" s="49">
        <f t="shared" si="8"/>
        <v>278.15294802437859</v>
      </c>
      <c r="P72" s="49">
        <f t="shared" si="9"/>
        <v>74.83704536166735</v>
      </c>
      <c r="Q72" s="398">
        <v>156.64320000000001</v>
      </c>
      <c r="R72" s="398">
        <v>24.204899999999999</v>
      </c>
      <c r="S72" s="47">
        <f t="shared" si="10"/>
        <v>273.9841128535233</v>
      </c>
      <c r="T72" s="47">
        <f t="shared" si="11"/>
        <v>70.010727421332234</v>
      </c>
      <c r="U72" s="405">
        <v>203.58410000000001</v>
      </c>
      <c r="V72" s="405">
        <v>50.067999999999998</v>
      </c>
      <c r="W72" s="404">
        <f t="shared" si="12"/>
        <v>354.3458535917278</v>
      </c>
      <c r="X72" s="404">
        <f t="shared" si="13"/>
        <v>136.06891091131996</v>
      </c>
      <c r="Y72" s="53">
        <f t="shared" si="14"/>
        <v>7.5981595450516526</v>
      </c>
      <c r="Z72" s="53">
        <f t="shared" si="15"/>
        <v>1.425996756232121</v>
      </c>
      <c r="AA72" s="51">
        <f t="shared" si="16"/>
        <v>7.9728820912912095</v>
      </c>
      <c r="AB72" s="51">
        <f t="shared" si="17"/>
        <v>1.5061384688734505</v>
      </c>
      <c r="AC72" s="49">
        <f t="shared" si="18"/>
        <v>8.9572278123194149</v>
      </c>
      <c r="AD72" s="49">
        <f t="shared" si="19"/>
        <v>1.597848343209372</v>
      </c>
      <c r="AE72" s="47">
        <f t="shared" si="20"/>
        <v>7.7287478943165944</v>
      </c>
      <c r="AF72" s="47">
        <f t="shared" si="21"/>
        <v>1.4585568212777549</v>
      </c>
      <c r="AG72" s="404">
        <f t="shared" si="22"/>
        <v>9.9956517233209521</v>
      </c>
      <c r="AH72" s="404">
        <f t="shared" si="23"/>
        <v>2.834768977319166</v>
      </c>
    </row>
    <row r="73" spans="1:34">
      <c r="A73" s="14">
        <v>44580</v>
      </c>
      <c r="B73" s="12">
        <v>2013.0333333333333</v>
      </c>
      <c r="C73" s="14"/>
      <c r="D73" s="14"/>
      <c r="E73" s="399">
        <v>174.69720000000001</v>
      </c>
      <c r="F73" s="399">
        <v>25.353899999999999</v>
      </c>
      <c r="G73" s="53">
        <f t="shared" si="4"/>
        <v>304.89214544956519</v>
      </c>
      <c r="H73" s="53">
        <f t="shared" si="5"/>
        <v>72.945443400081729</v>
      </c>
      <c r="I73" s="400">
        <v>163.17009999999999</v>
      </c>
      <c r="J73" s="400">
        <v>23.478000000000002</v>
      </c>
      <c r="K73" s="51">
        <f t="shared" si="6"/>
        <v>285.158015476272</v>
      </c>
      <c r="L73" s="51">
        <f t="shared" si="7"/>
        <v>68.154117286473237</v>
      </c>
      <c r="M73" s="397">
        <v>182.0814</v>
      </c>
      <c r="N73" s="397">
        <v>26.822600000000001</v>
      </c>
      <c r="O73" s="49">
        <f t="shared" si="8"/>
        <v>317.53372594672328</v>
      </c>
      <c r="P73" s="49">
        <f t="shared" si="9"/>
        <v>76.696720474049854</v>
      </c>
      <c r="Q73" s="398">
        <v>170.14429999999999</v>
      </c>
      <c r="R73" s="398">
        <v>24.8688</v>
      </c>
      <c r="S73" s="47">
        <f t="shared" si="10"/>
        <v>297.09768540710809</v>
      </c>
      <c r="T73" s="47">
        <f t="shared" si="11"/>
        <v>71.706426236207605</v>
      </c>
      <c r="U73" s="405"/>
      <c r="V73" s="405"/>
      <c r="W73" s="405"/>
      <c r="X73" s="405"/>
      <c r="Y73" s="53">
        <f t="shared" si="14"/>
        <v>8.6006246953332912</v>
      </c>
      <c r="Z73" s="53">
        <f t="shared" si="15"/>
        <v>1.5196967375017028</v>
      </c>
      <c r="AA73" s="51">
        <f t="shared" si="16"/>
        <v>8.0439496608257262</v>
      </c>
      <c r="AB73" s="51">
        <f t="shared" si="17"/>
        <v>1.4198774434681924</v>
      </c>
      <c r="AC73" s="49">
        <f t="shared" si="18"/>
        <v>7.8377011041744531</v>
      </c>
      <c r="AD73" s="49">
        <f t="shared" si="19"/>
        <v>1.3509314126140852</v>
      </c>
      <c r="AE73" s="47">
        <f t="shared" si="20"/>
        <v>8.3807527618366162</v>
      </c>
      <c r="AF73" s="47">
        <f t="shared" si="21"/>
        <v>1.4938838799209917</v>
      </c>
      <c r="AG73" s="404">
        <f t="shared" si="22"/>
        <v>0</v>
      </c>
      <c r="AH73" s="404">
        <f t="shared" si="23"/>
        <v>0</v>
      </c>
    </row>
    <row r="74" spans="1:34">
      <c r="A74" s="14">
        <v>44582</v>
      </c>
      <c r="B74" s="12">
        <v>2061.3333333333335</v>
      </c>
      <c r="C74" s="14"/>
      <c r="D74" s="14"/>
      <c r="E74" s="399">
        <v>163.85210000000001</v>
      </c>
      <c r="F74" s="399">
        <v>22.889900000000001</v>
      </c>
      <c r="G74" s="53">
        <f t="shared" si="4"/>
        <v>286.32558378415399</v>
      </c>
      <c r="H74" s="53">
        <f t="shared" si="5"/>
        <v>66.652022885165508</v>
      </c>
      <c r="I74" s="400" t="s">
        <v>913</v>
      </c>
      <c r="J74" s="400">
        <v>23.9739</v>
      </c>
      <c r="K74" s="51">
        <f>((169.954+3.3964)/2.9206)*5</f>
        <v>296.77189618571526</v>
      </c>
      <c r="L74" s="51">
        <f t="shared" si="7"/>
        <v>69.420719248058845</v>
      </c>
      <c r="M74" s="397">
        <v>158.89930000000001</v>
      </c>
      <c r="N74" s="397">
        <v>22.182300000000001</v>
      </c>
      <c r="O74" s="49">
        <f t="shared" si="8"/>
        <v>277.84650414298437</v>
      </c>
      <c r="P74" s="49">
        <f t="shared" si="9"/>
        <v>64.844707805476091</v>
      </c>
      <c r="Q74" s="398">
        <v>167.97710000000001</v>
      </c>
      <c r="R74" s="398">
        <v>23.610399999999998</v>
      </c>
      <c r="S74" s="47">
        <f t="shared" si="10"/>
        <v>293.38748887214956</v>
      </c>
      <c r="T74" s="47">
        <f t="shared" si="11"/>
        <v>68.492286473232525</v>
      </c>
      <c r="U74" s="405"/>
      <c r="V74" s="405"/>
      <c r="W74" s="405"/>
      <c r="X74" s="405"/>
      <c r="Y74" s="53">
        <f t="shared" si="14"/>
        <v>8.0768852971552594</v>
      </c>
      <c r="Z74" s="53">
        <f t="shared" si="15"/>
        <v>1.3885838101076147</v>
      </c>
      <c r="AA74" s="51">
        <f t="shared" si="16"/>
        <v>8.3715626568607959</v>
      </c>
      <c r="AB74" s="51">
        <f t="shared" si="17"/>
        <v>1.4462649843345592</v>
      </c>
      <c r="AC74" s="49">
        <f t="shared" si="18"/>
        <v>8.3968777016759581</v>
      </c>
      <c r="AD74" s="49">
        <f t="shared" si="19"/>
        <v>1.9001317514643781</v>
      </c>
      <c r="AE74" s="47">
        <f t="shared" si="20"/>
        <v>8.2760927749548525</v>
      </c>
      <c r="AF74" s="47">
        <f t="shared" si="21"/>
        <v>1.4269226348590109</v>
      </c>
      <c r="AG74" s="404">
        <f t="shared" si="22"/>
        <v>0</v>
      </c>
      <c r="AH74" s="404">
        <f t="shared" si="23"/>
        <v>0</v>
      </c>
    </row>
    <row r="75" spans="1:34">
      <c r="A75" s="14">
        <v>44585</v>
      </c>
      <c r="B75" s="12">
        <v>2129.7833333333338</v>
      </c>
      <c r="C75" s="14"/>
      <c r="D75" s="14"/>
      <c r="E75" s="399">
        <v>181.44630000000001</v>
      </c>
      <c r="F75" s="399">
        <v>34.725499999999997</v>
      </c>
      <c r="G75" s="53">
        <f t="shared" si="4"/>
        <v>316.44644935972065</v>
      </c>
      <c r="H75" s="53">
        <f t="shared" si="5"/>
        <v>96.881896199427871</v>
      </c>
      <c r="I75" s="400">
        <v>180.4034</v>
      </c>
      <c r="J75" s="400">
        <v>34.5244</v>
      </c>
      <c r="K75" s="51">
        <f t="shared" si="6"/>
        <v>314.66102855577623</v>
      </c>
      <c r="L75" s="51">
        <f t="shared" si="7"/>
        <v>96.368257049448289</v>
      </c>
      <c r="M75" s="397">
        <v>170.47819999999999</v>
      </c>
      <c r="N75" s="397">
        <v>32.503399999999999</v>
      </c>
      <c r="O75" s="49">
        <f t="shared" si="8"/>
        <v>297.66931452441275</v>
      </c>
      <c r="P75" s="49">
        <f t="shared" si="9"/>
        <v>91.206324070290151</v>
      </c>
      <c r="Q75" s="398">
        <v>178.1712</v>
      </c>
      <c r="R75" s="398">
        <v>34.095300000000002</v>
      </c>
      <c r="S75" s="47">
        <f t="shared" si="10"/>
        <v>310.83955351640077</v>
      </c>
      <c r="T75" s="47">
        <f t="shared" si="11"/>
        <v>95.272272170004086</v>
      </c>
      <c r="U75" s="405"/>
      <c r="V75" s="405"/>
      <c r="W75" s="405"/>
      <c r="X75" s="405"/>
      <c r="Y75" s="53">
        <f t="shared" si="14"/>
        <v>8.9265571046465624</v>
      </c>
      <c r="Z75" s="53">
        <f t="shared" si="15"/>
        <v>2.0183728374880805</v>
      </c>
      <c r="AA75" s="51">
        <f t="shared" si="16"/>
        <v>8.8761926249866345</v>
      </c>
      <c r="AB75" s="51">
        <f t="shared" si="17"/>
        <v>2.007672021863506</v>
      </c>
      <c r="AC75" s="49">
        <f t="shared" si="18"/>
        <v>3.5381228058805467</v>
      </c>
      <c r="AD75" s="49">
        <f t="shared" si="19"/>
        <v>0.73974509603596239</v>
      </c>
      <c r="AE75" s="47">
        <f t="shared" si="20"/>
        <v>8.7683936111819669</v>
      </c>
      <c r="AF75" s="47">
        <f t="shared" si="21"/>
        <v>1.9848390035417518</v>
      </c>
      <c r="AG75" s="404">
        <f t="shared" si="22"/>
        <v>0</v>
      </c>
      <c r="AH75" s="404">
        <f t="shared" si="23"/>
        <v>0</v>
      </c>
    </row>
    <row r="76" spans="1:34">
      <c r="A76" s="14">
        <v>44587</v>
      </c>
      <c r="B76" s="12">
        <v>2178.1500000000005</v>
      </c>
      <c r="C76" s="14"/>
      <c r="D76" s="14"/>
      <c r="E76" s="399">
        <v>74.042100000000005</v>
      </c>
      <c r="F76" s="399">
        <v>11.4017</v>
      </c>
      <c r="G76" s="53">
        <f t="shared" si="4"/>
        <v>132.57293021981786</v>
      </c>
      <c r="H76" s="53">
        <f t="shared" si="5"/>
        <v>37.309460563955867</v>
      </c>
      <c r="I76" s="400">
        <v>71.953699999999998</v>
      </c>
      <c r="J76" s="400">
        <v>11.2232</v>
      </c>
      <c r="K76" s="51">
        <f t="shared" si="6"/>
        <v>128.99763747175237</v>
      </c>
      <c r="L76" s="51">
        <f t="shared" si="7"/>
        <v>36.85354515733551</v>
      </c>
      <c r="M76" s="397">
        <v>69.867699999999999</v>
      </c>
      <c r="N76" s="397">
        <v>10.696300000000001</v>
      </c>
      <c r="O76" s="49">
        <f t="shared" si="8"/>
        <v>125.4264534684654</v>
      </c>
      <c r="P76" s="49">
        <f t="shared" si="9"/>
        <v>35.507764609726195</v>
      </c>
      <c r="Q76" s="398">
        <v>70.671099999999996</v>
      </c>
      <c r="R76" s="398">
        <v>10.7845</v>
      </c>
      <c r="S76" s="47">
        <f t="shared" si="10"/>
        <v>126.80185578305827</v>
      </c>
      <c r="T76" s="47">
        <f t="shared" si="11"/>
        <v>35.733040457703311</v>
      </c>
      <c r="U76" s="405"/>
      <c r="V76" s="405"/>
      <c r="W76" s="405"/>
      <c r="X76" s="405"/>
      <c r="Y76" s="53">
        <f t="shared" si="14"/>
        <v>3.7397159441415475</v>
      </c>
      <c r="Z76" s="53">
        <f t="shared" si="15"/>
        <v>0.77728042841574718</v>
      </c>
      <c r="AA76" s="51">
        <f t="shared" si="16"/>
        <v>3.6388614237447774</v>
      </c>
      <c r="AB76" s="51">
        <f t="shared" si="17"/>
        <v>0.76778219077782317</v>
      </c>
      <c r="AC76" s="49">
        <f t="shared" si="18"/>
        <v>3.3582130997485211</v>
      </c>
      <c r="AD76" s="49">
        <f t="shared" si="19"/>
        <v>0.71845520875902469</v>
      </c>
      <c r="AE76" s="47">
        <f t="shared" si="20"/>
        <v>3.5769211786476238</v>
      </c>
      <c r="AF76" s="47">
        <f t="shared" si="21"/>
        <v>0.74443834286881894</v>
      </c>
      <c r="AG76" s="404">
        <f t="shared" si="22"/>
        <v>0</v>
      </c>
      <c r="AH76" s="404">
        <f t="shared" si="23"/>
        <v>0</v>
      </c>
    </row>
    <row r="77" spans="1:34">
      <c r="A77" s="14">
        <v>44589</v>
      </c>
      <c r="B77" s="12">
        <v>2227.9666666666672</v>
      </c>
      <c r="C77" s="14"/>
      <c r="D77" s="14"/>
      <c r="E77" s="399">
        <v>73.12</v>
      </c>
      <c r="F77" s="399">
        <v>11.9002</v>
      </c>
      <c r="G77" s="53">
        <f t="shared" si="4"/>
        <v>130.99431623638981</v>
      </c>
      <c r="H77" s="53">
        <f t="shared" si="5"/>
        <v>38.582703310175724</v>
      </c>
      <c r="I77" s="400">
        <v>74.146600000000007</v>
      </c>
      <c r="J77" s="400">
        <v>11.610200000000001</v>
      </c>
      <c r="K77" s="51">
        <f t="shared" si="6"/>
        <v>132.75183181538043</v>
      </c>
      <c r="L77" s="51">
        <f t="shared" si="7"/>
        <v>37.842000408663672</v>
      </c>
      <c r="M77" s="397">
        <v>66.142300000000006</v>
      </c>
      <c r="N77" s="397">
        <v>10.296200000000001</v>
      </c>
      <c r="O77" s="49">
        <f t="shared" si="8"/>
        <v>119.04865438608508</v>
      </c>
      <c r="P77" s="49">
        <f t="shared" si="9"/>
        <v>34.485850020433183</v>
      </c>
      <c r="Q77" s="398">
        <v>74.835999999999999</v>
      </c>
      <c r="R77" s="398">
        <v>11.6906</v>
      </c>
      <c r="S77" s="47">
        <f t="shared" si="10"/>
        <v>133.93206875299595</v>
      </c>
      <c r="T77" s="47">
        <f t="shared" si="11"/>
        <v>38.047353902738045</v>
      </c>
      <c r="U77" s="405"/>
      <c r="V77" s="405"/>
      <c r="W77" s="405"/>
      <c r="X77" s="405"/>
      <c r="Y77" s="53">
        <f t="shared" si="14"/>
        <v>3.6951852252860311</v>
      </c>
      <c r="Z77" s="53">
        <f t="shared" si="15"/>
        <v>0.80380631896199428</v>
      </c>
      <c r="AA77" s="51">
        <f t="shared" si="16"/>
        <v>3.7447625335791375</v>
      </c>
      <c r="AB77" s="51">
        <f t="shared" si="17"/>
        <v>0.78837500851382647</v>
      </c>
      <c r="AC77" s="49">
        <f t="shared" si="18"/>
        <v>6.4616869207952039</v>
      </c>
      <c r="AD77" s="49">
        <f t="shared" si="19"/>
        <v>1.2807668403487265</v>
      </c>
      <c r="AE77" s="47">
        <f t="shared" si="20"/>
        <v>3.7780555360506609</v>
      </c>
      <c r="AF77" s="47">
        <f t="shared" si="21"/>
        <v>0.79265320630704261</v>
      </c>
      <c r="AG77" s="404">
        <f t="shared" si="22"/>
        <v>0</v>
      </c>
      <c r="AH77" s="404">
        <f t="shared" si="23"/>
        <v>0</v>
      </c>
    </row>
    <row r="78" spans="1:34">
      <c r="A78" s="14">
        <v>44594</v>
      </c>
      <c r="B78" s="12">
        <v>2345.7166666666672</v>
      </c>
      <c r="C78" s="14"/>
      <c r="D78" s="14"/>
      <c r="E78" s="399">
        <v>131.8065</v>
      </c>
      <c r="F78" s="399">
        <v>21.0762</v>
      </c>
      <c r="G78" s="53">
        <f t="shared" si="4"/>
        <v>231.46425392042732</v>
      </c>
      <c r="H78" s="53">
        <f t="shared" si="5"/>
        <v>62.019564773191661</v>
      </c>
      <c r="I78" s="400">
        <v>129.44540000000001</v>
      </c>
      <c r="J78" s="400">
        <v>20.666399999999999</v>
      </c>
      <c r="K78" s="51">
        <f t="shared" si="6"/>
        <v>227.4221050469082</v>
      </c>
      <c r="L78" s="51">
        <f t="shared" si="7"/>
        <v>60.972874948917038</v>
      </c>
      <c r="M78" s="397">
        <v>130.40610000000001</v>
      </c>
      <c r="N78" s="397">
        <v>20.863700000000001</v>
      </c>
      <c r="O78" s="49">
        <f t="shared" si="8"/>
        <v>229.06680134218999</v>
      </c>
      <c r="P78" s="49">
        <f t="shared" si="9"/>
        <v>61.47680833673887</v>
      </c>
      <c r="Q78" s="398">
        <v>134.0205</v>
      </c>
      <c r="R78" s="398">
        <v>21.482399999999998</v>
      </c>
      <c r="S78" s="47">
        <f t="shared" si="10"/>
        <v>235.25457097856605</v>
      </c>
      <c r="T78" s="47">
        <f t="shared" si="11"/>
        <v>63.057059664895789</v>
      </c>
      <c r="U78" s="405"/>
      <c r="V78" s="405"/>
      <c r="W78" s="405"/>
      <c r="X78" s="405"/>
      <c r="Y78" s="53">
        <f t="shared" si="14"/>
        <v>6.5293160485310944</v>
      </c>
      <c r="Z78" s="53">
        <f t="shared" si="15"/>
        <v>1.2920742661081597</v>
      </c>
      <c r="AA78" s="51">
        <f t="shared" si="16"/>
        <v>6.4152921028747016</v>
      </c>
      <c r="AB78" s="51">
        <f t="shared" si="17"/>
        <v>1.2702682281024382</v>
      </c>
      <c r="AC78" s="49">
        <f t="shared" si="18"/>
        <v>7.7985646823541384</v>
      </c>
      <c r="AD78" s="49">
        <f t="shared" si="19"/>
        <v>2.4590538158970165</v>
      </c>
      <c r="AE78" s="47">
        <f t="shared" si="20"/>
        <v>6.6362361347973495</v>
      </c>
      <c r="AF78" s="47">
        <f t="shared" si="21"/>
        <v>1.3136887430186623</v>
      </c>
      <c r="AG78" s="404">
        <f t="shared" si="22"/>
        <v>0</v>
      </c>
      <c r="AH78" s="404">
        <f t="shared" si="23"/>
        <v>0</v>
      </c>
    </row>
    <row r="79" spans="1:34">
      <c r="A79" s="39">
        <v>44596</v>
      </c>
      <c r="B79" s="12">
        <v>2393.4500000000003</v>
      </c>
      <c r="C79" s="39"/>
      <c r="D79" s="39"/>
      <c r="E79" s="399">
        <v>142.44049999999999</v>
      </c>
      <c r="F79" s="399">
        <v>18.241099999999999</v>
      </c>
      <c r="G79" s="53">
        <f t="shared" si="4"/>
        <v>249.66941724303226</v>
      </c>
      <c r="H79" s="53">
        <f t="shared" si="5"/>
        <v>54.778299959133633</v>
      </c>
      <c r="I79" s="400">
        <v>151.38509999999999</v>
      </c>
      <c r="J79" s="400">
        <v>29.509799999999998</v>
      </c>
      <c r="K79" s="51">
        <f t="shared" si="6"/>
        <v>264.98236663699242</v>
      </c>
      <c r="L79" s="51">
        <f t="shared" si="7"/>
        <v>83.560226808336736</v>
      </c>
      <c r="M79" s="397">
        <v>158.0889</v>
      </c>
      <c r="N79" s="397">
        <v>43.007199999999997</v>
      </c>
      <c r="O79" s="49">
        <f t="shared" si="8"/>
        <v>276.45911798945423</v>
      </c>
      <c r="P79" s="49">
        <f t="shared" si="9"/>
        <v>118.03458316305679</v>
      </c>
      <c r="Q79" s="398">
        <v>139.1951</v>
      </c>
      <c r="R79" s="398">
        <v>17.424700000000001</v>
      </c>
      <c r="S79" s="47">
        <f t="shared" si="10"/>
        <v>244.11336711634596</v>
      </c>
      <c r="T79" s="47">
        <f t="shared" si="11"/>
        <v>52.693093583980392</v>
      </c>
      <c r="U79" s="405"/>
      <c r="V79" s="405"/>
      <c r="W79" s="405"/>
      <c r="X79" s="405"/>
      <c r="Y79" s="53">
        <f t="shared" si="14"/>
        <v>7.0428608531179755</v>
      </c>
      <c r="Z79" s="53">
        <f t="shared" si="15"/>
        <v>1.1412145824819506</v>
      </c>
      <c r="AA79" s="51">
        <f t="shared" si="16"/>
        <v>7.4748199333425216</v>
      </c>
      <c r="AB79" s="51">
        <f t="shared" si="17"/>
        <v>1.7408380585070153</v>
      </c>
      <c r="AC79" s="49">
        <f t="shared" si="18"/>
        <v>9.2183320717664614</v>
      </c>
      <c r="AD79" s="49">
        <f t="shared" si="19"/>
        <v>2.2494274451709577</v>
      </c>
      <c r="AE79" s="47">
        <f t="shared" si="20"/>
        <v>6.8861316534935382</v>
      </c>
      <c r="AF79" s="47">
        <f t="shared" si="21"/>
        <v>1.0977727829995916</v>
      </c>
      <c r="AG79" s="404">
        <f t="shared" si="22"/>
        <v>0</v>
      </c>
      <c r="AH79" s="404">
        <f t="shared" si="23"/>
        <v>0</v>
      </c>
    </row>
    <row r="80" spans="1:34">
      <c r="A80" s="39">
        <v>44601</v>
      </c>
      <c r="B80" s="12">
        <v>2513.4666666666672</v>
      </c>
      <c r="C80" s="39"/>
      <c r="D80" s="39"/>
      <c r="E80" s="399">
        <v>148.63630000000001</v>
      </c>
      <c r="F80" s="399">
        <v>18.439299999999999</v>
      </c>
      <c r="G80" s="53">
        <f t="shared" si="4"/>
        <v>260.27648428405126</v>
      </c>
      <c r="H80" s="53">
        <f t="shared" si="5"/>
        <v>55.284532080098074</v>
      </c>
      <c r="I80" s="400">
        <v>166.57239999999999</v>
      </c>
      <c r="J80" s="400">
        <v>26.985700000000001</v>
      </c>
      <c r="K80" s="51">
        <f t="shared" si="6"/>
        <v>290.98267479285079</v>
      </c>
      <c r="L80" s="51">
        <f t="shared" si="7"/>
        <v>77.113302002451988</v>
      </c>
      <c r="M80" s="397">
        <v>187.4881</v>
      </c>
      <c r="N80" s="397">
        <v>39.067700000000002</v>
      </c>
      <c r="O80" s="49">
        <f t="shared" si="8"/>
        <v>326.7898719441211</v>
      </c>
      <c r="P80" s="49">
        <f t="shared" si="9"/>
        <v>107.97251736820597</v>
      </c>
      <c r="Q80" s="398">
        <v>155.24369999999999</v>
      </c>
      <c r="R80" s="398">
        <v>19.1751</v>
      </c>
      <c r="S80" s="47">
        <f t="shared" si="10"/>
        <v>271.58820105457784</v>
      </c>
      <c r="T80" s="47">
        <f t="shared" si="11"/>
        <v>57.163874131589701</v>
      </c>
      <c r="U80" s="405"/>
      <c r="V80" s="405"/>
      <c r="W80" s="405"/>
      <c r="X80" s="405"/>
      <c r="Y80" s="53">
        <f t="shared" si="14"/>
        <v>7.3420728994090618</v>
      </c>
      <c r="Z80" s="53">
        <f t="shared" si="15"/>
        <v>1.1517610850020432</v>
      </c>
      <c r="AA80" s="51">
        <f t="shared" si="16"/>
        <v>8.2082559885148303</v>
      </c>
      <c r="AB80" s="51">
        <f t="shared" si="17"/>
        <v>1.6065271250510831</v>
      </c>
      <c r="AC80" s="49">
        <f t="shared" si="18"/>
        <v>7.6833141015617201</v>
      </c>
      <c r="AD80" s="49">
        <f t="shared" si="19"/>
        <v>1.4076175333741998</v>
      </c>
      <c r="AE80" s="47">
        <f t="shared" si="20"/>
        <v>7.6611622300304036</v>
      </c>
      <c r="AF80" s="47">
        <f t="shared" si="21"/>
        <v>1.1909140444081188</v>
      </c>
      <c r="AG80" s="404">
        <f t="shared" si="22"/>
        <v>0</v>
      </c>
      <c r="AH80" s="404">
        <f t="shared" si="23"/>
        <v>0</v>
      </c>
    </row>
    <row r="81" spans="1:34">
      <c r="A81" s="39">
        <v>44606</v>
      </c>
      <c r="B81" s="12">
        <v>2633.7166666666672</v>
      </c>
      <c r="C81" s="39"/>
      <c r="D81" s="39"/>
      <c r="E81" s="399">
        <v>163.4751</v>
      </c>
      <c r="F81" s="399">
        <v>21.0291</v>
      </c>
      <c r="G81" s="53">
        <f t="shared" si="4"/>
        <v>285.68016845853595</v>
      </c>
      <c r="H81" s="53">
        <f t="shared" si="5"/>
        <v>61.899264405394362</v>
      </c>
      <c r="I81" s="400">
        <v>163.06039999999999</v>
      </c>
      <c r="J81" s="400">
        <v>21.9267</v>
      </c>
      <c r="K81" s="51">
        <f t="shared" si="6"/>
        <v>284.97021160035609</v>
      </c>
      <c r="L81" s="51">
        <f t="shared" si="7"/>
        <v>64.191867592970993</v>
      </c>
      <c r="M81" s="397">
        <v>155.70240000000001</v>
      </c>
      <c r="N81" s="397">
        <v>23.247599999999998</v>
      </c>
      <c r="O81" s="49">
        <f t="shared" si="8"/>
        <v>272.373484900363</v>
      </c>
      <c r="P81" s="49">
        <f t="shared" si="9"/>
        <v>67.565641601961588</v>
      </c>
      <c r="Q81" s="398">
        <v>159.28739999999999</v>
      </c>
      <c r="R81" s="398">
        <v>20.214200000000002</v>
      </c>
      <c r="S81" s="47">
        <f t="shared" si="10"/>
        <v>278.51092241320276</v>
      </c>
      <c r="T81" s="47">
        <f t="shared" si="11"/>
        <v>59.817889252145491</v>
      </c>
      <c r="U81" s="405"/>
      <c r="V81" s="405"/>
      <c r="W81" s="405"/>
      <c r="X81" s="405"/>
      <c r="Y81" s="53">
        <f t="shared" si="14"/>
        <v>8.0586789410024231</v>
      </c>
      <c r="Z81" s="53">
        <f t="shared" si="15"/>
        <v>1.289568008445716</v>
      </c>
      <c r="AA81" s="51">
        <f t="shared" si="16"/>
        <v>8.0386519492343034</v>
      </c>
      <c r="AB81" s="51">
        <f t="shared" si="17"/>
        <v>1.3373305748535624</v>
      </c>
      <c r="AC81" s="49">
        <f t="shared" si="18"/>
        <v>7.8882201205444291</v>
      </c>
      <c r="AD81" s="49">
        <f t="shared" si="19"/>
        <v>1.9563549329110479</v>
      </c>
      <c r="AE81" s="47">
        <f t="shared" si="20"/>
        <v>7.8564435095402745</v>
      </c>
      <c r="AF81" s="47">
        <f t="shared" si="21"/>
        <v>1.2462060260863643</v>
      </c>
      <c r="AG81" s="404">
        <f t="shared" si="22"/>
        <v>0</v>
      </c>
      <c r="AH81" s="404">
        <f t="shared" si="23"/>
        <v>0</v>
      </c>
    </row>
    <row r="82" spans="1:34">
      <c r="A82" s="39">
        <v>44608</v>
      </c>
      <c r="B82" s="12">
        <v>2681.2500000000005</v>
      </c>
      <c r="C82" s="39"/>
      <c r="D82" s="39"/>
      <c r="E82" s="399">
        <v>128.7938</v>
      </c>
      <c r="F82" s="399">
        <v>15.4527</v>
      </c>
      <c r="G82" s="53">
        <f t="shared" si="4"/>
        <v>226.30658083955353</v>
      </c>
      <c r="H82" s="53">
        <f t="shared" si="5"/>
        <v>47.656313853698407</v>
      </c>
      <c r="I82" s="400">
        <v>150.3724</v>
      </c>
      <c r="J82" s="400">
        <v>21.550799999999999</v>
      </c>
      <c r="K82" s="51">
        <f t="shared" si="6"/>
        <v>263.24864753817712</v>
      </c>
      <c r="L82" s="51">
        <f t="shared" si="7"/>
        <v>63.231763383735185</v>
      </c>
      <c r="M82" s="397">
        <v>159.94540000000001</v>
      </c>
      <c r="N82" s="397">
        <v>33.56</v>
      </c>
      <c r="O82" s="49">
        <f t="shared" si="8"/>
        <v>279.63740327330004</v>
      </c>
      <c r="P82" s="49">
        <f t="shared" si="9"/>
        <v>93.905036779730295</v>
      </c>
      <c r="Q82" s="398">
        <v>143.82589999999999</v>
      </c>
      <c r="R82" s="398">
        <v>17.483899999999998</v>
      </c>
      <c r="S82" s="47">
        <f t="shared" si="10"/>
        <v>252.04119016640416</v>
      </c>
      <c r="T82" s="47">
        <f t="shared" si="11"/>
        <v>52.844299141806289</v>
      </c>
      <c r="U82" s="405"/>
      <c r="V82" s="405"/>
      <c r="W82" s="405"/>
      <c r="X82" s="405"/>
      <c r="Y82" s="53">
        <f t="shared" si="14"/>
        <v>6.3838245652906496</v>
      </c>
      <c r="Z82" s="53">
        <f t="shared" si="15"/>
        <v>0.99283987195205015</v>
      </c>
      <c r="AA82" s="51">
        <f t="shared" si="16"/>
        <v>7.4259138938836982</v>
      </c>
      <c r="AB82" s="51">
        <f t="shared" si="17"/>
        <v>1.3173284038278164</v>
      </c>
      <c r="AC82" s="49">
        <f t="shared" si="18"/>
        <v>7.9938121569586853</v>
      </c>
      <c r="AD82" s="49">
        <f t="shared" si="19"/>
        <v>1.7277320869091406</v>
      </c>
      <c r="AE82" s="47">
        <f t="shared" si="20"/>
        <v>7.1097655900255043</v>
      </c>
      <c r="AF82" s="47">
        <f t="shared" si="21"/>
        <v>1.1009228987876309</v>
      </c>
      <c r="AG82" s="404">
        <f t="shared" si="22"/>
        <v>0</v>
      </c>
      <c r="AH82" s="404">
        <f t="shared" si="23"/>
        <v>0</v>
      </c>
    </row>
    <row r="83" spans="1:34">
      <c r="A83" s="14">
        <v>44610</v>
      </c>
      <c r="B83" s="12">
        <v>2728.7000000000003</v>
      </c>
      <c r="C83" s="14"/>
      <c r="D83" s="14"/>
      <c r="E83" s="399">
        <v>166.74969999999999</v>
      </c>
      <c r="F83" s="399">
        <v>24.851400000000002</v>
      </c>
      <c r="G83" s="53">
        <f t="shared" si="4"/>
        <v>291.28620831336025</v>
      </c>
      <c r="H83" s="53">
        <f t="shared" si="5"/>
        <v>71.661984062116886</v>
      </c>
      <c r="I83" s="400">
        <v>167.26179999999999</v>
      </c>
      <c r="J83" s="400">
        <v>31.118400000000001</v>
      </c>
      <c r="K83" s="51">
        <f t="shared" si="6"/>
        <v>292.16291173046636</v>
      </c>
      <c r="L83" s="51">
        <f t="shared" si="7"/>
        <v>87.668829178586023</v>
      </c>
      <c r="M83" s="397">
        <v>162.1319</v>
      </c>
      <c r="N83" s="397">
        <v>29.263500000000001</v>
      </c>
      <c r="O83" s="49">
        <f t="shared" si="8"/>
        <v>283.38064096418543</v>
      </c>
      <c r="P83" s="49">
        <f t="shared" si="9"/>
        <v>82.931140171638745</v>
      </c>
      <c r="Q83" s="398">
        <v>163.86510000000001</v>
      </c>
      <c r="R83" s="398">
        <v>24.403300000000002</v>
      </c>
      <c r="S83" s="47">
        <f t="shared" si="10"/>
        <v>286.34783948503735</v>
      </c>
      <c r="T83" s="47">
        <f t="shared" si="11"/>
        <v>70.517470371883945</v>
      </c>
      <c r="U83" s="405"/>
      <c r="V83" s="405"/>
      <c r="W83" s="405"/>
      <c r="X83" s="405"/>
      <c r="Y83" s="53">
        <f t="shared" si="14"/>
        <v>8.2168182881060705</v>
      </c>
      <c r="Z83" s="53">
        <f t="shared" si="15"/>
        <v>1.4929580012941017</v>
      </c>
      <c r="AA83" s="51">
        <f t="shared" si="16"/>
        <v>8.241548990986356</v>
      </c>
      <c r="AB83" s="51">
        <f t="shared" si="17"/>
        <v>1.8264339412205421</v>
      </c>
      <c r="AC83" s="49">
        <f t="shared" si="18"/>
        <v>0</v>
      </c>
      <c r="AD83" s="49">
        <f t="shared" si="19"/>
        <v>0</v>
      </c>
      <c r="AE83" s="47">
        <f t="shared" si="20"/>
        <v>8.0775131025398395</v>
      </c>
      <c r="AF83" s="47">
        <f t="shared" si="21"/>
        <v>1.4691139660809156</v>
      </c>
      <c r="AG83" s="404">
        <f t="shared" si="22"/>
        <v>0</v>
      </c>
      <c r="AH83" s="404">
        <f t="shared" si="23"/>
        <v>0</v>
      </c>
    </row>
    <row r="85" spans="1:34" ht="16" thickBot="1"/>
    <row r="86" spans="1:34" ht="16" thickTop="1">
      <c r="D86" s="407"/>
      <c r="E86" s="419" t="s">
        <v>1443</v>
      </c>
      <c r="F86" s="408"/>
      <c r="G86" s="408"/>
      <c r="H86" s="409"/>
    </row>
    <row r="87" spans="1:34">
      <c r="D87" s="410" t="s">
        <v>1305</v>
      </c>
      <c r="E87" s="411" t="s">
        <v>298</v>
      </c>
      <c r="F87" s="411" t="s">
        <v>299</v>
      </c>
      <c r="G87" s="411" t="s">
        <v>1533</v>
      </c>
      <c r="H87" s="412" t="s">
        <v>1532</v>
      </c>
    </row>
    <row r="88" spans="1:34">
      <c r="D88" s="413" t="s">
        <v>399</v>
      </c>
      <c r="E88" s="414">
        <f>AVERAGE(G40:G83)</f>
        <v>280.36574053899267</v>
      </c>
      <c r="F88" s="414">
        <f>AVERAGE(H40:H83)</f>
        <v>73.5434797247093</v>
      </c>
      <c r="G88" s="414">
        <f>AVERAGE(Y40:Y83)</f>
        <v>7.9087656005357596</v>
      </c>
      <c r="H88" s="415">
        <f>AVERAGE(Z40:Z83)</f>
        <v>1.5321558275981106</v>
      </c>
    </row>
    <row r="89" spans="1:34">
      <c r="D89" s="413" t="s">
        <v>228</v>
      </c>
      <c r="E89" s="414">
        <f>AVERAGE(K40:K83)</f>
        <v>283.2037470507305</v>
      </c>
      <c r="F89" s="414">
        <f>AVERAGE(L40:L83)</f>
        <v>77.805835995839075</v>
      </c>
      <c r="G89" s="414">
        <f>AVERAGE(AA40:AA83)</f>
        <v>7.9888222017131341</v>
      </c>
      <c r="H89" s="415">
        <f>AVERAGE(AB40:AB83)</f>
        <v>1.6209549165799808</v>
      </c>
    </row>
    <row r="90" spans="1:34">
      <c r="D90" s="413" t="s">
        <v>173</v>
      </c>
      <c r="E90" s="414">
        <f>AVERAGE(O41:O83)</f>
        <v>315.63143683441922</v>
      </c>
      <c r="F90" s="414">
        <f>AVERAGE(P41:P83)</f>
        <v>93.36216748557797</v>
      </c>
      <c r="G90" s="414">
        <f>AVERAGE(AC40:AC82)</f>
        <v>8.9035666243841796</v>
      </c>
      <c r="H90" s="415">
        <f>AVERAGE(AD40:AD82)</f>
        <v>1.9450451559495412</v>
      </c>
    </row>
    <row r="91" spans="1:34">
      <c r="D91" s="413" t="s">
        <v>174</v>
      </c>
      <c r="E91" s="414">
        <f>AVERAGE(S40:S83)</f>
        <v>345.56999106659293</v>
      </c>
      <c r="F91" s="414">
        <f>AVERAGE(T40:T83)</f>
        <v>99.641066751495373</v>
      </c>
      <c r="G91" s="414">
        <f>AVERAGE(AE40:AE83)</f>
        <v>9.7480956577318132</v>
      </c>
      <c r="H91" s="415">
        <f>AVERAGE(AF40:AF83)</f>
        <v>2.0758555573228192</v>
      </c>
    </row>
    <row r="92" spans="1:34" ht="16" thickBot="1">
      <c r="D92" s="416">
        <v>30</v>
      </c>
      <c r="E92" s="417">
        <f>AVERAGE(W40:W72)</f>
        <v>306.43562240220461</v>
      </c>
      <c r="F92" s="417">
        <f>AVERAGE(X40:X72)</f>
        <v>91.160999554185082</v>
      </c>
      <c r="G92" s="417">
        <f>AVERAGE(AG40:AG72)</f>
        <v>8.6441642426573946</v>
      </c>
      <c r="H92" s="418">
        <f>AVERAGE(AH40:AH72)</f>
        <v>1.8991874907121888</v>
      </c>
    </row>
    <row r="93" spans="1:34" ht="16" thickTop="1"/>
  </sheetData>
  <mergeCells count="10">
    <mergeCell ref="AA38:AB38"/>
    <mergeCell ref="AC38:AD38"/>
    <mergeCell ref="AE38:AF38"/>
    <mergeCell ref="AG38:AH38"/>
    <mergeCell ref="E38:H38"/>
    <mergeCell ref="I38:L38"/>
    <mergeCell ref="M38:P38"/>
    <mergeCell ref="Q38:T38"/>
    <mergeCell ref="U38:X38"/>
    <mergeCell ref="Y38:Z38"/>
  </mergeCells>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B43B4-3BFD-3349-9DC5-6F5EE930A5F0}">
  <dimension ref="A1:ES59"/>
  <sheetViews>
    <sheetView zoomScale="80" zoomScaleNormal="80" workbookViewId="0">
      <pane xSplit="2" ySplit="1" topLeftCell="C2" activePane="bottomRight" state="frozen"/>
      <selection pane="topRight" activeCell="C1" sqref="C1"/>
      <selection pane="bottomLeft" activeCell="A2" sqref="A2"/>
      <selection pane="bottomRight" activeCell="I42" sqref="I42"/>
    </sheetView>
  </sheetViews>
  <sheetFormatPr defaultColWidth="10.6640625" defaultRowHeight="15.5"/>
  <cols>
    <col min="6" max="8" width="10.83203125" style="127"/>
    <col min="9" max="9" width="16" customWidth="1"/>
    <col min="10" max="12" width="10.83203125" style="1"/>
    <col min="13" max="13" width="18.6640625" customWidth="1"/>
    <col min="14" max="16" width="10.83203125" style="2"/>
    <col min="17" max="17" width="18.1640625" customWidth="1"/>
    <col min="18" max="20" width="10.83203125" style="3"/>
    <col min="21" max="21" width="18.1640625" customWidth="1"/>
    <col min="22" max="24" width="10.83203125" style="4"/>
    <col min="25" max="25" width="16.6640625" customWidth="1"/>
    <col min="29" max="31" width="10.83203125" style="4"/>
    <col min="32" max="32" width="18.6640625" customWidth="1"/>
    <col min="33" max="35" width="10.83203125" style="1"/>
    <col min="36" max="36" width="19.1640625" customWidth="1"/>
    <col min="37" max="39" width="10.83203125" style="2"/>
    <col min="40" max="40" width="18.33203125" customWidth="1"/>
    <col min="41" max="43" width="10.83203125" style="3"/>
    <col min="44" max="44" width="19.33203125" customWidth="1"/>
    <col min="45" max="45" width="12.1640625" style="72" customWidth="1"/>
    <col min="46" max="46" width="8.83203125" style="72" customWidth="1"/>
    <col min="47" max="47" width="13.5" style="72" customWidth="1"/>
    <col min="48" max="48" width="19.33203125" customWidth="1"/>
    <col min="64" max="64" width="18.1640625" customWidth="1"/>
    <col min="67" max="67" width="25.1640625" customWidth="1"/>
    <col min="68" max="68" width="11.1640625" customWidth="1"/>
    <col min="82" max="82" width="20.83203125" customWidth="1"/>
    <col min="88" max="88" width="16.6640625" customWidth="1"/>
    <col min="106" max="106" width="21.33203125" customWidth="1"/>
  </cols>
  <sheetData>
    <row r="1" spans="1:149" s="45" customFormat="1">
      <c r="A1" s="690" t="s">
        <v>213</v>
      </c>
      <c r="B1" s="704" t="s">
        <v>160</v>
      </c>
      <c r="C1" s="688" t="s">
        <v>177</v>
      </c>
      <c r="D1" s="688"/>
      <c r="E1" s="688"/>
      <c r="F1" s="705" t="s">
        <v>5</v>
      </c>
      <c r="G1" s="705"/>
      <c r="H1" s="705"/>
      <c r="J1" s="696" t="s">
        <v>6</v>
      </c>
      <c r="K1" s="696"/>
      <c r="L1" s="696"/>
      <c r="N1" s="697" t="s">
        <v>9</v>
      </c>
      <c r="O1" s="697"/>
      <c r="P1" s="697"/>
      <c r="R1" s="703" t="s">
        <v>8</v>
      </c>
      <c r="S1" s="703"/>
      <c r="T1" s="703"/>
      <c r="V1" s="692" t="s">
        <v>216</v>
      </c>
      <c r="W1" s="692"/>
      <c r="X1" s="692"/>
      <c r="Z1" s="688" t="s">
        <v>178</v>
      </c>
      <c r="AA1" s="688"/>
      <c r="AB1" s="688"/>
      <c r="AC1" s="692" t="s">
        <v>217</v>
      </c>
      <c r="AD1" s="692"/>
      <c r="AE1" s="692"/>
      <c r="AG1" s="696" t="s">
        <v>12</v>
      </c>
      <c r="AH1" s="696"/>
      <c r="AI1" s="696"/>
      <c r="AK1" s="697" t="s">
        <v>13</v>
      </c>
      <c r="AL1" s="697"/>
      <c r="AM1" s="697"/>
      <c r="AO1" s="703" t="s">
        <v>14</v>
      </c>
      <c r="AP1" s="703"/>
      <c r="AQ1" s="703"/>
      <c r="AS1" s="688" t="s">
        <v>253</v>
      </c>
      <c r="AT1" s="688"/>
      <c r="AU1" s="688"/>
      <c r="AV1" s="688"/>
      <c r="AW1" s="688" t="s">
        <v>223</v>
      </c>
      <c r="AX1" s="688"/>
      <c r="AY1" s="688"/>
      <c r="AZ1" s="688" t="s">
        <v>259</v>
      </c>
      <c r="BA1" s="688"/>
      <c r="BB1" s="688"/>
      <c r="BC1" s="688"/>
      <c r="BI1" s="360"/>
      <c r="BJ1" s="688"/>
      <c r="BK1" s="688"/>
      <c r="BL1" s="688"/>
      <c r="BM1" s="688"/>
      <c r="BN1" s="688"/>
      <c r="BO1" s="688"/>
      <c r="BP1" s="688"/>
      <c r="BQ1" s="688"/>
      <c r="BR1" s="688"/>
      <c r="BS1" s="688"/>
      <c r="BT1" s="688"/>
      <c r="BU1" s="688"/>
      <c r="BV1" s="688"/>
      <c r="BW1" s="688"/>
      <c r="BX1" s="688"/>
      <c r="BY1" s="688"/>
      <c r="BZ1" s="688"/>
      <c r="CA1" s="688"/>
      <c r="CB1" s="688"/>
      <c r="CC1" s="688"/>
      <c r="CD1" s="688"/>
      <c r="CE1" s="688"/>
      <c r="CF1" s="688"/>
      <c r="CG1" s="688"/>
      <c r="CH1" s="688"/>
      <c r="CI1" s="688"/>
      <c r="CJ1" s="688"/>
      <c r="CK1" s="688"/>
      <c r="CL1" s="688"/>
      <c r="CM1" s="688"/>
      <c r="CN1" s="688"/>
      <c r="CO1" s="688"/>
      <c r="CP1" s="688"/>
      <c r="CQ1" s="688"/>
      <c r="CR1" s="688"/>
      <c r="CS1" s="688"/>
      <c r="CT1" s="688"/>
      <c r="CU1" s="688"/>
      <c r="CV1" s="688"/>
      <c r="CW1" s="688"/>
      <c r="CX1" s="688"/>
      <c r="CY1" s="360"/>
      <c r="DR1" s="603"/>
      <c r="DS1" s="603"/>
      <c r="DT1" s="603"/>
      <c r="DW1" s="603"/>
      <c r="DX1" s="603"/>
      <c r="DY1" s="603"/>
      <c r="EB1" s="603"/>
      <c r="EC1" s="603"/>
      <c r="ED1" s="603"/>
      <c r="EH1" s="603"/>
      <c r="EI1" s="603"/>
      <c r="EM1" s="603"/>
      <c r="EN1" s="603"/>
      <c r="ER1" s="603"/>
    </row>
    <row r="2" spans="1:149" s="10" customFormat="1" ht="31">
      <c r="A2" s="690"/>
      <c r="B2" s="704"/>
      <c r="C2" s="10" t="s">
        <v>219</v>
      </c>
      <c r="D2" s="10" t="s">
        <v>214</v>
      </c>
      <c r="E2" s="10" t="s">
        <v>215</v>
      </c>
      <c r="F2" s="355" t="s">
        <v>219</v>
      </c>
      <c r="G2" s="355" t="s">
        <v>214</v>
      </c>
      <c r="H2" s="355" t="s">
        <v>215</v>
      </c>
      <c r="I2" s="10" t="s">
        <v>353</v>
      </c>
      <c r="J2" s="352" t="s">
        <v>219</v>
      </c>
      <c r="K2" s="352" t="s">
        <v>214</v>
      </c>
      <c r="L2" s="352" t="s">
        <v>215</v>
      </c>
      <c r="M2" s="10" t="s">
        <v>353</v>
      </c>
      <c r="N2" s="353" t="s">
        <v>219</v>
      </c>
      <c r="O2" s="353" t="s">
        <v>214</v>
      </c>
      <c r="P2" s="353" t="s">
        <v>215</v>
      </c>
      <c r="Q2" s="10" t="s">
        <v>353</v>
      </c>
      <c r="R2" s="354" t="s">
        <v>219</v>
      </c>
      <c r="S2" s="354" t="s">
        <v>214</v>
      </c>
      <c r="T2" s="354" t="s">
        <v>215</v>
      </c>
      <c r="U2" s="10" t="s">
        <v>353</v>
      </c>
      <c r="V2" s="356" t="s">
        <v>219</v>
      </c>
      <c r="W2" s="356" t="s">
        <v>214</v>
      </c>
      <c r="X2" s="356" t="s">
        <v>215</v>
      </c>
      <c r="Y2" s="10" t="s">
        <v>353</v>
      </c>
      <c r="Z2" s="10" t="s">
        <v>219</v>
      </c>
      <c r="AA2" s="10" t="s">
        <v>214</v>
      </c>
      <c r="AB2" s="10" t="s">
        <v>215</v>
      </c>
      <c r="AC2" s="356" t="s">
        <v>219</v>
      </c>
      <c r="AD2" s="356" t="s">
        <v>214</v>
      </c>
      <c r="AE2" s="356" t="s">
        <v>215</v>
      </c>
      <c r="AF2" s="10" t="s">
        <v>353</v>
      </c>
      <c r="AG2" s="352" t="s">
        <v>219</v>
      </c>
      <c r="AH2" s="352" t="s">
        <v>214</v>
      </c>
      <c r="AI2" s="352" t="s">
        <v>215</v>
      </c>
      <c r="AJ2" s="10" t="s">
        <v>353</v>
      </c>
      <c r="AK2" s="353" t="s">
        <v>219</v>
      </c>
      <c r="AL2" s="353" t="s">
        <v>214</v>
      </c>
      <c r="AM2" s="353" t="s">
        <v>215</v>
      </c>
      <c r="AN2" s="10" t="s">
        <v>353</v>
      </c>
      <c r="AO2" s="354" t="s">
        <v>219</v>
      </c>
      <c r="AP2" s="354" t="s">
        <v>214</v>
      </c>
      <c r="AQ2" s="354" t="s">
        <v>215</v>
      </c>
      <c r="AR2" s="10" t="s">
        <v>353</v>
      </c>
      <c r="AS2" s="357" t="s">
        <v>219</v>
      </c>
      <c r="AT2" s="357" t="s">
        <v>214</v>
      </c>
      <c r="AU2" s="357" t="s">
        <v>215</v>
      </c>
      <c r="AV2" s="10" t="s">
        <v>353</v>
      </c>
      <c r="AW2" s="10" t="s">
        <v>219</v>
      </c>
      <c r="AX2" s="10" t="s">
        <v>214</v>
      </c>
      <c r="AY2" s="10" t="s">
        <v>215</v>
      </c>
      <c r="AZ2" s="10" t="s">
        <v>255</v>
      </c>
      <c r="BA2" s="10" t="s">
        <v>256</v>
      </c>
      <c r="BB2" s="10" t="s">
        <v>257</v>
      </c>
      <c r="BC2" s="10" t="s">
        <v>258</v>
      </c>
      <c r="BG2" s="670"/>
      <c r="BH2" s="670"/>
      <c r="BI2" s="670"/>
      <c r="BJ2" s="670"/>
      <c r="BK2" s="670"/>
      <c r="BL2" s="671"/>
      <c r="BM2" s="670"/>
      <c r="BN2" s="670"/>
      <c r="BO2" s="670"/>
      <c r="BP2" s="670"/>
      <c r="BQ2" s="670"/>
      <c r="BR2" s="670"/>
      <c r="BS2" s="670"/>
      <c r="BT2" s="670"/>
      <c r="BU2" s="670"/>
      <c r="BV2" s="670"/>
      <c r="BW2" s="670"/>
      <c r="BX2" s="670"/>
      <c r="BY2" s="670"/>
      <c r="BZ2" s="670"/>
      <c r="CA2" s="670"/>
      <c r="CB2" s="670"/>
      <c r="CC2" s="670"/>
      <c r="CD2" s="671"/>
      <c r="CE2" s="670"/>
      <c r="CF2" s="670"/>
      <c r="CG2" s="670"/>
      <c r="CH2" s="670"/>
      <c r="CI2" s="670"/>
      <c r="CJ2" s="670"/>
      <c r="CK2" s="670"/>
      <c r="CL2" s="672"/>
      <c r="CM2" s="672"/>
      <c r="CN2" s="670"/>
      <c r="CO2" s="670"/>
      <c r="CP2" s="670"/>
      <c r="CQ2" s="670"/>
      <c r="CR2" s="670"/>
      <c r="CS2" s="670"/>
      <c r="CT2" s="670"/>
      <c r="CU2" s="670"/>
      <c r="CV2" s="670"/>
      <c r="CW2" s="670"/>
      <c r="CX2" s="670"/>
      <c r="CY2" s="670"/>
      <c r="CZ2" s="670"/>
      <c r="DA2" s="670"/>
      <c r="DB2" s="670"/>
      <c r="DC2" s="670"/>
      <c r="DF2" s="374"/>
      <c r="DG2" s="304"/>
      <c r="DH2" s="304"/>
      <c r="DI2" s="374"/>
      <c r="DJ2" s="374"/>
      <c r="DO2" s="670"/>
      <c r="DP2" s="670"/>
      <c r="DQ2" s="670"/>
      <c r="DR2" s="670"/>
      <c r="DS2" s="670"/>
      <c r="DT2" s="670"/>
      <c r="DU2" s="670"/>
      <c r="DV2" s="670"/>
      <c r="DW2" s="670"/>
      <c r="DX2" s="670"/>
      <c r="DY2" s="670"/>
      <c r="DZ2" s="670"/>
      <c r="EA2" s="670"/>
      <c r="EB2" s="670"/>
      <c r="EC2" s="670"/>
      <c r="ED2" s="670"/>
      <c r="EE2" s="670"/>
      <c r="EF2" s="670"/>
      <c r="EG2" s="670"/>
      <c r="EH2" s="670"/>
      <c r="EI2" s="670"/>
      <c r="EJ2" s="670"/>
      <c r="EK2" s="670"/>
      <c r="EL2" s="670"/>
      <c r="EM2" s="658"/>
      <c r="EN2" s="658"/>
      <c r="ER2" s="658"/>
    </row>
    <row r="3" spans="1:149">
      <c r="A3" t="s">
        <v>218</v>
      </c>
      <c r="B3" s="14">
        <v>44463</v>
      </c>
      <c r="C3" s="12">
        <v>-0.4415</v>
      </c>
      <c r="D3" s="12">
        <v>0.60929999999999995</v>
      </c>
      <c r="E3" s="12">
        <v>1.0509999999999999</v>
      </c>
      <c r="F3" s="126">
        <v>5.951E-2</v>
      </c>
      <c r="G3" s="126">
        <v>4.0540000000000003</v>
      </c>
      <c r="H3" s="126">
        <v>3.9950000000000001</v>
      </c>
      <c r="I3" s="12">
        <f t="shared" ref="I3:I17" si="0">F3/$C3</f>
        <v>-0.13479048697621743</v>
      </c>
      <c r="J3" s="51">
        <v>-2.462E-2</v>
      </c>
      <c r="K3" s="51">
        <v>4.0979999999999999</v>
      </c>
      <c r="L3" s="51">
        <v>4.1230000000000002</v>
      </c>
      <c r="M3" s="12">
        <f t="shared" ref="M3:M17" si="1">J3/$C3</f>
        <v>5.5764439411098529E-2</v>
      </c>
      <c r="N3" s="49">
        <v>-7.0400000000000003E-3</v>
      </c>
      <c r="O3" s="49">
        <v>3.3940000000000001</v>
      </c>
      <c r="P3" s="49">
        <v>3.4009999999999998</v>
      </c>
      <c r="Q3" s="12">
        <f t="shared" ref="Q3:Q17" si="2">N3/$C3</f>
        <v>1.5945639864099661E-2</v>
      </c>
      <c r="R3" s="47">
        <v>7.2700000000000001E-2</v>
      </c>
      <c r="S3" s="47">
        <v>4.1479999999999997</v>
      </c>
      <c r="T3" s="47">
        <v>4.0759999999999996</v>
      </c>
      <c r="U3" s="12">
        <f t="shared" ref="U3:U17" si="3">R3/$C3</f>
        <v>-0.16466591166477917</v>
      </c>
      <c r="V3" s="53">
        <v>0.28089999999999998</v>
      </c>
      <c r="W3" s="53">
        <v>4.5060000000000002</v>
      </c>
      <c r="X3" s="53">
        <v>4.226</v>
      </c>
      <c r="Y3" s="12">
        <f t="shared" ref="Y3:Y17" si="4">V3/$C3</f>
        <v>-0.63624009060022646</v>
      </c>
      <c r="Z3" s="12">
        <v>2.9350000000000001</v>
      </c>
      <c r="AA3" s="12">
        <v>47.24</v>
      </c>
      <c r="AB3" s="12">
        <v>33.31</v>
      </c>
      <c r="AC3" s="53">
        <v>6.1580000000000004</v>
      </c>
      <c r="AD3" s="53">
        <v>50.26</v>
      </c>
      <c r="AE3" s="53">
        <v>44.11</v>
      </c>
      <c r="AF3" s="12">
        <f>AC3/$Z3</f>
        <v>2.0981260647359457</v>
      </c>
      <c r="AG3" s="51">
        <v>4.5890000000000004</v>
      </c>
      <c r="AH3" s="51">
        <v>48.68</v>
      </c>
      <c r="AI3" s="51">
        <v>44.09</v>
      </c>
      <c r="AJ3" s="12">
        <f t="shared" ref="AJ3:AJ19" si="5">AG3/$Z3</f>
        <v>1.5635434412265758</v>
      </c>
      <c r="AK3" s="49">
        <v>2.5030000000000001</v>
      </c>
      <c r="AL3" s="49">
        <v>48.45</v>
      </c>
      <c r="AM3" s="49">
        <v>45.95</v>
      </c>
      <c r="AN3" s="12">
        <f t="shared" ref="AN3:AN19" si="6">AK3/$Z3</f>
        <v>0.85281090289608175</v>
      </c>
      <c r="AO3" s="47">
        <v>5.07</v>
      </c>
      <c r="AP3" s="47">
        <v>48.36</v>
      </c>
      <c r="AQ3" s="47">
        <v>43.29</v>
      </c>
      <c r="AR3" s="12">
        <f t="shared" ref="AR3:AR19" si="7">AO3/$Z3</f>
        <v>1.727427597955707</v>
      </c>
      <c r="AS3" s="132"/>
      <c r="AT3" s="132"/>
      <c r="AU3" s="132"/>
      <c r="AV3" s="12"/>
      <c r="AW3" s="12">
        <v>-0.45989999999999998</v>
      </c>
      <c r="AX3" s="12">
        <v>0.28899999999999998</v>
      </c>
      <c r="AY3" s="12">
        <v>0.74890000000000001</v>
      </c>
      <c r="BG3" s="39"/>
      <c r="BH3" s="39"/>
      <c r="BI3" s="68"/>
      <c r="BJ3" s="68"/>
      <c r="BK3" s="68"/>
      <c r="BL3" s="68"/>
      <c r="BM3" s="68"/>
      <c r="BN3" s="68"/>
      <c r="BO3" s="68"/>
      <c r="BP3" s="68"/>
      <c r="BQ3" s="68"/>
      <c r="BR3" s="68"/>
      <c r="BS3" s="68"/>
      <c r="BT3" s="68"/>
      <c r="BU3" s="68"/>
      <c r="BV3" s="68"/>
      <c r="BW3" s="68"/>
      <c r="BX3" s="68"/>
      <c r="BY3" s="68"/>
      <c r="BZ3" s="68"/>
      <c r="CA3" s="68"/>
      <c r="CB3" s="68"/>
      <c r="CC3" s="68"/>
      <c r="CD3" s="673"/>
      <c r="CE3" s="39"/>
      <c r="CF3" s="39"/>
      <c r="CG3" s="68"/>
      <c r="CH3" s="68"/>
      <c r="CI3" s="68"/>
      <c r="CJ3" s="68"/>
      <c r="CK3" s="68"/>
      <c r="CL3" s="68"/>
      <c r="CM3" s="68"/>
      <c r="CN3" s="68"/>
      <c r="CO3" s="68"/>
      <c r="CP3" s="68"/>
      <c r="CQ3" s="68"/>
      <c r="CR3" s="68"/>
      <c r="CS3" s="68"/>
      <c r="CT3" s="68"/>
      <c r="CU3" s="35"/>
      <c r="CV3" s="68"/>
      <c r="CW3" s="35"/>
      <c r="CX3" s="68"/>
      <c r="CY3" s="68"/>
      <c r="CZ3" s="68"/>
      <c r="DA3" s="68"/>
      <c r="DB3" s="68"/>
      <c r="DC3" s="35"/>
      <c r="DG3" s="12"/>
      <c r="DH3" s="12"/>
      <c r="DI3" s="12"/>
      <c r="DJ3" s="12"/>
      <c r="DO3" s="39"/>
      <c r="DP3" s="68"/>
      <c r="DQ3" s="39"/>
      <c r="DR3" s="68"/>
      <c r="DS3" s="68"/>
      <c r="DT3" s="68"/>
      <c r="DU3" s="68"/>
      <c r="DV3" s="39"/>
      <c r="DW3" s="68"/>
      <c r="DX3" s="68"/>
      <c r="DY3" s="68"/>
      <c r="DZ3" s="68"/>
      <c r="EA3" s="39"/>
      <c r="EB3" s="68"/>
      <c r="EC3" s="68"/>
      <c r="ED3" s="68"/>
      <c r="EE3" s="68"/>
      <c r="EF3" s="39"/>
      <c r="EG3" s="68"/>
      <c r="EH3" s="68"/>
      <c r="EI3" s="68"/>
      <c r="EJ3" s="68"/>
      <c r="EK3" s="39"/>
      <c r="EL3" s="68"/>
      <c r="EM3" s="68"/>
      <c r="EN3" s="68"/>
      <c r="EO3" s="12"/>
      <c r="EP3" s="14"/>
      <c r="EQ3" s="12"/>
      <c r="ER3" s="12"/>
      <c r="ES3" s="12"/>
    </row>
    <row r="4" spans="1:149">
      <c r="A4" t="s">
        <v>218</v>
      </c>
      <c r="B4" s="14">
        <v>44466</v>
      </c>
      <c r="C4" s="12">
        <v>2.056</v>
      </c>
      <c r="D4" s="12">
        <v>4.5839999999999996</v>
      </c>
      <c r="E4" s="12">
        <v>2.528</v>
      </c>
      <c r="F4" s="126">
        <v>-0.21299999999999999</v>
      </c>
      <c r="G4" s="126">
        <v>3.5579999999999998</v>
      </c>
      <c r="H4" s="126">
        <v>3.7709999999999999</v>
      </c>
      <c r="I4" s="12">
        <f t="shared" si="0"/>
        <v>-0.10359922178988326</v>
      </c>
      <c r="J4" s="51">
        <v>0.41820000000000002</v>
      </c>
      <c r="K4" s="51">
        <v>5.2489999999999997</v>
      </c>
      <c r="L4" s="51">
        <v>4.83</v>
      </c>
      <c r="M4" s="12">
        <f t="shared" si="1"/>
        <v>0.20340466926070039</v>
      </c>
      <c r="N4" s="49">
        <v>0.84909999999999997</v>
      </c>
      <c r="O4" s="49">
        <v>6.8010000000000002</v>
      </c>
      <c r="P4" s="49">
        <v>5.952</v>
      </c>
      <c r="Q4" s="12">
        <f t="shared" si="2"/>
        <v>0.41298638132295717</v>
      </c>
      <c r="R4" s="47">
        <v>0.441</v>
      </c>
      <c r="S4" s="47">
        <v>5.81</v>
      </c>
      <c r="T4" s="47">
        <v>5.3680000000000003</v>
      </c>
      <c r="U4" s="12">
        <f t="shared" si="3"/>
        <v>0.2144941634241245</v>
      </c>
      <c r="V4" s="53">
        <v>0.78949999999999998</v>
      </c>
      <c r="W4" s="53">
        <v>6.3550000000000004</v>
      </c>
      <c r="X4" s="53">
        <v>5.5650000000000004</v>
      </c>
      <c r="Y4" s="12">
        <f t="shared" si="4"/>
        <v>0.38399805447470814</v>
      </c>
      <c r="Z4" s="12">
        <v>6.0490000000000004</v>
      </c>
      <c r="AA4" s="12">
        <v>51.77</v>
      </c>
      <c r="AB4" s="12">
        <v>45.73</v>
      </c>
      <c r="AC4" s="53">
        <v>7.0750000000000002</v>
      </c>
      <c r="AD4" s="53">
        <v>53.72</v>
      </c>
      <c r="AE4" s="53">
        <v>46.65</v>
      </c>
      <c r="AF4" s="12">
        <f t="shared" ref="AF4:AF32" si="8">AC4/$Z4</f>
        <v>1.1696148123656802</v>
      </c>
      <c r="AG4" s="51">
        <v>5.8639999999999999</v>
      </c>
      <c r="AH4" s="51">
        <v>51.97</v>
      </c>
      <c r="AI4" s="51">
        <v>46.11</v>
      </c>
      <c r="AJ4" s="12">
        <f t="shared" si="5"/>
        <v>0.96941643246817644</v>
      </c>
      <c r="AK4" s="49">
        <v>3.9950000000000001</v>
      </c>
      <c r="AL4" s="49">
        <v>51.06</v>
      </c>
      <c r="AM4" s="49">
        <v>47.06</v>
      </c>
      <c r="AN4" s="12">
        <f t="shared" si="6"/>
        <v>0.66043974210613321</v>
      </c>
      <c r="AO4" s="47">
        <v>3.9820000000000002</v>
      </c>
      <c r="AP4" s="47">
        <v>50.52</v>
      </c>
      <c r="AQ4" s="47">
        <v>46.54</v>
      </c>
      <c r="AR4" s="12">
        <f t="shared" si="7"/>
        <v>0.65829062654984294</v>
      </c>
      <c r="AS4" s="132"/>
      <c r="AT4" s="132"/>
      <c r="AU4" s="132"/>
      <c r="AV4" s="12"/>
      <c r="AW4" s="12">
        <v>-0.32940000000000003</v>
      </c>
      <c r="AX4" s="12">
        <v>0.51170000000000004</v>
      </c>
      <c r="AY4" s="12">
        <v>0.84109999999999996</v>
      </c>
      <c r="BG4" s="39"/>
      <c r="BH4" s="39"/>
      <c r="BI4" s="68"/>
      <c r="BJ4" s="68"/>
      <c r="BK4" s="68"/>
      <c r="BL4" s="68"/>
      <c r="BM4" s="68"/>
      <c r="BN4" s="68"/>
      <c r="BO4" s="68"/>
      <c r="BP4" s="68"/>
      <c r="BQ4" s="68"/>
      <c r="BR4" s="68"/>
      <c r="BS4" s="68"/>
      <c r="BT4" s="68"/>
      <c r="BU4" s="68"/>
      <c r="BV4" s="68"/>
      <c r="BW4" s="68"/>
      <c r="BX4" s="68"/>
      <c r="BY4" s="68"/>
      <c r="BZ4" s="68"/>
      <c r="CA4" s="68"/>
      <c r="CB4" s="68"/>
      <c r="CC4" s="68"/>
      <c r="CD4" s="673"/>
      <c r="CE4" s="39"/>
      <c r="CF4" s="39"/>
      <c r="CG4" s="68"/>
      <c r="CH4" s="68"/>
      <c r="CI4" s="68"/>
      <c r="CJ4" s="68"/>
      <c r="CK4" s="68"/>
      <c r="CL4" s="68"/>
      <c r="CM4" s="68"/>
      <c r="CN4" s="68"/>
      <c r="CO4" s="68"/>
      <c r="CP4" s="68"/>
      <c r="CQ4" s="68"/>
      <c r="CR4" s="68"/>
      <c r="CS4" s="68"/>
      <c r="CT4" s="68"/>
      <c r="CU4" s="35"/>
      <c r="CV4" s="35"/>
      <c r="CW4" s="35"/>
      <c r="CX4" s="68"/>
      <c r="CY4" s="68"/>
      <c r="CZ4" s="68"/>
      <c r="DA4" s="68"/>
      <c r="DB4" s="68"/>
      <c r="DC4" s="35"/>
      <c r="DF4" s="260"/>
      <c r="DG4" s="12"/>
      <c r="DH4" s="12"/>
      <c r="DI4" s="12"/>
      <c r="DJ4" s="12"/>
      <c r="DO4" s="39"/>
      <c r="DP4" s="35"/>
      <c r="DQ4" s="39"/>
      <c r="DR4" s="68"/>
      <c r="DS4" s="68"/>
      <c r="DT4" s="68"/>
      <c r="DU4" s="68"/>
      <c r="DV4" s="39"/>
      <c r="DW4" s="68"/>
      <c r="DX4" s="68"/>
      <c r="DY4" s="68"/>
      <c r="DZ4" s="68"/>
      <c r="EA4" s="39"/>
      <c r="EB4" s="68"/>
      <c r="EC4" s="68"/>
      <c r="ED4" s="68"/>
      <c r="EE4" s="68"/>
      <c r="EF4" s="39"/>
      <c r="EG4" s="68"/>
      <c r="EH4" s="68"/>
      <c r="EI4" s="68"/>
      <c r="EJ4" s="68"/>
      <c r="EK4" s="39"/>
      <c r="EL4" s="68"/>
      <c r="EM4" s="68"/>
      <c r="EN4" s="68"/>
      <c r="EO4" s="12"/>
      <c r="EP4" s="14"/>
      <c r="EQ4" s="12"/>
      <c r="ER4" s="12"/>
      <c r="ES4" s="12"/>
    </row>
    <row r="5" spans="1:149">
      <c r="A5" t="s">
        <v>218</v>
      </c>
      <c r="B5" s="14">
        <v>44467</v>
      </c>
      <c r="C5" s="12">
        <v>1.7110000000000001</v>
      </c>
      <c r="D5" s="12">
        <v>4.2469999999999999</v>
      </c>
      <c r="E5" s="12">
        <v>2.536</v>
      </c>
      <c r="F5" s="126">
        <v>-0.31290000000000001</v>
      </c>
      <c r="G5" s="126">
        <v>3.4569999999999999</v>
      </c>
      <c r="H5" s="126">
        <v>3.77</v>
      </c>
      <c r="I5" s="12">
        <f t="shared" si="0"/>
        <v>-0.18287551139684394</v>
      </c>
      <c r="J5" s="51">
        <v>0.26790000000000003</v>
      </c>
      <c r="K5" s="51">
        <v>5.1959999999999997</v>
      </c>
      <c r="L5" s="51">
        <v>4.9279999999999999</v>
      </c>
      <c r="M5" s="12">
        <f t="shared" si="1"/>
        <v>0.1565751022793688</v>
      </c>
      <c r="N5" s="49">
        <v>0.44169999999999998</v>
      </c>
      <c r="O5" s="49">
        <v>6.1660000000000004</v>
      </c>
      <c r="P5" s="49">
        <v>5.7249999999999996</v>
      </c>
      <c r="Q5" s="12">
        <f t="shared" si="2"/>
        <v>0.25815312682641728</v>
      </c>
      <c r="R5" s="47">
        <v>0.29149999999999998</v>
      </c>
      <c r="S5" s="47">
        <v>5.1840000000000002</v>
      </c>
      <c r="T5" s="47">
        <v>4.8929999999999998</v>
      </c>
      <c r="U5" s="12">
        <f t="shared" si="3"/>
        <v>0.17036820572764463</v>
      </c>
      <c r="V5" s="53">
        <v>1.0229999999999999</v>
      </c>
      <c r="W5" s="53">
        <v>6.6260000000000003</v>
      </c>
      <c r="X5" s="53">
        <v>5.6029999999999998</v>
      </c>
      <c r="Y5" s="12">
        <f t="shared" si="4"/>
        <v>0.5978959672706019</v>
      </c>
      <c r="Z5" s="12">
        <v>5.3209999999999997</v>
      </c>
      <c r="AA5" s="12">
        <v>50.92</v>
      </c>
      <c r="AB5" s="12">
        <v>45.6</v>
      </c>
      <c r="AC5" s="53">
        <v>5.665</v>
      </c>
      <c r="AD5" s="53">
        <v>55.76</v>
      </c>
      <c r="AE5" s="53">
        <v>50.09</v>
      </c>
      <c r="AF5" s="12">
        <f t="shared" si="8"/>
        <v>1.0646495019733133</v>
      </c>
      <c r="AG5" s="51">
        <v>6.0759999999999996</v>
      </c>
      <c r="AH5" s="51">
        <v>53.28</v>
      </c>
      <c r="AI5" s="51">
        <v>47.2</v>
      </c>
      <c r="AJ5" s="12">
        <f t="shared" si="5"/>
        <v>1.1418906220635219</v>
      </c>
      <c r="AK5" s="49">
        <v>4.8280000000000003</v>
      </c>
      <c r="AL5" s="49">
        <v>50.62</v>
      </c>
      <c r="AM5" s="49">
        <v>45.79</v>
      </c>
      <c r="AN5" s="12">
        <f t="shared" si="6"/>
        <v>0.90734824281150173</v>
      </c>
      <c r="AO5" s="47">
        <v>2.3849999999999998</v>
      </c>
      <c r="AP5" s="47">
        <v>49.59</v>
      </c>
      <c r="AQ5" s="47">
        <v>47.21</v>
      </c>
      <c r="AR5" s="12">
        <f t="shared" si="7"/>
        <v>0.44822401804172146</v>
      </c>
      <c r="AS5" s="132"/>
      <c r="AT5" s="132"/>
      <c r="AU5" s="132"/>
      <c r="AV5" s="12"/>
      <c r="AW5" s="12">
        <v>-0.48299999999999998</v>
      </c>
      <c r="AX5" s="12">
        <v>0.46029999999999999</v>
      </c>
      <c r="AY5" s="12">
        <v>0.94340000000000002</v>
      </c>
      <c r="BG5" s="39"/>
      <c r="BH5" s="39"/>
      <c r="BI5" s="68"/>
      <c r="BJ5" s="68"/>
      <c r="BK5" s="68"/>
      <c r="BL5" s="68"/>
      <c r="BM5" s="68"/>
      <c r="BN5" s="68"/>
      <c r="BO5" s="68"/>
      <c r="BP5" s="68"/>
      <c r="BQ5" s="68"/>
      <c r="BR5" s="68"/>
      <c r="BS5" s="68"/>
      <c r="BT5" s="68"/>
      <c r="BU5" s="68"/>
      <c r="BV5" s="68"/>
      <c r="BW5" s="68"/>
      <c r="BX5" s="68"/>
      <c r="BY5" s="68"/>
      <c r="BZ5" s="68"/>
      <c r="CA5" s="68"/>
      <c r="CB5" s="68"/>
      <c r="CC5" s="68"/>
      <c r="CD5" s="673"/>
      <c r="CE5" s="39"/>
      <c r="CF5" s="39"/>
      <c r="CG5" s="68"/>
      <c r="CH5" s="68"/>
      <c r="CI5" s="68"/>
      <c r="CJ5" s="68"/>
      <c r="CK5" s="68"/>
      <c r="CL5" s="68"/>
      <c r="CM5" s="68"/>
      <c r="CN5" s="68"/>
      <c r="CO5" s="68"/>
      <c r="CP5" s="68"/>
      <c r="CQ5" s="68"/>
      <c r="CR5" s="68"/>
      <c r="CS5" s="68"/>
      <c r="CT5" s="68"/>
      <c r="CU5" s="35"/>
      <c r="CV5" s="35"/>
      <c r="CW5" s="35"/>
      <c r="CX5" s="68"/>
      <c r="CY5" s="68"/>
      <c r="CZ5" s="68"/>
      <c r="DA5" s="68"/>
      <c r="DB5" s="68"/>
      <c r="DC5" s="35"/>
      <c r="DG5" s="12"/>
      <c r="DH5" s="12"/>
      <c r="DI5" s="12"/>
      <c r="DJ5" s="12"/>
      <c r="DO5" s="39"/>
      <c r="DP5" s="35"/>
      <c r="DQ5" s="39"/>
      <c r="DR5" s="68"/>
      <c r="DS5" s="68"/>
      <c r="DT5" s="68"/>
      <c r="DU5" s="68"/>
      <c r="DV5" s="39"/>
      <c r="DW5" s="68"/>
      <c r="DX5" s="68"/>
      <c r="DY5" s="68"/>
      <c r="DZ5" s="68"/>
      <c r="EA5" s="39"/>
      <c r="EB5" s="68"/>
      <c r="EC5" s="68"/>
      <c r="ED5" s="68"/>
      <c r="EE5" s="68"/>
      <c r="EF5" s="39"/>
      <c r="EG5" s="68"/>
      <c r="EH5" s="68"/>
      <c r="EI5" s="68"/>
      <c r="EJ5" s="68"/>
      <c r="EK5" s="39"/>
      <c r="EL5" s="68"/>
      <c r="EM5" s="68"/>
      <c r="EN5" s="68"/>
      <c r="EO5" s="12"/>
      <c r="EP5" s="14"/>
      <c r="EQ5" s="12"/>
      <c r="ER5" s="12"/>
      <c r="ES5" s="12"/>
    </row>
    <row r="6" spans="1:149">
      <c r="A6" t="s">
        <v>218</v>
      </c>
      <c r="B6" s="14">
        <v>44468</v>
      </c>
      <c r="C6" s="12">
        <v>1.417</v>
      </c>
      <c r="D6" s="12">
        <v>4.2690000000000001</v>
      </c>
      <c r="E6" s="12">
        <v>2.8519999999999999</v>
      </c>
      <c r="F6" s="126">
        <v>-0.36249999999999999</v>
      </c>
      <c r="G6" s="126">
        <v>3.6349999999999998</v>
      </c>
      <c r="H6" s="126">
        <v>3.9969999999999999</v>
      </c>
      <c r="I6" s="12">
        <f t="shared" si="0"/>
        <v>-0.25582215949188425</v>
      </c>
      <c r="J6" s="51">
        <v>0.46650000000000003</v>
      </c>
      <c r="K6" s="51">
        <v>5.2709999999999999</v>
      </c>
      <c r="L6" s="51">
        <v>4.8049999999999997</v>
      </c>
      <c r="M6" s="12">
        <f t="shared" si="1"/>
        <v>0.32921665490472829</v>
      </c>
      <c r="N6" s="49">
        <v>0.82179999999999997</v>
      </c>
      <c r="O6" s="49">
        <v>6.8220000000000001</v>
      </c>
      <c r="P6" s="49">
        <v>6</v>
      </c>
      <c r="Q6" s="12">
        <f t="shared" si="2"/>
        <v>0.57995765702187718</v>
      </c>
      <c r="R6" s="47">
        <v>0.51329999999999998</v>
      </c>
      <c r="S6" s="47">
        <v>5.7380000000000004</v>
      </c>
      <c r="T6" s="47">
        <v>5.2249999999999996</v>
      </c>
      <c r="U6" s="12">
        <f t="shared" si="3"/>
        <v>0.36224417784050811</v>
      </c>
      <c r="V6" s="53">
        <v>0.91610000000000003</v>
      </c>
      <c r="W6" s="53">
        <v>6.3310000000000004</v>
      </c>
      <c r="X6" s="53">
        <v>5.415</v>
      </c>
      <c r="Y6" s="12">
        <f t="shared" si="4"/>
        <v>0.64650670430486945</v>
      </c>
      <c r="Z6" s="12">
        <v>5.82</v>
      </c>
      <c r="AA6" s="12">
        <v>51.45</v>
      </c>
      <c r="AB6" s="12">
        <v>45.63</v>
      </c>
      <c r="AC6" s="53">
        <v>4.9630000000000001</v>
      </c>
      <c r="AD6" s="53">
        <v>52.07</v>
      </c>
      <c r="AE6" s="53">
        <v>47.11</v>
      </c>
      <c r="AF6" s="12">
        <f t="shared" si="8"/>
        <v>0.85274914089347076</v>
      </c>
      <c r="AG6" s="51">
        <v>3.879</v>
      </c>
      <c r="AH6" s="51">
        <v>51.41</v>
      </c>
      <c r="AI6" s="51">
        <v>47.53</v>
      </c>
      <c r="AJ6" s="12">
        <f t="shared" si="5"/>
        <v>0.66649484536082471</v>
      </c>
      <c r="AK6" s="49">
        <v>3.3679999999999999</v>
      </c>
      <c r="AL6" s="49">
        <v>50.79</v>
      </c>
      <c r="AM6" s="49">
        <v>47.42</v>
      </c>
      <c r="AN6" s="12">
        <f t="shared" si="6"/>
        <v>0.57869415807560132</v>
      </c>
      <c r="AO6" s="47">
        <v>4.2699999999999996</v>
      </c>
      <c r="AP6" s="47">
        <v>51.21</v>
      </c>
      <c r="AQ6" s="47">
        <v>46.93</v>
      </c>
      <c r="AR6" s="12">
        <f t="shared" si="7"/>
        <v>0.73367697594501702</v>
      </c>
      <c r="AS6" s="132"/>
      <c r="AT6" s="132"/>
      <c r="AU6" s="132"/>
      <c r="AV6" s="12"/>
      <c r="AW6" s="12">
        <v>-0.28160000000000002</v>
      </c>
      <c r="AX6" s="12">
        <v>0.54239999999999999</v>
      </c>
      <c r="AY6" s="12">
        <v>0.82399999999999995</v>
      </c>
      <c r="BG6" s="39"/>
      <c r="BH6" s="39"/>
      <c r="BI6" s="68"/>
      <c r="BJ6" s="68"/>
      <c r="BK6" s="68"/>
      <c r="BL6" s="68"/>
      <c r="BM6" s="68"/>
      <c r="BN6" s="68"/>
      <c r="BO6" s="68"/>
      <c r="BP6" s="68"/>
      <c r="BQ6" s="68"/>
      <c r="BR6" s="68"/>
      <c r="BS6" s="68"/>
      <c r="BT6" s="68"/>
      <c r="BU6" s="68"/>
      <c r="BV6" s="68"/>
      <c r="BW6" s="68"/>
      <c r="BX6" s="68"/>
      <c r="BY6" s="68"/>
      <c r="BZ6" s="68"/>
      <c r="CA6" s="68"/>
      <c r="CB6" s="68"/>
      <c r="CC6" s="68"/>
      <c r="CD6" s="673"/>
      <c r="CE6" s="39"/>
      <c r="CF6" s="39"/>
      <c r="CG6" s="68"/>
      <c r="CH6" s="68"/>
      <c r="CI6" s="68"/>
      <c r="CJ6" s="68"/>
      <c r="CK6" s="68"/>
      <c r="CL6" s="68"/>
      <c r="CM6" s="68"/>
      <c r="CN6" s="68"/>
      <c r="CO6" s="68"/>
      <c r="CP6" s="68"/>
      <c r="CQ6" s="68"/>
      <c r="CR6" s="68"/>
      <c r="CS6" s="68"/>
      <c r="CT6" s="68"/>
      <c r="CU6" s="35"/>
      <c r="CV6" s="35"/>
      <c r="CW6" s="35"/>
      <c r="CX6" s="68"/>
      <c r="CY6" s="68"/>
      <c r="CZ6" s="68"/>
      <c r="DA6" s="68"/>
      <c r="DB6" s="68"/>
      <c r="DC6" s="35"/>
      <c r="DG6" s="12"/>
      <c r="DH6" s="12"/>
      <c r="DI6" s="12"/>
      <c r="DJ6" s="12"/>
      <c r="DO6" s="39"/>
      <c r="DP6" s="35"/>
      <c r="DQ6" s="39"/>
      <c r="DR6" s="68"/>
      <c r="DS6" s="68"/>
      <c r="DT6" s="68"/>
      <c r="DU6" s="68"/>
      <c r="DV6" s="39"/>
      <c r="DW6" s="68"/>
      <c r="DX6" s="68"/>
      <c r="DY6" s="68"/>
      <c r="DZ6" s="68"/>
      <c r="EA6" s="39"/>
      <c r="EB6" s="68"/>
      <c r="EC6" s="68"/>
      <c r="ED6" s="68"/>
      <c r="EE6" s="68"/>
      <c r="EF6" s="39"/>
      <c r="EG6" s="68"/>
      <c r="EH6" s="68"/>
      <c r="EI6" s="68"/>
      <c r="EJ6" s="68"/>
      <c r="EK6" s="39"/>
      <c r="EL6" s="68"/>
      <c r="EM6" s="68"/>
      <c r="EN6" s="68"/>
      <c r="EO6" s="12"/>
      <c r="EP6" s="14"/>
      <c r="EQ6" s="12"/>
      <c r="ER6" s="12"/>
      <c r="ES6" s="12"/>
    </row>
    <row r="7" spans="1:149">
      <c r="A7" t="s">
        <v>220</v>
      </c>
      <c r="B7" s="14">
        <v>44470</v>
      </c>
      <c r="C7" s="12">
        <v>3.05</v>
      </c>
      <c r="D7" s="12">
        <v>5.4560000000000004</v>
      </c>
      <c r="E7" s="12">
        <v>2.4049999999999998</v>
      </c>
      <c r="F7" s="126">
        <v>-0.1741</v>
      </c>
      <c r="G7" s="126">
        <v>3.9710000000000001</v>
      </c>
      <c r="H7" s="126">
        <v>4.1449999999999996</v>
      </c>
      <c r="I7" s="12">
        <f t="shared" si="0"/>
        <v>-5.7081967213114759E-2</v>
      </c>
      <c r="J7" s="51">
        <v>0.94379999999999997</v>
      </c>
      <c r="K7" s="51">
        <v>6.0549999999999997</v>
      </c>
      <c r="L7" s="51">
        <v>5.1109999999999998</v>
      </c>
      <c r="M7" s="12">
        <f t="shared" si="1"/>
        <v>0.3094426229508197</v>
      </c>
      <c r="N7" s="49">
        <v>0.57789999999999997</v>
      </c>
      <c r="O7" s="49">
        <v>5.8540000000000001</v>
      </c>
      <c r="P7" s="49">
        <v>5.2759999999999998</v>
      </c>
      <c r="Q7" s="12">
        <f t="shared" si="2"/>
        <v>0.18947540983606556</v>
      </c>
      <c r="R7" s="47">
        <v>0.77429999999999999</v>
      </c>
      <c r="S7" s="47">
        <v>6.0720000000000001</v>
      </c>
      <c r="T7" s="47">
        <v>5.298</v>
      </c>
      <c r="U7" s="12">
        <f t="shared" si="3"/>
        <v>0.25386885245901641</v>
      </c>
      <c r="V7" s="53">
        <v>1.323</v>
      </c>
      <c r="W7" s="53">
        <v>7.0709999999999997</v>
      </c>
      <c r="X7" s="53">
        <v>5.7469999999999999</v>
      </c>
      <c r="Y7" s="12">
        <f t="shared" si="4"/>
        <v>0.4337704918032787</v>
      </c>
      <c r="Z7" s="12">
        <v>8</v>
      </c>
      <c r="AA7" s="12">
        <v>57.01</v>
      </c>
      <c r="AB7" s="12">
        <v>49.01</v>
      </c>
      <c r="AC7" s="53">
        <v>6.5289999999999999</v>
      </c>
      <c r="AD7" s="53">
        <v>57.28</v>
      </c>
      <c r="AE7" s="53">
        <v>50.75</v>
      </c>
      <c r="AF7" s="12">
        <f t="shared" si="8"/>
        <v>0.81612499999999999</v>
      </c>
      <c r="AG7" s="51">
        <v>6.4989999999999997</v>
      </c>
      <c r="AH7" s="51">
        <v>56.18</v>
      </c>
      <c r="AI7" s="51">
        <v>49.69</v>
      </c>
      <c r="AJ7" s="12">
        <f t="shared" si="5"/>
        <v>0.81237499999999996</v>
      </c>
      <c r="AK7" s="49">
        <v>6.3040000000000003</v>
      </c>
      <c r="AL7" s="49">
        <v>55.93</v>
      </c>
      <c r="AM7" s="49">
        <v>49.63</v>
      </c>
      <c r="AN7" s="12">
        <f t="shared" si="6"/>
        <v>0.78800000000000003</v>
      </c>
      <c r="AO7" s="47">
        <v>6.569</v>
      </c>
      <c r="AP7" s="47">
        <v>56.16</v>
      </c>
      <c r="AQ7" s="47">
        <v>49.59</v>
      </c>
      <c r="AR7" s="12">
        <f t="shared" si="7"/>
        <v>0.82112499999999999</v>
      </c>
      <c r="AS7" s="132"/>
      <c r="AT7" s="132"/>
      <c r="AU7" s="132"/>
      <c r="AV7" s="12"/>
      <c r="AW7" s="12">
        <v>-0.19220000000000001</v>
      </c>
      <c r="AX7" s="12">
        <v>0.6623</v>
      </c>
      <c r="AY7" s="12">
        <v>0.85450000000000004</v>
      </c>
      <c r="BG7" s="39"/>
      <c r="BH7" s="39"/>
      <c r="BI7" s="68"/>
      <c r="BJ7" s="68"/>
      <c r="BK7" s="68"/>
      <c r="BL7" s="68"/>
      <c r="BM7" s="68"/>
      <c r="BN7" s="68"/>
      <c r="BO7" s="68"/>
      <c r="BP7" s="68"/>
      <c r="BQ7" s="68"/>
      <c r="BR7" s="68"/>
      <c r="BS7" s="68"/>
      <c r="BT7" s="68"/>
      <c r="BU7" s="68"/>
      <c r="BV7" s="68"/>
      <c r="BW7" s="68"/>
      <c r="BX7" s="68"/>
      <c r="BY7" s="68"/>
      <c r="BZ7" s="68"/>
      <c r="CA7" s="68"/>
      <c r="CB7" s="68"/>
      <c r="CC7" s="68"/>
      <c r="CD7" s="673"/>
      <c r="CE7" s="39"/>
      <c r="CF7" s="39"/>
      <c r="CG7" s="68"/>
      <c r="CH7" s="68"/>
      <c r="CI7" s="68"/>
      <c r="CJ7" s="68"/>
      <c r="CK7" s="68"/>
      <c r="CL7" s="68"/>
      <c r="CM7" s="68"/>
      <c r="CN7" s="68"/>
      <c r="CO7" s="68"/>
      <c r="CP7" s="68"/>
      <c r="CQ7" s="68"/>
      <c r="CR7" s="68"/>
      <c r="CS7" s="68"/>
      <c r="CT7" s="68"/>
      <c r="CU7" s="35"/>
      <c r="CV7" s="35"/>
      <c r="CW7" s="35"/>
      <c r="CX7" s="68"/>
      <c r="CY7" s="68"/>
      <c r="CZ7" s="68"/>
      <c r="DA7" s="68"/>
      <c r="DB7" s="68"/>
      <c r="DC7" s="35"/>
      <c r="DG7" s="12"/>
      <c r="DH7" s="12"/>
      <c r="DI7" s="12"/>
      <c r="DJ7" s="12"/>
      <c r="DO7" s="39"/>
      <c r="DP7" s="35"/>
      <c r="DQ7" s="39"/>
      <c r="DR7" s="68"/>
      <c r="DS7" s="68"/>
      <c r="DT7" s="68"/>
      <c r="DU7" s="68"/>
      <c r="DV7" s="39"/>
      <c r="DW7" s="68"/>
      <c r="DX7" s="68"/>
      <c r="DY7" s="68"/>
      <c r="DZ7" s="68"/>
      <c r="EA7" s="39"/>
      <c r="EB7" s="68"/>
      <c r="EC7" s="68"/>
      <c r="ED7" s="68"/>
      <c r="EE7" s="68"/>
      <c r="EF7" s="39"/>
      <c r="EG7" s="68"/>
      <c r="EH7" s="68"/>
      <c r="EI7" s="68"/>
      <c r="EJ7" s="68"/>
      <c r="EK7" s="39"/>
      <c r="EL7" s="68"/>
      <c r="EM7" s="68"/>
      <c r="EN7" s="68"/>
      <c r="EO7" s="12"/>
      <c r="EP7" s="14"/>
      <c r="EQ7" s="12"/>
      <c r="ER7" s="12"/>
      <c r="ES7" s="12"/>
    </row>
    <row r="8" spans="1:149">
      <c r="A8" t="s">
        <v>220</v>
      </c>
      <c r="B8" s="14">
        <v>44473</v>
      </c>
      <c r="C8" s="12">
        <v>1.9419999999999999</v>
      </c>
      <c r="D8" s="12">
        <v>4.45</v>
      </c>
      <c r="E8" s="12">
        <v>2.508</v>
      </c>
      <c r="F8" s="126">
        <v>-0.16700000000000001</v>
      </c>
      <c r="G8" s="126">
        <v>3.4460000000000002</v>
      </c>
      <c r="H8" s="126">
        <v>3.613</v>
      </c>
      <c r="I8" s="12">
        <f t="shared" si="0"/>
        <v>-8.5993820803295581E-2</v>
      </c>
      <c r="J8" s="51">
        <v>0.90469999999999995</v>
      </c>
      <c r="K8" s="51">
        <v>5.7519999999999998</v>
      </c>
      <c r="L8" s="51">
        <v>4.8470000000000004</v>
      </c>
      <c r="M8" s="12">
        <f t="shared" si="1"/>
        <v>0.46585993820803295</v>
      </c>
      <c r="N8" s="49">
        <v>1.073</v>
      </c>
      <c r="O8" s="49">
        <v>6.29</v>
      </c>
      <c r="P8" s="49">
        <v>5.2169999999999996</v>
      </c>
      <c r="Q8" s="12">
        <f t="shared" si="2"/>
        <v>0.55252317198764156</v>
      </c>
      <c r="R8" s="47">
        <v>1.0009999999999999</v>
      </c>
      <c r="S8" s="47">
        <v>6.3620000000000001</v>
      </c>
      <c r="T8" s="47">
        <v>5.3609999999999998</v>
      </c>
      <c r="U8" s="12">
        <f t="shared" si="3"/>
        <v>0.51544799176107103</v>
      </c>
      <c r="V8" s="53">
        <v>1.7150000000000001</v>
      </c>
      <c r="W8" s="53">
        <v>7.09</v>
      </c>
      <c r="X8" s="53">
        <v>5.3760000000000003</v>
      </c>
      <c r="Y8" s="12">
        <f t="shared" si="4"/>
        <v>0.88311019567456239</v>
      </c>
      <c r="Z8" s="12">
        <v>9.0210000000000008</v>
      </c>
      <c r="AA8" s="12">
        <v>55.35</v>
      </c>
      <c r="AB8" s="12">
        <v>46.32</v>
      </c>
      <c r="AC8" s="53">
        <v>8.0909999999999993</v>
      </c>
      <c r="AD8" s="53">
        <v>57.57</v>
      </c>
      <c r="AE8" s="53">
        <v>49.48</v>
      </c>
      <c r="AF8" s="12">
        <f t="shared" si="8"/>
        <v>0.89690721649484517</v>
      </c>
      <c r="AG8" s="51">
        <v>8.2119999999999997</v>
      </c>
      <c r="AH8" s="51">
        <v>57.2</v>
      </c>
      <c r="AI8" s="51">
        <v>48.99</v>
      </c>
      <c r="AJ8" s="12">
        <f t="shared" si="5"/>
        <v>0.91032036359605351</v>
      </c>
      <c r="AK8" s="49">
        <v>7.0439999999999996</v>
      </c>
      <c r="AL8" s="49">
        <v>56.75</v>
      </c>
      <c r="AM8" s="49">
        <v>49.71</v>
      </c>
      <c r="AN8" s="12">
        <f t="shared" si="6"/>
        <v>0.78084469571000992</v>
      </c>
      <c r="AO8" s="47">
        <v>6.9989999999999997</v>
      </c>
      <c r="AP8" s="47">
        <v>56.9</v>
      </c>
      <c r="AQ8" s="47">
        <v>49.9</v>
      </c>
      <c r="AR8" s="12">
        <f t="shared" si="7"/>
        <v>0.77585633521782493</v>
      </c>
      <c r="AS8" s="132"/>
      <c r="AT8" s="132"/>
      <c r="AU8" s="132"/>
      <c r="AV8" s="12"/>
      <c r="BG8" s="39"/>
      <c r="BH8" s="39"/>
      <c r="BI8" s="68"/>
      <c r="BJ8" s="68"/>
      <c r="BK8" s="68"/>
      <c r="BL8" s="68"/>
      <c r="BM8" s="68"/>
      <c r="BN8" s="68"/>
      <c r="BO8" s="68"/>
      <c r="BP8" s="68"/>
      <c r="BQ8" s="68"/>
      <c r="BR8" s="68"/>
      <c r="BS8" s="68"/>
      <c r="BT8" s="68"/>
      <c r="BU8" s="68"/>
      <c r="BV8" s="68"/>
      <c r="BW8" s="68"/>
      <c r="BX8" s="68"/>
      <c r="BY8" s="68"/>
      <c r="BZ8" s="68"/>
      <c r="CA8" s="68"/>
      <c r="CB8" s="68"/>
      <c r="CC8" s="68"/>
      <c r="CD8" s="673"/>
      <c r="CE8" s="39"/>
      <c r="CF8" s="39"/>
      <c r="CG8" s="68"/>
      <c r="CH8" s="68"/>
      <c r="CI8" s="68"/>
      <c r="CJ8" s="68"/>
      <c r="CK8" s="68"/>
      <c r="CL8" s="68"/>
      <c r="CM8" s="68"/>
      <c r="CN8" s="68"/>
      <c r="CO8" s="68"/>
      <c r="CP8" s="68"/>
      <c r="CQ8" s="68"/>
      <c r="CR8" s="68"/>
      <c r="CS8" s="68"/>
      <c r="CT8" s="68"/>
      <c r="CU8" s="35"/>
      <c r="CV8" s="35"/>
      <c r="CW8" s="35"/>
      <c r="CX8" s="68"/>
      <c r="CY8" s="68"/>
      <c r="CZ8" s="68"/>
      <c r="DA8" s="68"/>
      <c r="DB8" s="68"/>
      <c r="DC8" s="35"/>
      <c r="DG8" s="12"/>
      <c r="DH8" s="12"/>
      <c r="DI8" s="12"/>
      <c r="DJ8" s="12"/>
      <c r="DO8" s="39"/>
      <c r="DP8" s="35"/>
      <c r="DQ8" s="39"/>
      <c r="DR8" s="68"/>
      <c r="DS8" s="68"/>
      <c r="DT8" s="68"/>
      <c r="DU8" s="68"/>
      <c r="DV8" s="39"/>
      <c r="DW8" s="68"/>
      <c r="DX8" s="68"/>
      <c r="DY8" s="68"/>
      <c r="DZ8" s="68"/>
      <c r="EA8" s="39"/>
      <c r="EB8" s="68"/>
      <c r="EC8" s="68"/>
      <c r="ED8" s="68"/>
      <c r="EE8" s="68"/>
      <c r="EF8" s="39"/>
      <c r="EG8" s="68"/>
      <c r="EH8" s="68"/>
      <c r="EI8" s="68"/>
      <c r="EJ8" s="68"/>
      <c r="EK8" s="39"/>
      <c r="EL8" s="68"/>
      <c r="EM8" s="68"/>
      <c r="EN8" s="68"/>
      <c r="EO8" s="12"/>
    </row>
    <row r="9" spans="1:149">
      <c r="A9" t="s">
        <v>220</v>
      </c>
      <c r="B9" s="14">
        <v>44475</v>
      </c>
      <c r="C9" s="12">
        <v>1.869</v>
      </c>
      <c r="D9" s="12">
        <v>4.1269999999999998</v>
      </c>
      <c r="E9" s="12">
        <v>2.2570000000000001</v>
      </c>
      <c r="F9" s="126">
        <v>-8.4970000000000004E-2</v>
      </c>
      <c r="G9" s="126">
        <v>4.0890000000000004</v>
      </c>
      <c r="H9" s="126">
        <v>4.1740000000000004</v>
      </c>
      <c r="I9" s="12">
        <f t="shared" si="0"/>
        <v>-4.5462814339218838E-2</v>
      </c>
      <c r="J9" s="51">
        <v>1.0669999999999999</v>
      </c>
      <c r="K9" s="51">
        <v>6.0430000000000001</v>
      </c>
      <c r="L9" s="51">
        <v>4.97</v>
      </c>
      <c r="M9" s="12">
        <f t="shared" si="1"/>
        <v>0.57089352594970566</v>
      </c>
      <c r="N9" s="49">
        <v>0.95179999999999998</v>
      </c>
      <c r="O9" s="49">
        <v>6.2709999999999999</v>
      </c>
      <c r="P9" s="49">
        <v>5.319</v>
      </c>
      <c r="Q9" s="12">
        <f t="shared" si="2"/>
        <v>0.50925628678437662</v>
      </c>
      <c r="R9" s="47">
        <v>1.153</v>
      </c>
      <c r="S9" s="47">
        <v>6.3940000000000001</v>
      </c>
      <c r="T9" s="47">
        <v>5.24</v>
      </c>
      <c r="U9" s="12">
        <f t="shared" si="3"/>
        <v>0.61690743713215623</v>
      </c>
      <c r="V9" s="53">
        <v>1.6919999999999999</v>
      </c>
      <c r="W9" s="53">
        <v>7.141</v>
      </c>
      <c r="X9" s="53">
        <v>5.4480000000000004</v>
      </c>
      <c r="Y9" s="12">
        <f t="shared" si="4"/>
        <v>0.90529695024077039</v>
      </c>
      <c r="Z9" s="12">
        <v>9.4849999999999994</v>
      </c>
      <c r="AA9" s="12">
        <v>57.83</v>
      </c>
      <c r="AB9" s="12">
        <v>48.34</v>
      </c>
      <c r="AC9" s="53">
        <v>9.0530000000000008</v>
      </c>
      <c r="AD9" s="53">
        <v>59.53</v>
      </c>
      <c r="AE9" s="53">
        <v>50.48</v>
      </c>
      <c r="AF9" s="12">
        <f t="shared" si="8"/>
        <v>0.95445440168687412</v>
      </c>
      <c r="AG9" s="51">
        <v>6.8620000000000001</v>
      </c>
      <c r="AH9" s="51">
        <v>58.08</v>
      </c>
      <c r="AI9" s="51">
        <v>51.22</v>
      </c>
      <c r="AJ9" s="12">
        <f t="shared" si="5"/>
        <v>0.7234580917237744</v>
      </c>
      <c r="AK9" s="49">
        <v>8.1809999999999992</v>
      </c>
      <c r="AL9" s="49">
        <v>58.32</v>
      </c>
      <c r="AM9" s="49">
        <v>50.14</v>
      </c>
      <c r="AN9" s="12">
        <f t="shared" si="6"/>
        <v>0.86251976805482333</v>
      </c>
      <c r="AO9" s="47">
        <v>8.2469999999999999</v>
      </c>
      <c r="AP9" s="47">
        <v>58.45</v>
      </c>
      <c r="AQ9" s="47">
        <v>50.2</v>
      </c>
      <c r="AR9" s="12">
        <f t="shared" si="7"/>
        <v>0.86947812335266217</v>
      </c>
      <c r="AS9" s="132"/>
      <c r="AT9" s="132"/>
      <c r="AU9" s="132"/>
      <c r="AV9" s="12"/>
      <c r="BG9" s="39"/>
      <c r="BH9" s="39"/>
      <c r="BI9" s="68"/>
      <c r="BJ9" s="68"/>
      <c r="BK9" s="68"/>
      <c r="BL9" s="68"/>
      <c r="BM9" s="68"/>
      <c r="BN9" s="68"/>
      <c r="BO9" s="68"/>
      <c r="BP9" s="68"/>
      <c r="BQ9" s="68"/>
      <c r="BR9" s="68"/>
      <c r="BS9" s="68"/>
      <c r="BT9" s="68"/>
      <c r="BU9" s="68"/>
      <c r="BV9" s="68"/>
      <c r="BW9" s="68"/>
      <c r="BX9" s="68"/>
      <c r="BY9" s="68"/>
      <c r="BZ9" s="68"/>
      <c r="CA9" s="68"/>
      <c r="CB9" s="68"/>
      <c r="CC9" s="68"/>
      <c r="CD9" s="673"/>
      <c r="CE9" s="39"/>
      <c r="CF9" s="39"/>
      <c r="CG9" s="68"/>
      <c r="CH9" s="68"/>
      <c r="CI9" s="68"/>
      <c r="CJ9" s="68"/>
      <c r="CK9" s="68"/>
      <c r="CL9" s="68"/>
      <c r="CM9" s="68"/>
      <c r="CN9" s="68"/>
      <c r="CO9" s="68"/>
      <c r="CP9" s="68"/>
      <c r="CQ9" s="68"/>
      <c r="CR9" s="68"/>
      <c r="CS9" s="68"/>
      <c r="CT9" s="68"/>
      <c r="CU9" s="35"/>
      <c r="CV9" s="35"/>
      <c r="CW9" s="35"/>
      <c r="CX9" s="68"/>
      <c r="CY9" s="68"/>
      <c r="CZ9" s="68"/>
      <c r="DA9" s="68"/>
      <c r="DB9" s="68"/>
      <c r="DC9" s="35"/>
      <c r="DG9" s="12"/>
      <c r="DH9" s="12"/>
      <c r="DI9" s="12"/>
      <c r="DJ9" s="12"/>
      <c r="DO9" s="39"/>
      <c r="DP9" s="68"/>
      <c r="DQ9" s="39"/>
      <c r="DR9" s="68"/>
      <c r="DS9" s="68"/>
      <c r="DT9" s="68"/>
      <c r="DU9" s="68"/>
      <c r="DV9" s="39"/>
      <c r="DW9" s="68"/>
      <c r="DX9" s="68"/>
      <c r="DY9" s="68"/>
      <c r="DZ9" s="68"/>
      <c r="EA9" s="39"/>
      <c r="EB9" s="68"/>
      <c r="EC9" s="68"/>
      <c r="ED9" s="68"/>
      <c r="EE9" s="68"/>
      <c r="EF9" s="39"/>
      <c r="EG9" s="68"/>
      <c r="EH9" s="68"/>
      <c r="EI9" s="68"/>
      <c r="EJ9" s="68"/>
      <c r="EK9" s="39"/>
      <c r="EL9" s="68"/>
      <c r="EM9" s="68"/>
      <c r="EN9" s="68"/>
      <c r="EO9" s="12"/>
      <c r="ES9" s="12"/>
    </row>
    <row r="10" spans="1:149">
      <c r="A10" t="s">
        <v>220</v>
      </c>
      <c r="B10" s="14">
        <v>44477</v>
      </c>
      <c r="C10" s="12">
        <v>1.806</v>
      </c>
      <c r="D10" s="12">
        <v>4.28</v>
      </c>
      <c r="E10" s="12">
        <v>2.4740000000000002</v>
      </c>
      <c r="F10" s="126">
        <v>-0.54239999999999999</v>
      </c>
      <c r="G10" s="126">
        <v>4.41</v>
      </c>
      <c r="H10" s="126">
        <v>4.9530000000000003</v>
      </c>
      <c r="I10" s="12">
        <f t="shared" si="0"/>
        <v>-0.30033222591362124</v>
      </c>
      <c r="J10" s="51">
        <v>1.4330000000000001</v>
      </c>
      <c r="K10" s="51">
        <v>6.9219999999999997</v>
      </c>
      <c r="L10" s="51">
        <v>5.4880000000000004</v>
      </c>
      <c r="M10" s="12">
        <f t="shared" si="1"/>
        <v>0.79346622369878184</v>
      </c>
      <c r="N10" s="49">
        <v>1.052</v>
      </c>
      <c r="O10" s="49">
        <v>6.5940000000000003</v>
      </c>
      <c r="P10" s="49">
        <v>5.5419999999999998</v>
      </c>
      <c r="Q10" s="12">
        <f t="shared" si="2"/>
        <v>0.58250276854928018</v>
      </c>
      <c r="R10" s="47">
        <v>1.1859999999999999</v>
      </c>
      <c r="S10" s="47">
        <v>6.9089999999999998</v>
      </c>
      <c r="T10" s="47">
        <v>5.7240000000000002</v>
      </c>
      <c r="U10" s="12">
        <f t="shared" si="3"/>
        <v>0.65669988925802869</v>
      </c>
      <c r="V10" s="53">
        <v>1.331</v>
      </c>
      <c r="W10" s="53">
        <v>7.5250000000000004</v>
      </c>
      <c r="X10" s="53">
        <v>6.194</v>
      </c>
      <c r="Y10" s="12">
        <f t="shared" si="4"/>
        <v>0.73698781838316718</v>
      </c>
      <c r="Z10" s="12">
        <v>8.4600000000000009</v>
      </c>
      <c r="AA10" s="12">
        <v>55.08</v>
      </c>
      <c r="AB10" s="12">
        <v>46.62</v>
      </c>
      <c r="AC10" s="53">
        <v>7.4269999999999996</v>
      </c>
      <c r="AD10" s="53">
        <v>56.53</v>
      </c>
      <c r="AE10" s="53">
        <v>49.1</v>
      </c>
      <c r="AF10" s="12">
        <f t="shared" si="8"/>
        <v>0.87789598108747036</v>
      </c>
      <c r="AG10" s="51">
        <v>5.859</v>
      </c>
      <c r="AH10" s="51">
        <v>54.33</v>
      </c>
      <c r="AI10" s="51">
        <v>48.47</v>
      </c>
      <c r="AJ10" s="12">
        <f t="shared" si="5"/>
        <v>0.69255319148936167</v>
      </c>
      <c r="AK10" s="49">
        <v>5.6550000000000002</v>
      </c>
      <c r="AL10" s="49">
        <v>54.2</v>
      </c>
      <c r="AM10" s="49">
        <v>48.54</v>
      </c>
      <c r="AN10" s="12">
        <f t="shared" si="6"/>
        <v>0.66843971631205668</v>
      </c>
      <c r="AO10" s="47">
        <v>5.1260000000000003</v>
      </c>
      <c r="AP10" s="47">
        <v>53.93</v>
      </c>
      <c r="AQ10" s="47">
        <v>48.8</v>
      </c>
      <c r="AR10" s="12">
        <f t="shared" si="7"/>
        <v>0.6059101654846335</v>
      </c>
      <c r="AS10" s="132"/>
      <c r="AT10" s="132"/>
      <c r="AU10" s="132"/>
      <c r="AV10" s="12"/>
      <c r="BG10" s="39"/>
      <c r="BH10" s="39"/>
      <c r="BI10" s="68"/>
      <c r="BJ10" s="68"/>
      <c r="BK10" s="68"/>
      <c r="BL10" s="68"/>
      <c r="BM10" s="68"/>
      <c r="BN10" s="68"/>
      <c r="BO10" s="68"/>
      <c r="BP10" s="68"/>
      <c r="BQ10" s="68"/>
      <c r="BR10" s="68"/>
      <c r="BS10" s="68"/>
      <c r="BT10" s="68"/>
      <c r="BU10" s="68"/>
      <c r="BV10" s="68"/>
      <c r="BW10" s="68"/>
      <c r="BX10" s="68"/>
      <c r="BY10" s="68"/>
      <c r="BZ10" s="68"/>
      <c r="CA10" s="68"/>
      <c r="CB10" s="68"/>
      <c r="CC10" s="68"/>
      <c r="CD10" s="673"/>
      <c r="CE10" s="39"/>
      <c r="CF10" s="39"/>
      <c r="CG10" s="68"/>
      <c r="CH10" s="68"/>
      <c r="CI10" s="68"/>
      <c r="CJ10" s="68"/>
      <c r="CK10" s="68"/>
      <c r="CL10" s="68"/>
      <c r="CM10" s="68"/>
      <c r="CN10" s="68"/>
      <c r="CO10" s="68"/>
      <c r="CP10" s="68"/>
      <c r="CQ10" s="68"/>
      <c r="CR10" s="68"/>
      <c r="CS10" s="68"/>
      <c r="CT10" s="68"/>
      <c r="CU10" s="35"/>
      <c r="CV10" s="35"/>
      <c r="CW10" s="35"/>
      <c r="CX10" s="68"/>
      <c r="CY10" s="68"/>
      <c r="CZ10" s="68"/>
      <c r="DA10" s="68"/>
      <c r="DB10" s="68"/>
      <c r="DC10" s="35"/>
      <c r="DG10" s="12"/>
      <c r="DH10" s="12"/>
      <c r="DI10" s="12"/>
      <c r="DJ10" s="12"/>
      <c r="DO10" s="39"/>
      <c r="DP10" s="68"/>
      <c r="DQ10" s="39"/>
      <c r="DR10" s="68"/>
      <c r="DS10" s="68"/>
      <c r="DT10" s="68"/>
      <c r="DU10" s="68"/>
      <c r="DV10" s="39"/>
      <c r="DW10" s="68"/>
      <c r="DX10" s="68"/>
      <c r="DY10" s="68"/>
      <c r="DZ10" s="68"/>
      <c r="EA10" s="39"/>
      <c r="EB10" s="68"/>
      <c r="EC10" s="68"/>
      <c r="ED10" s="68"/>
      <c r="EE10" s="68"/>
      <c r="EF10" s="39"/>
      <c r="EG10" s="68"/>
      <c r="EH10" s="68"/>
      <c r="EI10" s="68"/>
      <c r="EJ10" s="68"/>
      <c r="EK10" s="39"/>
      <c r="EL10" s="68"/>
      <c r="EM10" s="68"/>
      <c r="EN10" s="68"/>
      <c r="EO10" s="12"/>
    </row>
    <row r="11" spans="1:149">
      <c r="A11" t="s">
        <v>220</v>
      </c>
      <c r="B11" s="14">
        <v>44480</v>
      </c>
      <c r="C11" s="12">
        <v>2.4689999999999999</v>
      </c>
      <c r="D11" s="12">
        <v>5.2030000000000003</v>
      </c>
      <c r="E11" s="12">
        <v>2.734</v>
      </c>
      <c r="F11" s="126">
        <v>-2.588E-2</v>
      </c>
      <c r="G11" s="126">
        <v>4.7720000000000002</v>
      </c>
      <c r="H11" s="126">
        <v>4.798</v>
      </c>
      <c r="I11" s="12">
        <f t="shared" si="0"/>
        <v>-1.0481976508707979E-2</v>
      </c>
      <c r="J11" s="51">
        <v>1.35</v>
      </c>
      <c r="K11" s="51">
        <v>6.9530000000000003</v>
      </c>
      <c r="L11" s="51">
        <v>5.6029999999999998</v>
      </c>
      <c r="M11" s="12">
        <f t="shared" si="1"/>
        <v>0.54678007290400976</v>
      </c>
      <c r="N11" s="49">
        <v>1.2230000000000001</v>
      </c>
      <c r="O11" s="49">
        <v>7.0179999999999998</v>
      </c>
      <c r="P11" s="49">
        <v>5.7960000000000003</v>
      </c>
      <c r="Q11" s="12">
        <f t="shared" si="2"/>
        <v>0.49534224382341036</v>
      </c>
      <c r="R11" s="47">
        <v>1.4810000000000001</v>
      </c>
      <c r="S11" s="47">
        <v>7.1420000000000003</v>
      </c>
      <c r="T11" s="47">
        <v>5.6609999999999996</v>
      </c>
      <c r="U11" s="12">
        <f t="shared" si="3"/>
        <v>0.59983799108950997</v>
      </c>
      <c r="V11" s="53">
        <v>1.766</v>
      </c>
      <c r="W11" s="53">
        <v>8.0250000000000004</v>
      </c>
      <c r="X11" s="53">
        <v>6.2590000000000003</v>
      </c>
      <c r="Y11" s="12">
        <f t="shared" si="4"/>
        <v>0.71526933981368979</v>
      </c>
      <c r="Z11" s="12">
        <v>6.915</v>
      </c>
      <c r="AA11" s="12">
        <v>53.43</v>
      </c>
      <c r="AB11" s="12">
        <v>46.52</v>
      </c>
      <c r="AC11" s="53">
        <v>6.6550000000000002</v>
      </c>
      <c r="AD11" s="53">
        <v>55.22</v>
      </c>
      <c r="AE11" s="53">
        <v>48.56</v>
      </c>
      <c r="AF11" s="12">
        <f t="shared" si="8"/>
        <v>0.96240057845263927</v>
      </c>
      <c r="AG11" s="51">
        <v>6.2039999999999997</v>
      </c>
      <c r="AH11" s="51">
        <v>54.06</v>
      </c>
      <c r="AI11" s="51">
        <v>47.86</v>
      </c>
      <c r="AJ11" s="12">
        <f t="shared" si="5"/>
        <v>0.89718004338394786</v>
      </c>
      <c r="AK11" s="49">
        <v>5.4989999999999997</v>
      </c>
      <c r="AL11" s="49">
        <v>54.06</v>
      </c>
      <c r="AM11" s="49">
        <v>48.56</v>
      </c>
      <c r="AN11" s="12">
        <f t="shared" si="6"/>
        <v>0.79522776572668108</v>
      </c>
      <c r="AO11" s="47">
        <v>5.4020000000000001</v>
      </c>
      <c r="AP11" s="47">
        <v>53.94</v>
      </c>
      <c r="AQ11" s="47">
        <v>48.54</v>
      </c>
      <c r="AR11" s="12">
        <f t="shared" si="7"/>
        <v>0.78120028922631957</v>
      </c>
      <c r="AS11" s="132"/>
      <c r="AT11" s="132"/>
      <c r="AU11" s="132"/>
      <c r="AV11" s="12"/>
      <c r="BG11" s="39"/>
      <c r="BH11" s="39"/>
      <c r="BI11" s="68"/>
      <c r="BJ11" s="68"/>
      <c r="BK11" s="68"/>
      <c r="BL11" s="68"/>
      <c r="BM11" s="68"/>
      <c r="BN11" s="68"/>
      <c r="BO11" s="68"/>
      <c r="BP11" s="68"/>
      <c r="BQ11" s="68"/>
      <c r="BR11" s="68"/>
      <c r="BS11" s="68"/>
      <c r="BT11" s="68"/>
      <c r="BU11" s="68"/>
      <c r="BV11" s="68"/>
      <c r="BW11" s="68"/>
      <c r="BX11" s="68"/>
      <c r="BY11" s="68"/>
      <c r="BZ11" s="68"/>
      <c r="CA11" s="68"/>
      <c r="CB11" s="68"/>
      <c r="CC11" s="68"/>
      <c r="CD11" s="673"/>
      <c r="CE11" s="39"/>
      <c r="CF11" s="39"/>
      <c r="CG11" s="68"/>
      <c r="CH11" s="68"/>
      <c r="CI11" s="68"/>
      <c r="CJ11" s="68"/>
      <c r="CK11" s="68"/>
      <c r="CL11" s="68"/>
      <c r="CM11" s="68"/>
      <c r="CN11" s="68"/>
      <c r="CO11" s="68"/>
      <c r="CP11" s="68"/>
      <c r="CQ11" s="68"/>
      <c r="CR11" s="68"/>
      <c r="CS11" s="68"/>
      <c r="CT11" s="68"/>
      <c r="CU11" s="35"/>
      <c r="CV11" s="35"/>
      <c r="CW11" s="35"/>
      <c r="CX11" s="68"/>
      <c r="CY11" s="68"/>
      <c r="CZ11" s="68"/>
      <c r="DA11" s="68"/>
      <c r="DB11" s="68"/>
      <c r="DC11" s="35"/>
      <c r="DG11" s="12"/>
      <c r="DH11" s="12"/>
      <c r="DI11" s="12"/>
      <c r="DJ11" s="12"/>
      <c r="DO11" s="39"/>
      <c r="DP11" s="68"/>
      <c r="DQ11" s="39"/>
      <c r="DR11" s="68"/>
      <c r="DS11" s="68"/>
      <c r="DT11" s="68"/>
      <c r="DU11" s="68"/>
      <c r="DV11" s="39"/>
      <c r="DW11" s="68"/>
      <c r="DX11" s="68"/>
      <c r="DY11" s="68"/>
      <c r="DZ11" s="68"/>
      <c r="EA11" s="39"/>
      <c r="EB11" s="68"/>
      <c r="EC11" s="68"/>
      <c r="ED11" s="68"/>
      <c r="EE11" s="68"/>
      <c r="EF11" s="39"/>
      <c r="EG11" s="68"/>
      <c r="EH11" s="68"/>
      <c r="EI11" s="68"/>
      <c r="EJ11" s="68"/>
      <c r="EK11" s="39"/>
      <c r="EL11" s="68"/>
      <c r="EM11" s="68"/>
      <c r="EN11" s="68"/>
      <c r="EO11" s="12"/>
    </row>
    <row r="12" spans="1:149">
      <c r="A12" t="s">
        <v>220</v>
      </c>
      <c r="B12" s="14">
        <v>44482</v>
      </c>
      <c r="C12" s="12">
        <v>1.952</v>
      </c>
      <c r="D12" s="12">
        <v>5.048</v>
      </c>
      <c r="E12" s="12">
        <v>3.097</v>
      </c>
      <c r="F12" s="126">
        <v>0.14480000000000001</v>
      </c>
      <c r="G12" s="126">
        <v>5.43</v>
      </c>
      <c r="H12" s="126">
        <v>5.2850000000000001</v>
      </c>
      <c r="I12" s="12">
        <f t="shared" si="0"/>
        <v>7.4180327868852466E-2</v>
      </c>
      <c r="J12" s="51">
        <v>1.131</v>
      </c>
      <c r="K12" s="51">
        <v>7.6219999999999999</v>
      </c>
      <c r="L12" s="51">
        <v>6.4909999999999997</v>
      </c>
      <c r="M12" s="12">
        <f t="shared" si="1"/>
        <v>0.5794057377049181</v>
      </c>
      <c r="N12" s="49">
        <v>1.0009999999999999</v>
      </c>
      <c r="O12" s="49">
        <v>8.1329999999999991</v>
      </c>
      <c r="P12" s="49">
        <v>7.1310000000000002</v>
      </c>
      <c r="Q12" s="12">
        <f t="shared" si="2"/>
        <v>0.51280737704918034</v>
      </c>
      <c r="R12" s="47">
        <v>1.2809999999999999</v>
      </c>
      <c r="S12" s="47">
        <v>7.4160000000000004</v>
      </c>
      <c r="T12" s="47">
        <v>6.1340000000000003</v>
      </c>
      <c r="U12" s="12">
        <f t="shared" si="3"/>
        <v>0.65625</v>
      </c>
      <c r="V12" s="53">
        <v>1.5720000000000001</v>
      </c>
      <c r="W12" s="53">
        <v>8.5950000000000006</v>
      </c>
      <c r="X12" s="53">
        <v>7.0229999999999997</v>
      </c>
      <c r="Y12" s="12">
        <f t="shared" si="4"/>
        <v>0.80532786885245911</v>
      </c>
      <c r="Z12" s="12">
        <v>6.9489999999999998</v>
      </c>
      <c r="AA12" s="12">
        <v>43.84</v>
      </c>
      <c r="AB12" s="12">
        <v>36.89</v>
      </c>
      <c r="AC12" s="53">
        <v>5.2720000000000002</v>
      </c>
      <c r="AD12" s="53">
        <v>45.93</v>
      </c>
      <c r="AE12" s="53">
        <v>40.659999999999997</v>
      </c>
      <c r="AF12" s="12">
        <f t="shared" si="8"/>
        <v>0.75867031227514758</v>
      </c>
      <c r="AG12" s="51">
        <v>5.7140000000000004</v>
      </c>
      <c r="AH12" s="51">
        <v>45.47</v>
      </c>
      <c r="AI12" s="51">
        <v>39.76</v>
      </c>
      <c r="AJ12" s="12">
        <f t="shared" si="5"/>
        <v>0.8222765865592172</v>
      </c>
      <c r="AK12" s="49">
        <v>6.649</v>
      </c>
      <c r="AL12" s="49">
        <v>46.92</v>
      </c>
      <c r="AM12" s="49">
        <v>40.270000000000003</v>
      </c>
      <c r="AN12" s="12">
        <f t="shared" si="6"/>
        <v>0.95682832062167222</v>
      </c>
      <c r="AO12" s="47">
        <v>8.9350000000000005</v>
      </c>
      <c r="AP12" s="47">
        <v>47.3</v>
      </c>
      <c r="AQ12" s="47">
        <v>38.36</v>
      </c>
      <c r="AR12" s="12">
        <f t="shared" si="7"/>
        <v>1.2857965174845303</v>
      </c>
      <c r="AS12" s="132"/>
      <c r="AT12" s="132"/>
      <c r="AU12" s="132"/>
      <c r="AV12" s="12"/>
      <c r="BG12" s="39"/>
      <c r="BH12" s="39"/>
      <c r="BI12" s="68"/>
      <c r="BJ12" s="68"/>
      <c r="BK12" s="68"/>
      <c r="BL12" s="68"/>
      <c r="BM12" s="68"/>
      <c r="BN12" s="68"/>
      <c r="BO12" s="68"/>
      <c r="BP12" s="68"/>
      <c r="BQ12" s="68"/>
      <c r="BR12" s="68"/>
      <c r="BS12" s="68"/>
      <c r="BT12" s="68"/>
      <c r="BU12" s="68"/>
      <c r="BV12" s="68"/>
      <c r="BW12" s="68"/>
      <c r="BX12" s="68"/>
      <c r="BY12" s="68"/>
      <c r="BZ12" s="68"/>
      <c r="CA12" s="68"/>
      <c r="CB12" s="68"/>
      <c r="CC12" s="68"/>
      <c r="CD12" s="673"/>
      <c r="CE12" s="39"/>
      <c r="CF12" s="39"/>
      <c r="CG12" s="68"/>
      <c r="CH12" s="68"/>
      <c r="CI12" s="68"/>
      <c r="CJ12" s="68"/>
      <c r="CK12" s="68"/>
      <c r="CL12" s="68"/>
      <c r="CM12" s="68"/>
      <c r="CN12" s="68"/>
      <c r="CO12" s="68"/>
      <c r="CP12" s="68"/>
      <c r="CQ12" s="68"/>
      <c r="CR12" s="68"/>
      <c r="CS12" s="68"/>
      <c r="CT12" s="68"/>
      <c r="CU12" s="35"/>
      <c r="CV12" s="35"/>
      <c r="CW12" s="35"/>
      <c r="CX12" s="68"/>
      <c r="CY12" s="68"/>
      <c r="CZ12" s="68"/>
      <c r="DA12" s="68"/>
      <c r="DB12" s="68"/>
      <c r="DC12" s="35"/>
      <c r="DG12" s="12"/>
      <c r="DH12" s="12"/>
      <c r="DO12" s="39"/>
      <c r="DP12" s="68"/>
      <c r="DQ12" s="39"/>
      <c r="DR12" s="68"/>
      <c r="DS12" s="68"/>
      <c r="DT12" s="68"/>
      <c r="DU12" s="68"/>
      <c r="DV12" s="39"/>
      <c r="DW12" s="68"/>
      <c r="DX12" s="68"/>
      <c r="DY12" s="68"/>
      <c r="DZ12" s="68"/>
      <c r="EA12" s="39"/>
      <c r="EB12" s="68"/>
      <c r="EC12" s="68"/>
      <c r="ED12" s="68"/>
      <c r="EE12" s="68"/>
      <c r="EF12" s="39"/>
      <c r="EG12" s="68"/>
      <c r="EH12" s="68"/>
      <c r="EI12" s="68"/>
      <c r="EJ12" s="68"/>
      <c r="EK12" s="39"/>
      <c r="EL12" s="68"/>
      <c r="EM12" s="68"/>
      <c r="EN12" s="68"/>
      <c r="EO12" s="12"/>
    </row>
    <row r="13" spans="1:149" s="35" customFormat="1">
      <c r="A13" s="35" t="s">
        <v>346</v>
      </c>
      <c r="B13" s="39">
        <v>44483</v>
      </c>
      <c r="C13" s="35">
        <v>1.7689999999999999</v>
      </c>
      <c r="D13" s="35">
        <v>4.9560000000000004</v>
      </c>
      <c r="E13" s="35">
        <v>3.1859999999999999</v>
      </c>
      <c r="F13" s="90">
        <v>-5.1279999999999999E-2</v>
      </c>
      <c r="G13" s="86">
        <v>5.5149999999999997</v>
      </c>
      <c r="H13" s="86">
        <v>5.5670000000000002</v>
      </c>
      <c r="I13" s="12">
        <f t="shared" si="0"/>
        <v>-2.8988128886376485E-2</v>
      </c>
      <c r="J13" s="91">
        <v>0.96199999999999997</v>
      </c>
      <c r="K13" s="91">
        <v>7.734</v>
      </c>
      <c r="L13" s="91">
        <v>6.7720000000000002</v>
      </c>
      <c r="M13" s="12">
        <f t="shared" si="1"/>
        <v>0.54381006218202377</v>
      </c>
      <c r="N13" s="95">
        <v>0.78369999999999995</v>
      </c>
      <c r="O13" s="95">
        <v>7.1479999999999997</v>
      </c>
      <c r="P13" s="95">
        <v>6.3639999999999999</v>
      </c>
      <c r="Q13" s="12">
        <f t="shared" si="2"/>
        <v>0.44301865460712264</v>
      </c>
      <c r="R13" s="99">
        <v>0.96719999999999995</v>
      </c>
      <c r="S13" s="99">
        <v>7.17</v>
      </c>
      <c r="T13" s="99">
        <v>6.202</v>
      </c>
      <c r="U13" s="12">
        <f t="shared" si="3"/>
        <v>0.5467495760316563</v>
      </c>
      <c r="V13" s="103">
        <v>1.4590000000000001</v>
      </c>
      <c r="W13" s="103">
        <v>8.6790000000000003</v>
      </c>
      <c r="X13" s="103">
        <v>7.22</v>
      </c>
      <c r="Y13" s="12">
        <f t="shared" si="4"/>
        <v>0.82475975127190515</v>
      </c>
      <c r="Z13" s="35">
        <v>5.8579999999999997</v>
      </c>
      <c r="AA13" s="35">
        <v>49.83</v>
      </c>
      <c r="AB13" s="35">
        <v>43.97</v>
      </c>
      <c r="AC13" s="103">
        <v>5.9450000000000003</v>
      </c>
      <c r="AD13" s="103">
        <v>53.88</v>
      </c>
      <c r="AE13" s="103">
        <v>47.94</v>
      </c>
      <c r="AF13" s="12">
        <f t="shared" si="8"/>
        <v>1.0148514851485149</v>
      </c>
      <c r="AG13" s="91">
        <v>5.9969999999999999</v>
      </c>
      <c r="AH13" s="91">
        <v>52.92</v>
      </c>
      <c r="AI13" s="91">
        <v>46.92</v>
      </c>
      <c r="AJ13" s="12">
        <f t="shared" si="5"/>
        <v>1.0237282348924548</v>
      </c>
      <c r="AK13" s="95">
        <v>5.8289999999999997</v>
      </c>
      <c r="AL13" s="95">
        <v>52.62</v>
      </c>
      <c r="AM13" s="95">
        <v>46.79</v>
      </c>
      <c r="AN13" s="12">
        <f t="shared" si="6"/>
        <v>0.99504950495049505</v>
      </c>
      <c r="AO13" s="99">
        <v>5.52</v>
      </c>
      <c r="AP13" s="99">
        <v>52.31</v>
      </c>
      <c r="AQ13" s="99">
        <v>46.79</v>
      </c>
      <c r="AR13" s="12">
        <f t="shared" si="7"/>
        <v>0.94230112666439059</v>
      </c>
      <c r="AS13" s="109"/>
      <c r="AT13" s="109"/>
      <c r="AU13" s="109"/>
      <c r="AW13" s="35">
        <v>-0.50080000000000002</v>
      </c>
      <c r="AX13" s="35">
        <v>0.15790000000000001</v>
      </c>
      <c r="AY13" s="35">
        <v>0.65859999999999996</v>
      </c>
      <c r="AZ13" s="35">
        <v>5.0570000000000004</v>
      </c>
      <c r="BA13" s="35">
        <v>5.3810000000000002</v>
      </c>
      <c r="BB13" s="35">
        <v>23.75</v>
      </c>
      <c r="BC13" s="35">
        <v>24.92</v>
      </c>
      <c r="BG13" s="39"/>
      <c r="BH13" s="39"/>
      <c r="BI13" s="68"/>
      <c r="BJ13" s="68"/>
      <c r="BK13" s="68"/>
      <c r="BL13" s="68"/>
      <c r="BM13" s="68"/>
      <c r="BN13" s="68"/>
      <c r="BO13" s="68"/>
      <c r="BP13" s="68"/>
      <c r="BQ13" s="68"/>
      <c r="BR13" s="68"/>
      <c r="BS13" s="68"/>
      <c r="BT13" s="68"/>
      <c r="BU13" s="68"/>
      <c r="BV13" s="68"/>
      <c r="BW13" s="68"/>
      <c r="BX13" s="68"/>
      <c r="BY13" s="68"/>
      <c r="BZ13" s="68"/>
      <c r="CA13" s="68"/>
      <c r="CB13" s="68"/>
      <c r="CC13" s="68"/>
      <c r="CD13" s="673"/>
      <c r="CE13" s="39"/>
      <c r="CF13" s="39"/>
      <c r="CG13" s="68"/>
      <c r="CH13" s="68"/>
      <c r="CI13" s="68"/>
      <c r="CJ13" s="68"/>
      <c r="CK13" s="68"/>
      <c r="CL13" s="68"/>
      <c r="CM13" s="68"/>
      <c r="CN13" s="68"/>
      <c r="CO13" s="68"/>
      <c r="CP13" s="68"/>
      <c r="CQ13" s="68"/>
      <c r="CR13" s="68"/>
      <c r="CS13" s="68"/>
      <c r="CT13" s="68"/>
      <c r="CX13" s="68"/>
      <c r="CY13" s="68"/>
      <c r="CZ13" s="68"/>
      <c r="DA13" s="68"/>
      <c r="DB13" s="68"/>
      <c r="DG13" s="68"/>
      <c r="DI13" s="68"/>
      <c r="DO13" s="39"/>
      <c r="DP13" s="68"/>
      <c r="DQ13" s="39"/>
      <c r="DR13" s="68"/>
      <c r="DS13" s="68"/>
      <c r="DT13" s="68"/>
      <c r="DU13" s="68"/>
      <c r="DV13" s="39"/>
      <c r="DW13" s="68"/>
      <c r="DX13" s="68"/>
      <c r="DY13" s="68"/>
      <c r="DZ13" s="68"/>
      <c r="EA13" s="39"/>
      <c r="EB13" s="68"/>
      <c r="EC13" s="68"/>
      <c r="ED13" s="68"/>
      <c r="EE13" s="68"/>
      <c r="EF13" s="39"/>
      <c r="EG13" s="68"/>
      <c r="EH13" s="68"/>
      <c r="EI13" s="68"/>
      <c r="EJ13" s="68"/>
      <c r="EK13" s="39"/>
      <c r="EL13" s="68"/>
      <c r="EM13" s="12"/>
      <c r="EN13" s="12"/>
      <c r="EO13" s="12"/>
    </row>
    <row r="14" spans="1:149">
      <c r="A14" s="35" t="s">
        <v>346</v>
      </c>
      <c r="B14" s="14">
        <v>44487</v>
      </c>
      <c r="C14">
        <v>2.4510000000000001</v>
      </c>
      <c r="D14">
        <v>5.649</v>
      </c>
      <c r="E14">
        <v>3.198</v>
      </c>
      <c r="F14" s="126">
        <v>0.47739999999999999</v>
      </c>
      <c r="G14" s="127">
        <v>5.4279999999999999</v>
      </c>
      <c r="H14" s="127">
        <v>4.95</v>
      </c>
      <c r="I14" s="12">
        <f t="shared" si="0"/>
        <v>0.19477764177886575</v>
      </c>
      <c r="J14" s="1">
        <v>1.3340000000000001</v>
      </c>
      <c r="K14" s="1">
        <v>8.2170000000000005</v>
      </c>
      <c r="L14" s="1">
        <v>6.883</v>
      </c>
      <c r="M14" s="12">
        <f t="shared" si="1"/>
        <v>0.54426764585883314</v>
      </c>
      <c r="N14" s="2">
        <v>1.258</v>
      </c>
      <c r="O14" s="2">
        <v>7.9029999999999996</v>
      </c>
      <c r="P14" s="2">
        <v>6.6449999999999996</v>
      </c>
      <c r="Q14" s="12">
        <f t="shared" si="2"/>
        <v>0.51325989392084859</v>
      </c>
      <c r="R14" s="3">
        <v>1.476</v>
      </c>
      <c r="S14" s="3">
        <v>7.5519999999999996</v>
      </c>
      <c r="T14" s="3">
        <v>6.0759999999999996</v>
      </c>
      <c r="U14" s="12">
        <f t="shared" si="3"/>
        <v>0.60220318237454096</v>
      </c>
      <c r="V14" s="4">
        <v>1.651</v>
      </c>
      <c r="W14" s="4">
        <v>8.2639999999999993</v>
      </c>
      <c r="X14" s="4">
        <v>6.6130000000000004</v>
      </c>
      <c r="Y14" s="12">
        <f t="shared" si="4"/>
        <v>0.67360261117911058</v>
      </c>
      <c r="Z14">
        <v>6.657</v>
      </c>
      <c r="AA14">
        <v>52.15</v>
      </c>
      <c r="AB14">
        <v>45.49</v>
      </c>
      <c r="AC14" s="4">
        <v>6.3769999999999998</v>
      </c>
      <c r="AD14" s="4">
        <v>53.9</v>
      </c>
      <c r="AE14" s="4">
        <v>47.52</v>
      </c>
      <c r="AF14" s="12">
        <f t="shared" si="8"/>
        <v>0.95793901156677175</v>
      </c>
      <c r="AG14" s="1">
        <v>6.4729999999999999</v>
      </c>
      <c r="AH14" s="1">
        <v>53.46</v>
      </c>
      <c r="AI14" s="1">
        <v>46.99</v>
      </c>
      <c r="AJ14" s="12">
        <f t="shared" si="5"/>
        <v>0.9723599218867357</v>
      </c>
      <c r="AK14" s="2">
        <v>6.22</v>
      </c>
      <c r="AL14" s="2">
        <v>53.01</v>
      </c>
      <c r="AM14" s="2">
        <v>46.79</v>
      </c>
      <c r="AN14" s="12">
        <f t="shared" si="6"/>
        <v>0.93435481448099744</v>
      </c>
      <c r="AO14" s="3">
        <v>6.508</v>
      </c>
      <c r="AP14" s="3">
        <v>53.48</v>
      </c>
      <c r="AQ14" s="3">
        <v>46.97</v>
      </c>
      <c r="AR14" s="12">
        <f t="shared" si="7"/>
        <v>0.9776175454408893</v>
      </c>
      <c r="AW14">
        <v>-0.47060000000000002</v>
      </c>
      <c r="AX14">
        <v>0.17810000000000001</v>
      </c>
      <c r="AY14">
        <v>0.64870000000000005</v>
      </c>
      <c r="AZ14">
        <v>5.1829999999999998</v>
      </c>
      <c r="BA14">
        <v>6.4139999999999997</v>
      </c>
      <c r="BB14">
        <v>23.78</v>
      </c>
      <c r="BC14">
        <v>30.22</v>
      </c>
      <c r="BG14" s="39"/>
      <c r="BH14" s="39"/>
      <c r="BI14" s="68"/>
      <c r="BJ14" s="68"/>
      <c r="BK14" s="68"/>
      <c r="BL14" s="68"/>
      <c r="BM14" s="68"/>
      <c r="BN14" s="68"/>
      <c r="BO14" s="68"/>
      <c r="BP14" s="68"/>
      <c r="BQ14" s="68"/>
      <c r="BR14" s="68"/>
      <c r="BS14" s="68"/>
      <c r="BT14" s="68"/>
      <c r="BU14" s="68"/>
      <c r="BV14" s="68"/>
      <c r="BW14" s="68"/>
      <c r="BX14" s="68"/>
      <c r="BY14" s="68"/>
      <c r="BZ14" s="68"/>
      <c r="CA14" s="68"/>
      <c r="CB14" s="68"/>
      <c r="CC14" s="68"/>
      <c r="CD14" s="673"/>
      <c r="CE14" s="39"/>
      <c r="CF14" s="39"/>
      <c r="CG14" s="68"/>
      <c r="CH14" s="68"/>
      <c r="CI14" s="68"/>
      <c r="CJ14" s="68"/>
      <c r="CK14" s="68"/>
      <c r="CL14" s="68"/>
      <c r="CM14" s="68"/>
      <c r="CN14" s="68"/>
      <c r="CO14" s="68"/>
      <c r="CP14" s="68"/>
      <c r="CQ14" s="68"/>
      <c r="CR14" s="68"/>
      <c r="CS14" s="68"/>
      <c r="CT14" s="68"/>
      <c r="CU14" s="35"/>
      <c r="CV14" s="35"/>
      <c r="CW14" s="35"/>
      <c r="CX14" s="68"/>
      <c r="CY14" s="68"/>
      <c r="CZ14" s="68"/>
      <c r="DA14" s="68"/>
      <c r="DB14" s="68"/>
      <c r="DC14" s="35"/>
      <c r="DF14" s="34"/>
      <c r="DG14" s="12"/>
      <c r="DI14" s="12"/>
      <c r="DO14" s="39"/>
      <c r="DP14" s="35"/>
      <c r="DQ14" s="39"/>
      <c r="DR14" s="68"/>
      <c r="DS14" s="68"/>
      <c r="DT14" s="68"/>
      <c r="DU14" s="68"/>
      <c r="DV14" s="39"/>
      <c r="DW14" s="68"/>
      <c r="DX14" s="68"/>
      <c r="DY14" s="68"/>
      <c r="DZ14" s="68"/>
      <c r="EA14" s="39"/>
      <c r="EB14" s="68"/>
      <c r="EC14" s="68"/>
      <c r="ED14" s="68"/>
      <c r="EE14" s="68"/>
      <c r="EF14" s="35"/>
      <c r="EG14" s="35"/>
      <c r="EH14" s="35"/>
      <c r="EI14" s="35"/>
      <c r="EJ14" s="68"/>
      <c r="EK14" s="35"/>
      <c r="EL14" s="35"/>
      <c r="EO14" s="12"/>
    </row>
    <row r="15" spans="1:149">
      <c r="A15" s="35" t="s">
        <v>346</v>
      </c>
      <c r="B15" s="14">
        <v>44489</v>
      </c>
      <c r="C15">
        <v>1.9430000000000001</v>
      </c>
      <c r="D15">
        <v>5.2039999999999997</v>
      </c>
      <c r="E15">
        <v>3.2610000000000001</v>
      </c>
      <c r="F15" s="126">
        <v>8.3760000000000001E-2</v>
      </c>
      <c r="G15" s="127">
        <v>5.7850000000000001</v>
      </c>
      <c r="H15" s="127">
        <v>5.7009999999999996</v>
      </c>
      <c r="I15" s="12">
        <f t="shared" si="0"/>
        <v>4.3108594956253216E-2</v>
      </c>
      <c r="J15" s="1">
        <v>1.179</v>
      </c>
      <c r="K15" s="1">
        <v>10.029999999999999</v>
      </c>
      <c r="L15" s="1">
        <v>8.8520000000000003</v>
      </c>
      <c r="M15" s="12">
        <f t="shared" si="1"/>
        <v>0.60679361811631494</v>
      </c>
      <c r="N15" s="2">
        <v>0.98899999999999999</v>
      </c>
      <c r="O15" s="2">
        <v>7.9089999999999998</v>
      </c>
      <c r="P15" s="2">
        <v>6.92</v>
      </c>
      <c r="Q15" s="12">
        <f t="shared" si="2"/>
        <v>0.50900669068450843</v>
      </c>
      <c r="R15" s="3">
        <v>1.3560000000000001</v>
      </c>
      <c r="S15" s="3">
        <v>8.1709999999999994</v>
      </c>
      <c r="T15" s="3">
        <v>6.8150000000000004</v>
      </c>
      <c r="U15" s="12">
        <f t="shared" si="3"/>
        <v>0.69788986103962947</v>
      </c>
      <c r="V15" s="4">
        <v>1.52</v>
      </c>
      <c r="W15" s="4">
        <v>8.8030000000000008</v>
      </c>
      <c r="X15" s="4">
        <v>7.2830000000000004</v>
      </c>
      <c r="Y15" s="12">
        <f t="shared" si="4"/>
        <v>0.78229541945445191</v>
      </c>
      <c r="Z15">
        <v>5.9660000000000002</v>
      </c>
      <c r="AA15">
        <v>51.82</v>
      </c>
      <c r="AB15">
        <v>45.85</v>
      </c>
      <c r="AC15" s="4">
        <v>6.3710000000000004</v>
      </c>
      <c r="AD15" s="4">
        <v>55.21</v>
      </c>
      <c r="AE15" s="4">
        <v>48.84</v>
      </c>
      <c r="AF15" s="12">
        <f t="shared" si="8"/>
        <v>1.0678846798524975</v>
      </c>
      <c r="AG15" s="1">
        <v>5.9889999999999999</v>
      </c>
      <c r="AH15" s="1">
        <v>54.27</v>
      </c>
      <c r="AI15" s="1">
        <v>48.28</v>
      </c>
      <c r="AJ15" s="12">
        <f t="shared" si="5"/>
        <v>1.003855179349648</v>
      </c>
      <c r="AK15" s="2">
        <v>5.968</v>
      </c>
      <c r="AL15" s="2">
        <v>54.05</v>
      </c>
      <c r="AM15" s="2">
        <v>48.08</v>
      </c>
      <c r="AN15" s="12">
        <f t="shared" si="6"/>
        <v>1.0003352329869259</v>
      </c>
      <c r="AO15" s="3">
        <v>5.8540000000000001</v>
      </c>
      <c r="AP15" s="3">
        <v>53.93</v>
      </c>
      <c r="AQ15" s="3">
        <v>48.07</v>
      </c>
      <c r="AR15" s="12">
        <f t="shared" si="7"/>
        <v>0.98122695273214888</v>
      </c>
      <c r="AW15">
        <v>-0.50609999999999999</v>
      </c>
      <c r="AX15">
        <v>0.14949999999999999</v>
      </c>
      <c r="AY15">
        <v>0.65559999999999996</v>
      </c>
      <c r="AZ15">
        <v>5.1440000000000001</v>
      </c>
      <c r="BA15">
        <v>6.7930000000000001</v>
      </c>
      <c r="BG15" s="39"/>
      <c r="BH15" s="39"/>
      <c r="BI15" s="68"/>
      <c r="BJ15" s="68"/>
      <c r="BK15" s="68"/>
      <c r="BL15" s="68"/>
      <c r="BM15" s="68"/>
      <c r="BN15" s="68"/>
      <c r="BO15" s="68"/>
      <c r="BP15" s="68"/>
      <c r="BQ15" s="68"/>
      <c r="BR15" s="68"/>
      <c r="BS15" s="68"/>
      <c r="BT15" s="68"/>
      <c r="BU15" s="68"/>
      <c r="BV15" s="68"/>
      <c r="BW15" s="68"/>
      <c r="BX15" s="68"/>
      <c r="BY15" s="68"/>
      <c r="BZ15" s="68"/>
      <c r="CA15" s="68"/>
      <c r="CB15" s="68"/>
      <c r="CC15" s="68"/>
      <c r="CD15" s="673"/>
      <c r="CE15" s="39"/>
      <c r="CF15" s="39"/>
      <c r="CG15" s="68"/>
      <c r="CH15" s="68"/>
      <c r="CI15" s="68"/>
      <c r="CJ15" s="68"/>
      <c r="CK15" s="68"/>
      <c r="CL15" s="68"/>
      <c r="CM15" s="68"/>
      <c r="CN15" s="68"/>
      <c r="CO15" s="68"/>
      <c r="CP15" s="68"/>
      <c r="CQ15" s="68"/>
      <c r="CR15" s="68"/>
      <c r="CS15" s="68"/>
      <c r="CT15" s="68"/>
      <c r="CU15" s="35"/>
      <c r="CV15" s="35"/>
      <c r="CW15" s="35"/>
      <c r="CX15" s="68"/>
      <c r="CY15" s="68"/>
      <c r="CZ15" s="68"/>
      <c r="DA15" s="68"/>
      <c r="DB15" s="68"/>
      <c r="DC15" s="35"/>
      <c r="DO15" s="39"/>
      <c r="DP15" s="35"/>
      <c r="DQ15" s="39"/>
      <c r="DR15" s="68"/>
      <c r="DS15" s="68"/>
      <c r="DT15" s="68"/>
      <c r="DU15" s="68"/>
      <c r="DV15" s="39"/>
      <c r="DW15" s="68"/>
      <c r="DX15" s="68"/>
      <c r="DY15" s="68"/>
      <c r="DZ15" s="68"/>
      <c r="EA15" s="39"/>
      <c r="EB15" s="68"/>
      <c r="EC15" s="68"/>
      <c r="ED15" s="68"/>
      <c r="EE15" s="68"/>
      <c r="EF15" s="35"/>
      <c r="EG15" s="35"/>
      <c r="EH15" s="35"/>
      <c r="EI15" s="35"/>
      <c r="EJ15" s="35"/>
      <c r="EK15" s="35"/>
      <c r="EL15" s="35"/>
    </row>
    <row r="16" spans="1:149">
      <c r="A16" s="35" t="s">
        <v>346</v>
      </c>
      <c r="B16" s="14">
        <v>44490</v>
      </c>
      <c r="C16">
        <v>1.534</v>
      </c>
      <c r="D16">
        <v>3.7189999999999999</v>
      </c>
      <c r="E16">
        <v>2.1850000000000001</v>
      </c>
      <c r="F16" s="126">
        <v>0.2054</v>
      </c>
      <c r="G16" s="127">
        <v>5.6630000000000003</v>
      </c>
      <c r="H16" s="127">
        <v>5.4569999999999999</v>
      </c>
      <c r="I16" s="12">
        <f t="shared" si="0"/>
        <v>0.13389830508474576</v>
      </c>
      <c r="J16" s="1">
        <v>0.75390000000000001</v>
      </c>
      <c r="K16" s="1">
        <v>7.0869999999999997</v>
      </c>
      <c r="L16" s="1">
        <v>6.3339999999999996</v>
      </c>
      <c r="M16" s="12">
        <f t="shared" si="1"/>
        <v>0.49146023468057365</v>
      </c>
      <c r="N16" s="2">
        <v>0.78029999999999999</v>
      </c>
      <c r="O16" s="2">
        <v>6.58</v>
      </c>
      <c r="P16" s="2">
        <v>5.8</v>
      </c>
      <c r="Q16" s="12">
        <f t="shared" si="2"/>
        <v>0.50867014341590611</v>
      </c>
      <c r="R16" s="3">
        <v>1.099</v>
      </c>
      <c r="S16" s="3">
        <v>7.1360000000000001</v>
      </c>
      <c r="T16" s="3">
        <v>6.0369999999999999</v>
      </c>
      <c r="U16" s="12">
        <f t="shared" si="3"/>
        <v>0.71642764015645366</v>
      </c>
      <c r="V16" s="4">
        <v>1.288</v>
      </c>
      <c r="W16" s="4">
        <v>7.7140000000000004</v>
      </c>
      <c r="X16" s="4">
        <v>6.4260000000000002</v>
      </c>
      <c r="Y16" s="12">
        <f t="shared" si="4"/>
        <v>0.83963494132985661</v>
      </c>
      <c r="Z16">
        <v>5.4770000000000003</v>
      </c>
      <c r="AA16">
        <v>50.81</v>
      </c>
      <c r="AB16">
        <v>45.34</v>
      </c>
      <c r="AC16" s="4">
        <v>5.6929999999999996</v>
      </c>
      <c r="AD16" s="4">
        <v>53.75</v>
      </c>
      <c r="AE16" s="4">
        <v>48.06</v>
      </c>
      <c r="AF16" s="12">
        <f t="shared" si="8"/>
        <v>1.0394376483476355</v>
      </c>
      <c r="AG16" s="1">
        <v>5.7629999999999999</v>
      </c>
      <c r="AH16" s="1">
        <v>51.57</v>
      </c>
      <c r="AI16" s="1">
        <v>45.81</v>
      </c>
      <c r="AJ16" s="12">
        <f t="shared" si="5"/>
        <v>1.0522183677195545</v>
      </c>
      <c r="AK16" s="2">
        <v>5.7960000000000003</v>
      </c>
      <c r="AL16" s="2">
        <v>52.06</v>
      </c>
      <c r="AM16" s="2">
        <v>46.27</v>
      </c>
      <c r="AN16" s="12">
        <f t="shared" si="6"/>
        <v>1.0582435639948877</v>
      </c>
      <c r="AO16" s="3">
        <v>5.93</v>
      </c>
      <c r="AP16" s="3">
        <v>51.36</v>
      </c>
      <c r="AQ16" s="3">
        <v>45.43</v>
      </c>
      <c r="AR16" s="12">
        <f t="shared" si="7"/>
        <v>1.0827095125068467</v>
      </c>
      <c r="AW16">
        <v>-0.21240000000000001</v>
      </c>
      <c r="AX16">
        <v>0.50580000000000003</v>
      </c>
      <c r="AY16">
        <v>0.71819999999999995</v>
      </c>
      <c r="BG16" s="39"/>
      <c r="BH16" s="39"/>
      <c r="BI16" s="68"/>
      <c r="BJ16" s="68"/>
      <c r="BK16" s="68"/>
      <c r="BL16" s="68"/>
      <c r="BM16" s="68"/>
      <c r="BN16" s="68"/>
      <c r="BO16" s="68"/>
      <c r="BP16" s="68"/>
      <c r="BQ16" s="68"/>
      <c r="BR16" s="68"/>
      <c r="BS16" s="68"/>
      <c r="BT16" s="68"/>
      <c r="BU16" s="68"/>
      <c r="BV16" s="68"/>
      <c r="BW16" s="68"/>
      <c r="BX16" s="68"/>
      <c r="BY16" s="68"/>
      <c r="BZ16" s="68"/>
      <c r="CA16" s="68"/>
      <c r="CB16" s="68"/>
      <c r="CC16" s="68"/>
      <c r="CD16" s="673"/>
      <c r="CE16" s="39"/>
      <c r="CF16" s="39"/>
      <c r="CG16" s="68"/>
      <c r="CH16" s="68"/>
      <c r="CI16" s="68"/>
      <c r="CJ16" s="68"/>
      <c r="CK16" s="68"/>
      <c r="CL16" s="68"/>
      <c r="CM16" s="68"/>
      <c r="CN16" s="68"/>
      <c r="CO16" s="68"/>
      <c r="CP16" s="68"/>
      <c r="CQ16" s="68"/>
      <c r="CR16" s="68"/>
      <c r="CS16" s="68"/>
      <c r="CT16" s="68"/>
      <c r="CU16" s="35"/>
      <c r="CV16" s="35"/>
      <c r="CW16" s="35"/>
      <c r="CX16" s="68"/>
      <c r="CY16" s="68"/>
      <c r="CZ16" s="68"/>
      <c r="DA16" s="68"/>
      <c r="DB16" s="68"/>
      <c r="DC16" s="35"/>
      <c r="DO16" s="39"/>
      <c r="DP16" s="68"/>
      <c r="DQ16" s="39"/>
      <c r="DR16" s="68"/>
      <c r="DS16" s="68"/>
      <c r="DT16" s="68"/>
      <c r="DU16" s="68"/>
      <c r="DV16" s="39"/>
      <c r="DW16" s="68"/>
      <c r="DX16" s="68"/>
      <c r="DY16" s="68"/>
      <c r="DZ16" s="68"/>
      <c r="EA16" s="39"/>
      <c r="EB16" s="68"/>
      <c r="EC16" s="68"/>
      <c r="ED16" s="68"/>
      <c r="EE16" s="68"/>
      <c r="EF16" s="35"/>
      <c r="EG16" s="35"/>
      <c r="EH16" s="35"/>
      <c r="EI16" s="35"/>
      <c r="EJ16" s="35"/>
      <c r="EK16" s="35"/>
      <c r="EL16" s="35"/>
    </row>
    <row r="17" spans="1:142">
      <c r="A17" s="35" t="s">
        <v>346</v>
      </c>
      <c r="B17" s="14">
        <v>44491</v>
      </c>
      <c r="C17">
        <v>1.794</v>
      </c>
      <c r="D17">
        <v>4.9880000000000004</v>
      </c>
      <c r="E17">
        <v>3.194</v>
      </c>
      <c r="F17" s="126">
        <v>0.25290000000000001</v>
      </c>
      <c r="G17" s="127">
        <v>6.3869999999999996</v>
      </c>
      <c r="H17" s="127">
        <v>6.1340000000000003</v>
      </c>
      <c r="I17" s="12">
        <f t="shared" si="0"/>
        <v>0.14096989966555185</v>
      </c>
      <c r="J17" s="1">
        <v>0.83220000000000005</v>
      </c>
      <c r="K17" s="1">
        <v>7.6769999999999996</v>
      </c>
      <c r="L17" s="1">
        <v>6.8449999999999998</v>
      </c>
      <c r="M17" s="12">
        <f t="shared" si="1"/>
        <v>0.46387959866220735</v>
      </c>
      <c r="N17" s="2">
        <v>1.073</v>
      </c>
      <c r="O17" s="2">
        <v>7.351</v>
      </c>
      <c r="P17" s="2">
        <v>6.2789999999999999</v>
      </c>
      <c r="Q17" s="12">
        <f t="shared" si="2"/>
        <v>0.59810479375696768</v>
      </c>
      <c r="R17" s="3">
        <v>1.3120000000000001</v>
      </c>
      <c r="S17" s="3">
        <v>7.4039999999999999</v>
      </c>
      <c r="T17" s="3">
        <v>6.0910000000000002</v>
      </c>
      <c r="U17" s="12">
        <f t="shared" si="3"/>
        <v>0.73132664437012262</v>
      </c>
      <c r="V17" s="4">
        <v>1.514</v>
      </c>
      <c r="W17" s="4">
        <v>8.298</v>
      </c>
      <c r="X17" s="4">
        <v>6.7839999999999998</v>
      </c>
      <c r="Y17" s="12">
        <f t="shared" si="4"/>
        <v>0.84392419175027866</v>
      </c>
      <c r="Z17">
        <v>5.1040000000000001</v>
      </c>
      <c r="AA17">
        <v>36.21</v>
      </c>
      <c r="AB17">
        <v>31.11</v>
      </c>
      <c r="AC17" s="4">
        <v>4.5170000000000003</v>
      </c>
      <c r="AD17" s="4">
        <v>38.950000000000003</v>
      </c>
      <c r="AE17" s="4">
        <v>34.44</v>
      </c>
      <c r="AF17" s="12">
        <f t="shared" si="8"/>
        <v>0.88499216300940442</v>
      </c>
      <c r="AG17" s="1">
        <v>4.4130000000000003</v>
      </c>
      <c r="AH17" s="1">
        <v>38.159999999999997</v>
      </c>
      <c r="AI17" s="1">
        <v>33.75</v>
      </c>
      <c r="AJ17" s="12">
        <f t="shared" si="5"/>
        <v>0.86461598746081503</v>
      </c>
      <c r="AK17" s="2">
        <v>4.5330000000000004</v>
      </c>
      <c r="AL17" s="2">
        <v>38.15</v>
      </c>
      <c r="AM17" s="2">
        <v>33.619999999999997</v>
      </c>
      <c r="AN17" s="12">
        <f t="shared" si="6"/>
        <v>0.88812695924764895</v>
      </c>
      <c r="AO17" s="3">
        <v>4.5679999999999996</v>
      </c>
      <c r="AP17" s="3">
        <v>38.409999999999997</v>
      </c>
      <c r="AQ17" s="3">
        <v>33.840000000000003</v>
      </c>
      <c r="AR17" s="12">
        <f t="shared" si="7"/>
        <v>0.89498432601880873</v>
      </c>
      <c r="AW17">
        <v>-0.17130000000000001</v>
      </c>
      <c r="AX17">
        <v>0.61099999999999999</v>
      </c>
      <c r="AY17">
        <v>0.7823</v>
      </c>
      <c r="BG17" s="39"/>
      <c r="BH17" s="39"/>
      <c r="BI17" s="68"/>
      <c r="BJ17" s="68"/>
      <c r="BK17" s="68"/>
      <c r="BL17" s="68"/>
      <c r="BM17" s="68"/>
      <c r="BN17" s="68"/>
      <c r="BO17" s="68"/>
      <c r="BP17" s="68"/>
      <c r="BQ17" s="68"/>
      <c r="BR17" s="68"/>
      <c r="BS17" s="68"/>
      <c r="BT17" s="68"/>
      <c r="BU17" s="68"/>
      <c r="BV17" s="68"/>
      <c r="BW17" s="68"/>
      <c r="BX17" s="68"/>
      <c r="BY17" s="68"/>
      <c r="BZ17" s="68"/>
      <c r="CA17" s="68"/>
      <c r="CB17" s="68"/>
      <c r="CC17" s="68"/>
      <c r="CD17" s="673"/>
      <c r="CE17" s="39"/>
      <c r="CF17" s="39"/>
      <c r="CG17" s="68"/>
      <c r="CH17" s="68"/>
      <c r="CI17" s="68"/>
      <c r="CJ17" s="68"/>
      <c r="CK17" s="68"/>
      <c r="CL17" s="68"/>
      <c r="CM17" s="68"/>
      <c r="CN17" s="68"/>
      <c r="CO17" s="68"/>
      <c r="CP17" s="68"/>
      <c r="CQ17" s="68"/>
      <c r="CR17" s="68"/>
      <c r="CS17" s="68"/>
      <c r="CT17" s="68"/>
      <c r="CU17" s="35"/>
      <c r="CV17" s="35"/>
      <c r="CW17" s="35"/>
      <c r="CX17" s="68"/>
      <c r="CY17" s="68"/>
      <c r="CZ17" s="68"/>
      <c r="DA17" s="68"/>
      <c r="DB17" s="68"/>
      <c r="DC17" s="35"/>
      <c r="DO17" s="39"/>
      <c r="DP17" s="68"/>
      <c r="DQ17" s="39"/>
      <c r="DR17" s="68"/>
      <c r="DS17" s="68"/>
      <c r="DT17" s="68"/>
      <c r="DU17" s="68"/>
      <c r="DV17" s="39"/>
      <c r="DW17" s="68"/>
      <c r="DX17" s="68"/>
      <c r="DY17" s="68"/>
      <c r="DZ17" s="68"/>
      <c r="EA17" s="35"/>
      <c r="EB17" s="35"/>
      <c r="EC17" s="35"/>
      <c r="ED17" s="35"/>
      <c r="EE17" s="35"/>
      <c r="EF17" s="35"/>
      <c r="EG17" s="35"/>
      <c r="EH17" s="35"/>
      <c r="EI17" s="35"/>
      <c r="EJ17" s="35"/>
      <c r="EK17" s="35"/>
      <c r="EL17" s="35"/>
    </row>
    <row r="18" spans="1:142">
      <c r="A18" s="35" t="s">
        <v>346</v>
      </c>
      <c r="B18" s="14">
        <v>44494</v>
      </c>
      <c r="F18" s="126"/>
      <c r="I18" s="12"/>
      <c r="M18" s="12"/>
      <c r="Q18" s="12"/>
      <c r="U18" s="12"/>
      <c r="Y18" s="12"/>
      <c r="Z18">
        <v>6.069</v>
      </c>
      <c r="AA18">
        <v>42.32</v>
      </c>
      <c r="AB18">
        <v>36.25</v>
      </c>
      <c r="AC18" s="4">
        <v>5.41</v>
      </c>
      <c r="AD18" s="4">
        <v>43.9</v>
      </c>
      <c r="AE18" s="4">
        <v>38.49</v>
      </c>
      <c r="AF18" s="12">
        <f t="shared" si="8"/>
        <v>0.89141538968528589</v>
      </c>
      <c r="AG18" s="1">
        <v>5.6050000000000004</v>
      </c>
      <c r="AH18" s="1">
        <v>43.35</v>
      </c>
      <c r="AI18" s="1">
        <v>37.74</v>
      </c>
      <c r="AJ18" s="12">
        <f t="shared" si="5"/>
        <v>0.92354588894381284</v>
      </c>
      <c r="AK18" s="2">
        <v>5.39</v>
      </c>
      <c r="AL18" s="2">
        <v>42.94</v>
      </c>
      <c r="AM18" s="2">
        <v>37.549999999999997</v>
      </c>
      <c r="AN18" s="12">
        <f t="shared" si="6"/>
        <v>0.88811995386389841</v>
      </c>
      <c r="AO18" s="3">
        <v>5.4390000000000001</v>
      </c>
      <c r="AP18" s="3">
        <v>43.13</v>
      </c>
      <c r="AQ18" s="3">
        <v>37.69</v>
      </c>
      <c r="AR18" s="12">
        <f t="shared" si="7"/>
        <v>0.89619377162629754</v>
      </c>
      <c r="AW18">
        <v>-0.1565</v>
      </c>
      <c r="AX18">
        <v>0.62209999999999999</v>
      </c>
      <c r="AY18">
        <v>0.77859999999999996</v>
      </c>
      <c r="BG18" s="39"/>
      <c r="BH18" s="39"/>
      <c r="BI18" s="68"/>
      <c r="BJ18" s="68"/>
      <c r="BK18" s="68"/>
      <c r="BL18" s="68"/>
      <c r="BM18" s="68"/>
      <c r="BN18" s="68"/>
      <c r="BO18" s="68"/>
      <c r="BP18" s="68"/>
      <c r="BQ18" s="68"/>
      <c r="BR18" s="68"/>
      <c r="BS18" s="68"/>
      <c r="BT18" s="68"/>
      <c r="BU18" s="68"/>
      <c r="BV18" s="68"/>
      <c r="BW18" s="68"/>
      <c r="BX18" s="68"/>
      <c r="BY18" s="68"/>
      <c r="BZ18" s="68"/>
      <c r="CA18" s="68"/>
      <c r="CB18" s="68"/>
      <c r="CC18" s="68"/>
      <c r="CD18" s="673"/>
      <c r="CE18" s="39"/>
      <c r="CF18" s="39"/>
      <c r="CG18" s="68"/>
      <c r="CH18" s="68"/>
      <c r="CI18" s="68"/>
      <c r="CJ18" s="68"/>
      <c r="CK18" s="68"/>
      <c r="CL18" s="68"/>
      <c r="CM18" s="68"/>
      <c r="CN18" s="68"/>
      <c r="CO18" s="68"/>
      <c r="CP18" s="68"/>
      <c r="CQ18" s="68"/>
      <c r="CR18" s="68"/>
      <c r="CS18" s="68"/>
      <c r="CT18" s="68"/>
      <c r="CU18" s="35"/>
      <c r="CV18" s="35"/>
      <c r="CW18" s="35"/>
      <c r="CX18" s="68"/>
      <c r="CY18" s="68"/>
      <c r="CZ18" s="68"/>
      <c r="DA18" s="68"/>
      <c r="DB18" s="68"/>
      <c r="DC18" s="35"/>
      <c r="DO18" s="39"/>
      <c r="DP18" s="68"/>
      <c r="DQ18" s="39"/>
      <c r="DR18" s="68"/>
      <c r="DS18" s="68"/>
      <c r="DT18" s="68"/>
      <c r="DU18" s="68"/>
      <c r="DV18" s="39"/>
      <c r="DW18" s="68"/>
      <c r="DX18" s="68"/>
      <c r="DY18" s="68"/>
      <c r="DZ18" s="68"/>
      <c r="EA18" s="35"/>
      <c r="EB18" s="35"/>
      <c r="EC18" s="35"/>
      <c r="ED18" s="35"/>
      <c r="EE18" s="68"/>
      <c r="EF18" s="35"/>
      <c r="EG18" s="35"/>
      <c r="EH18" s="35"/>
      <c r="EI18" s="35"/>
      <c r="EJ18" s="35"/>
      <c r="EK18" s="35"/>
      <c r="EL18" s="35"/>
    </row>
    <row r="19" spans="1:142">
      <c r="A19" s="35" t="s">
        <v>346</v>
      </c>
      <c r="B19" s="14">
        <v>44503</v>
      </c>
      <c r="C19">
        <v>15.8</v>
      </c>
      <c r="D19">
        <v>17.71</v>
      </c>
      <c r="E19">
        <v>1.907</v>
      </c>
      <c r="F19" s="126">
        <v>1.1020000000000001</v>
      </c>
      <c r="G19" s="127">
        <v>5.1580000000000004</v>
      </c>
      <c r="H19" s="127">
        <v>4.056</v>
      </c>
      <c r="I19" s="12">
        <f>F19/$C19</f>
        <v>6.9746835443037974E-2</v>
      </c>
      <c r="J19" s="1">
        <v>6.5469999999999997</v>
      </c>
      <c r="K19" s="1">
        <v>15.13</v>
      </c>
      <c r="L19" s="1">
        <v>8.5860000000000003</v>
      </c>
      <c r="M19" s="12">
        <f>J19/$C19</f>
        <v>0.41436708860759491</v>
      </c>
      <c r="N19" s="2">
        <v>3.5409999999999999</v>
      </c>
      <c r="O19" s="2">
        <v>14.24</v>
      </c>
      <c r="P19" s="2">
        <v>10.7</v>
      </c>
      <c r="Q19" s="12">
        <f>N19/$C19</f>
        <v>0.22411392405063291</v>
      </c>
      <c r="R19" s="3">
        <v>10.33</v>
      </c>
      <c r="S19" s="3">
        <v>17.010000000000002</v>
      </c>
      <c r="T19" s="3">
        <v>6.6790000000000003</v>
      </c>
      <c r="U19" s="12">
        <f>R19/$C19</f>
        <v>0.65379746835443031</v>
      </c>
      <c r="V19" s="4">
        <v>8.077</v>
      </c>
      <c r="W19" s="4">
        <v>17.760000000000002</v>
      </c>
      <c r="X19" s="4">
        <v>9.6839999999999993</v>
      </c>
      <c r="Y19" s="12">
        <f>V19/$C19</f>
        <v>0.51120253164556961</v>
      </c>
      <c r="Z19" s="74">
        <v>10.95</v>
      </c>
      <c r="AA19">
        <v>27.46</v>
      </c>
      <c r="AB19">
        <v>16.510000000000002</v>
      </c>
      <c r="AC19" s="4">
        <v>-4.2229999999999999</v>
      </c>
      <c r="AD19" s="4">
        <v>160.5</v>
      </c>
      <c r="AE19" s="4">
        <v>164.8</v>
      </c>
      <c r="AF19" s="12">
        <f t="shared" si="8"/>
        <v>-0.38566210045662103</v>
      </c>
      <c r="AG19" s="1">
        <v>-7.2960000000000003</v>
      </c>
      <c r="AH19" s="1">
        <v>202</v>
      </c>
      <c r="AI19" s="1">
        <v>209.3</v>
      </c>
      <c r="AJ19" s="12">
        <f t="shared" si="5"/>
        <v>-0.6663013698630138</v>
      </c>
      <c r="AK19" s="2">
        <v>5.875</v>
      </c>
      <c r="AL19" s="2">
        <v>101.4</v>
      </c>
      <c r="AM19" s="2">
        <v>95.48</v>
      </c>
      <c r="AN19" s="12">
        <f t="shared" si="6"/>
        <v>0.5365296803652968</v>
      </c>
      <c r="AO19" s="3">
        <v>2.173</v>
      </c>
      <c r="AP19" s="3">
        <v>99.29</v>
      </c>
      <c r="AQ19" s="3">
        <v>97.12</v>
      </c>
      <c r="AR19" s="12">
        <f t="shared" si="7"/>
        <v>0.19844748858447489</v>
      </c>
      <c r="AS19" s="132">
        <v>-0.15939999999999999</v>
      </c>
      <c r="AT19" s="72">
        <v>52.87</v>
      </c>
      <c r="AU19" s="72">
        <v>53.03</v>
      </c>
      <c r="AV19" s="12">
        <f t="shared" ref="AV19" si="9">AS19/$Z19</f>
        <v>-1.4557077625570776E-2</v>
      </c>
      <c r="AW19">
        <v>-0.12280000000000001</v>
      </c>
      <c r="AX19">
        <v>0.68789999999999996</v>
      </c>
      <c r="AY19">
        <v>0.81069999999999998</v>
      </c>
      <c r="BG19" s="39"/>
      <c r="BH19" s="39"/>
      <c r="BI19" s="68"/>
      <c r="BJ19" s="68"/>
      <c r="BK19" s="68"/>
      <c r="BL19" s="68"/>
      <c r="BM19" s="68"/>
      <c r="BN19" s="68"/>
      <c r="BO19" s="68"/>
      <c r="BP19" s="68"/>
      <c r="BQ19" s="68"/>
      <c r="BR19" s="68"/>
      <c r="BS19" s="68"/>
      <c r="BT19" s="68"/>
      <c r="BU19" s="68"/>
      <c r="BV19" s="68"/>
      <c r="BW19" s="68"/>
      <c r="BX19" s="68"/>
      <c r="BY19" s="68"/>
      <c r="BZ19" s="68"/>
      <c r="CA19" s="68"/>
      <c r="CB19" s="68"/>
      <c r="CC19" s="68"/>
      <c r="CD19" s="673"/>
      <c r="CE19" s="39"/>
      <c r="CF19" s="68"/>
      <c r="CG19" s="68"/>
      <c r="CH19" s="68"/>
      <c r="CI19" s="68"/>
      <c r="CJ19" s="68"/>
      <c r="CK19" s="68"/>
      <c r="CL19" s="68"/>
      <c r="CM19" s="68"/>
      <c r="CN19" s="68"/>
      <c r="CO19" s="68"/>
      <c r="CP19" s="68"/>
      <c r="CQ19" s="68"/>
      <c r="CR19" s="68"/>
      <c r="CS19" s="68"/>
      <c r="CT19" s="68"/>
      <c r="CU19" s="68"/>
      <c r="CV19" s="68"/>
      <c r="CW19" s="68"/>
      <c r="CX19" s="68"/>
      <c r="CY19" s="68"/>
      <c r="CZ19" s="68"/>
      <c r="DA19" s="674"/>
      <c r="DB19" s="68"/>
      <c r="DC19" s="35"/>
      <c r="DO19" s="39"/>
      <c r="DP19" s="68"/>
      <c r="DQ19" s="39"/>
      <c r="DR19" s="68"/>
      <c r="DS19" s="68"/>
      <c r="DT19" s="68"/>
      <c r="DU19" s="68"/>
      <c r="DV19" s="39"/>
      <c r="DW19" s="68"/>
      <c r="DX19" s="68"/>
      <c r="DY19" s="68"/>
      <c r="DZ19" s="68"/>
      <c r="EA19" s="35"/>
      <c r="EB19" s="35"/>
      <c r="EC19" s="35"/>
      <c r="ED19" s="35"/>
      <c r="EE19" s="35"/>
      <c r="EF19" s="35"/>
      <c r="EG19" s="35"/>
      <c r="EH19" s="35"/>
      <c r="EI19" s="35"/>
      <c r="EJ19" s="35"/>
      <c r="EK19" s="35"/>
      <c r="EL19" s="35"/>
    </row>
    <row r="20" spans="1:142">
      <c r="A20" s="35" t="s">
        <v>346</v>
      </c>
      <c r="B20" s="14">
        <v>44504</v>
      </c>
      <c r="C20" t="s">
        <v>347</v>
      </c>
      <c r="F20" s="126"/>
      <c r="I20" s="12" t="e">
        <f>C20-0</f>
        <v>#VALUE!</v>
      </c>
      <c r="M20" s="12"/>
      <c r="Q20" s="12"/>
      <c r="U20" s="12"/>
      <c r="Y20" s="12"/>
      <c r="AF20" s="12"/>
      <c r="AJ20" s="12"/>
      <c r="AN20" s="12"/>
      <c r="AS20" s="132"/>
      <c r="AW20">
        <v>1.6950000000000001</v>
      </c>
      <c r="AX20">
        <v>1.6779999999999999</v>
      </c>
      <c r="AY20">
        <v>-1.652E-2</v>
      </c>
      <c r="BG20" s="39"/>
      <c r="BH20" s="39"/>
      <c r="BI20" s="68"/>
      <c r="BJ20" s="68"/>
      <c r="BK20" s="68"/>
      <c r="BL20" s="68"/>
      <c r="BM20" s="68"/>
      <c r="BN20" s="68"/>
      <c r="BO20" s="68"/>
      <c r="BP20" s="68"/>
      <c r="BQ20" s="68"/>
      <c r="BR20" s="68"/>
      <c r="BS20" s="68"/>
      <c r="BT20" s="68"/>
      <c r="BU20" s="68"/>
      <c r="BV20" s="68"/>
      <c r="BW20" s="68"/>
      <c r="BX20" s="68"/>
      <c r="BY20" s="68"/>
      <c r="BZ20" s="68"/>
      <c r="CA20" s="68"/>
      <c r="CB20" s="68"/>
      <c r="CC20" s="68"/>
      <c r="CD20" s="673"/>
      <c r="CE20" s="39"/>
      <c r="CF20" s="68"/>
      <c r="CG20" s="68"/>
      <c r="CH20" s="68"/>
      <c r="CI20" s="68"/>
      <c r="CJ20" s="68"/>
      <c r="CK20" s="68"/>
      <c r="CL20" s="68"/>
      <c r="CM20" s="68"/>
      <c r="CN20" s="68"/>
      <c r="CO20" s="68"/>
      <c r="CP20" s="68"/>
      <c r="CQ20" s="68"/>
      <c r="CR20" s="68"/>
      <c r="CS20" s="68"/>
      <c r="CT20" s="68"/>
      <c r="CU20" s="35"/>
      <c r="CV20" s="35"/>
      <c r="CW20" s="68"/>
      <c r="CX20" s="68"/>
      <c r="CY20" s="68"/>
      <c r="CZ20" s="68"/>
      <c r="DA20" s="68"/>
      <c r="DB20" s="68"/>
      <c r="DC20" s="35"/>
      <c r="DO20" s="39"/>
      <c r="DP20" s="68"/>
      <c r="DQ20" s="39"/>
      <c r="DR20" s="68"/>
      <c r="DS20" s="68"/>
      <c r="DT20" s="68"/>
      <c r="DU20" s="68"/>
      <c r="DV20" s="39"/>
      <c r="DW20" s="68"/>
      <c r="DX20" s="68"/>
      <c r="DY20" s="68"/>
      <c r="DZ20" s="68"/>
      <c r="EA20" s="35"/>
      <c r="EB20" s="35"/>
      <c r="EC20" s="35"/>
      <c r="ED20" s="35"/>
      <c r="EE20" s="35"/>
      <c r="EF20" s="35"/>
      <c r="EG20" s="35"/>
      <c r="EH20" s="35"/>
      <c r="EI20" s="35"/>
      <c r="EJ20" s="35"/>
      <c r="EK20" s="35"/>
      <c r="EL20" s="35"/>
    </row>
    <row r="21" spans="1:142">
      <c r="A21" s="34" t="s">
        <v>348</v>
      </c>
      <c r="B21" s="14">
        <v>44505</v>
      </c>
      <c r="C21">
        <v>14.41</v>
      </c>
      <c r="D21">
        <v>17.170000000000002</v>
      </c>
      <c r="E21">
        <v>2.76</v>
      </c>
      <c r="F21" s="12">
        <v>1.6759999999999999</v>
      </c>
      <c r="G21">
        <v>5.5449999999999999</v>
      </c>
      <c r="H21">
        <v>3.8690000000000002</v>
      </c>
      <c r="I21" s="12">
        <f t="shared" ref="I21:I32" si="10">F21/$C21</f>
        <v>0.11630811936155447</v>
      </c>
      <c r="J21">
        <v>7.86</v>
      </c>
      <c r="K21">
        <v>16.18</v>
      </c>
      <c r="L21">
        <v>8.3170000000000002</v>
      </c>
      <c r="M21" s="12">
        <f t="shared" ref="M21:M32" si="11">J21/$C21</f>
        <v>0.54545454545454553</v>
      </c>
      <c r="N21">
        <v>5.407</v>
      </c>
      <c r="O21">
        <v>15.57</v>
      </c>
      <c r="P21">
        <v>10.17</v>
      </c>
      <c r="Q21" s="12">
        <f t="shared" ref="Q21:Q32" si="12">N21/$C21</f>
        <v>0.37522553782095769</v>
      </c>
      <c r="R21">
        <v>8.1679999999999993</v>
      </c>
      <c r="S21">
        <v>15.02</v>
      </c>
      <c r="T21">
        <v>6.8479999999999999</v>
      </c>
      <c r="U21" s="12">
        <f t="shared" ref="U21:U32" si="13">R21/$C21</f>
        <v>0.5668285912560721</v>
      </c>
      <c r="V21">
        <v>8.2059999999999995</v>
      </c>
      <c r="W21">
        <v>18.149999999999999</v>
      </c>
      <c r="X21">
        <v>9.94</v>
      </c>
      <c r="Y21" s="12">
        <f t="shared" ref="Y21:Y32" si="14">V21/$C21</f>
        <v>0.56946564885496176</v>
      </c>
      <c r="Z21">
        <v>10.43</v>
      </c>
      <c r="AA21">
        <v>28.8</v>
      </c>
      <c r="AB21">
        <v>18.38</v>
      </c>
      <c r="AC21">
        <v>5.641</v>
      </c>
      <c r="AD21">
        <v>35.26</v>
      </c>
      <c r="AE21">
        <v>29.62</v>
      </c>
      <c r="AF21" s="12">
        <f t="shared" si="8"/>
        <v>0.54084372003835091</v>
      </c>
      <c r="AG21">
        <v>5.1150000000000002</v>
      </c>
      <c r="AH21">
        <v>41.04</v>
      </c>
      <c r="AI21">
        <v>35.92</v>
      </c>
      <c r="AJ21" s="12">
        <f t="shared" ref="AJ21:AJ32" si="15">AG21/$Z21</f>
        <v>0.49041227229146694</v>
      </c>
      <c r="AK21">
        <v>5.1539999999999999</v>
      </c>
      <c r="AL21">
        <v>30.21</v>
      </c>
      <c r="AM21">
        <v>25.06</v>
      </c>
      <c r="AN21" s="12">
        <f t="shared" ref="AN21:AN32" si="16">AK21/$Z21</f>
        <v>0.4941514860977948</v>
      </c>
      <c r="AO21">
        <v>4.7290000000000001</v>
      </c>
      <c r="AP21">
        <v>31.56</v>
      </c>
      <c r="AQ21">
        <v>26.83</v>
      </c>
      <c r="AR21" s="12">
        <f t="shared" ref="AR21:AR29" si="17">AO21/$Z21</f>
        <v>0.45340364333652927</v>
      </c>
      <c r="AS21" s="12">
        <v>1.0609999999999999</v>
      </c>
      <c r="AT21">
        <v>25.39</v>
      </c>
      <c r="AU21">
        <v>24.33</v>
      </c>
      <c r="AV21" s="12">
        <f t="shared" ref="AV21:AV32" si="18">AS21/$Z21</f>
        <v>0.10172579098753595</v>
      </c>
      <c r="BG21" s="39"/>
      <c r="BH21" s="39"/>
      <c r="BI21" s="68"/>
      <c r="BJ21" s="68"/>
      <c r="BK21" s="68"/>
      <c r="BL21" s="68"/>
      <c r="BM21" s="68"/>
      <c r="BN21" s="68"/>
      <c r="BO21" s="68"/>
      <c r="BP21" s="68"/>
      <c r="BQ21" s="68"/>
      <c r="BR21" s="68"/>
      <c r="BS21" s="68"/>
      <c r="BT21" s="68"/>
      <c r="BU21" s="68"/>
      <c r="BV21" s="68"/>
      <c r="BW21" s="68"/>
      <c r="BX21" s="68"/>
      <c r="BY21" s="68"/>
      <c r="BZ21" s="68"/>
      <c r="CA21" s="68"/>
      <c r="CB21" s="68"/>
      <c r="CC21" s="68"/>
      <c r="CD21" s="673"/>
      <c r="CE21" s="39"/>
      <c r="CF21" s="68"/>
      <c r="CG21" s="68"/>
      <c r="CH21" s="68"/>
      <c r="CI21" s="68"/>
      <c r="CJ21" s="68"/>
      <c r="CK21" s="68"/>
      <c r="CL21" s="68"/>
      <c r="CM21" s="68"/>
      <c r="CN21" s="68"/>
      <c r="CO21" s="68"/>
      <c r="CP21" s="68"/>
      <c r="CQ21" s="68"/>
      <c r="CR21" s="68"/>
      <c r="CS21" s="68"/>
      <c r="CT21" s="68"/>
      <c r="CU21" s="35"/>
      <c r="CV21" s="35"/>
      <c r="CW21" s="68"/>
      <c r="CX21" s="68"/>
      <c r="CY21" s="68"/>
      <c r="CZ21" s="68"/>
      <c r="DA21" s="68"/>
      <c r="DB21" s="68"/>
      <c r="DC21" s="35"/>
      <c r="DO21" s="39"/>
      <c r="DP21" s="68"/>
      <c r="DQ21" s="39"/>
      <c r="DR21" s="68"/>
      <c r="DS21" s="68"/>
      <c r="DT21" s="68"/>
      <c r="DU21" s="68"/>
      <c r="DV21" s="39"/>
      <c r="DW21" s="68"/>
      <c r="DX21" s="68"/>
      <c r="DY21" s="68"/>
      <c r="DZ21" s="68"/>
      <c r="EA21" s="35"/>
      <c r="EB21" s="35"/>
      <c r="EC21" s="35"/>
      <c r="ED21" s="35"/>
      <c r="EE21" s="35"/>
      <c r="EF21" s="35"/>
      <c r="EG21" s="35"/>
      <c r="EH21" s="35"/>
      <c r="EI21" s="35"/>
      <c r="EJ21" s="35"/>
      <c r="EK21" s="35"/>
      <c r="EL21" s="35"/>
    </row>
    <row r="22" spans="1:142">
      <c r="A22" s="34" t="s">
        <v>348</v>
      </c>
      <c r="B22" s="14">
        <v>44510</v>
      </c>
      <c r="C22">
        <v>11.35</v>
      </c>
      <c r="D22">
        <v>17.23</v>
      </c>
      <c r="E22">
        <v>5.88</v>
      </c>
      <c r="F22" s="12">
        <v>1.95</v>
      </c>
      <c r="G22">
        <v>5.3179999999999996</v>
      </c>
      <c r="H22">
        <v>3.3679999999999999</v>
      </c>
      <c r="I22" s="12">
        <f t="shared" si="10"/>
        <v>0.17180616740088106</v>
      </c>
      <c r="J22">
        <v>8.65</v>
      </c>
      <c r="K22">
        <v>18.46</v>
      </c>
      <c r="L22">
        <v>9.81</v>
      </c>
      <c r="M22" s="12">
        <f t="shared" si="11"/>
        <v>0.76211453744493396</v>
      </c>
      <c r="N22">
        <v>8.0950000000000006</v>
      </c>
      <c r="O22">
        <v>18.37</v>
      </c>
      <c r="P22">
        <v>10.28</v>
      </c>
      <c r="Q22" s="12">
        <f t="shared" si="12"/>
        <v>0.71321585903083706</v>
      </c>
      <c r="R22">
        <v>8.9450000000000003</v>
      </c>
      <c r="S22">
        <v>18.899999999999999</v>
      </c>
      <c r="T22">
        <v>9.9559999999999995</v>
      </c>
      <c r="U22" s="12">
        <f t="shared" si="13"/>
        <v>0.78810572687224678</v>
      </c>
      <c r="V22">
        <v>8.9410000000000007</v>
      </c>
      <c r="W22">
        <v>19.510000000000002</v>
      </c>
      <c r="X22">
        <v>10.67</v>
      </c>
      <c r="Y22" s="12">
        <f t="shared" si="14"/>
        <v>0.78775330396475785</v>
      </c>
      <c r="Z22">
        <v>7.6669999999999998</v>
      </c>
      <c r="AA22">
        <v>47.65</v>
      </c>
      <c r="AB22">
        <v>39.99</v>
      </c>
      <c r="AC22">
        <v>5.92</v>
      </c>
      <c r="AD22">
        <v>53.4</v>
      </c>
      <c r="AE22">
        <v>47.47</v>
      </c>
      <c r="AF22" s="12">
        <f t="shared" si="8"/>
        <v>0.77214034172427282</v>
      </c>
      <c r="AG22">
        <v>5.5170000000000003</v>
      </c>
      <c r="AH22">
        <v>47.83</v>
      </c>
      <c r="AI22">
        <v>42.31</v>
      </c>
      <c r="AJ22" s="12">
        <f t="shared" si="15"/>
        <v>0.71957740967784012</v>
      </c>
      <c r="AK22">
        <v>6.2649999999999997</v>
      </c>
      <c r="AL22">
        <v>47.58</v>
      </c>
      <c r="AM22">
        <v>41.31</v>
      </c>
      <c r="AN22" s="12">
        <f t="shared" si="16"/>
        <v>0.81713838528759619</v>
      </c>
      <c r="AO22">
        <v>6.234</v>
      </c>
      <c r="AP22">
        <v>47.93</v>
      </c>
      <c r="AQ22">
        <v>41.69</v>
      </c>
      <c r="AR22" s="12">
        <f t="shared" si="17"/>
        <v>0.81309508282248599</v>
      </c>
      <c r="AS22" s="12">
        <v>-0.7389</v>
      </c>
      <c r="AT22">
        <v>63.77</v>
      </c>
      <c r="AU22">
        <v>64.510000000000005</v>
      </c>
      <c r="AV22" s="12">
        <f t="shared" si="18"/>
        <v>-9.6374070692578584E-2</v>
      </c>
      <c r="AW22">
        <v>-4.1189999999999997E-2</v>
      </c>
      <c r="AX22">
        <v>0.15010000000000001</v>
      </c>
      <c r="AY22">
        <v>0.56210000000000004</v>
      </c>
      <c r="BA22">
        <f>BA14-BA13</f>
        <v>1.0329999999999995</v>
      </c>
      <c r="BG22" s="274"/>
      <c r="BH22" s="39"/>
      <c r="BI22" s="68"/>
      <c r="BJ22" s="68"/>
      <c r="BK22" s="68"/>
      <c r="BL22" s="68"/>
      <c r="BM22" s="68"/>
      <c r="BN22" s="68"/>
      <c r="BO22" s="68"/>
      <c r="BP22" s="68"/>
      <c r="BQ22" s="68"/>
      <c r="BR22" s="68"/>
      <c r="BS22" s="68"/>
      <c r="BT22" s="68"/>
      <c r="BU22" s="68"/>
      <c r="BV22" s="68"/>
      <c r="BW22" s="68"/>
      <c r="BX22" s="68"/>
      <c r="BY22" s="68"/>
      <c r="BZ22" s="68"/>
      <c r="CA22" s="68"/>
      <c r="CB22" s="68"/>
      <c r="CC22" s="68"/>
      <c r="CD22" s="673"/>
      <c r="CE22" s="39"/>
      <c r="CF22" s="68"/>
      <c r="CG22" s="68"/>
      <c r="CH22" s="68"/>
      <c r="CI22" s="68"/>
      <c r="CJ22" s="68"/>
      <c r="CK22" s="68"/>
      <c r="CL22" s="68"/>
      <c r="CM22" s="68"/>
      <c r="CN22" s="68"/>
      <c r="CO22" s="68"/>
      <c r="CP22" s="68"/>
      <c r="CQ22" s="68"/>
      <c r="CR22" s="68"/>
      <c r="CS22" s="68"/>
      <c r="CT22" s="68"/>
      <c r="CU22" s="35"/>
      <c r="CV22" s="35"/>
      <c r="CW22" s="68"/>
      <c r="CX22" s="68"/>
      <c r="CY22" s="68"/>
      <c r="CZ22" s="68"/>
      <c r="DA22" s="68"/>
      <c r="DB22" s="68"/>
      <c r="DC22" s="35"/>
      <c r="DO22" s="39"/>
      <c r="DP22" s="68"/>
      <c r="DQ22" s="39"/>
      <c r="DR22" s="68"/>
      <c r="DS22" s="68"/>
      <c r="DT22" s="68"/>
      <c r="DU22" s="68"/>
      <c r="DV22" s="39"/>
      <c r="DW22" s="68"/>
      <c r="DX22" s="68"/>
      <c r="DY22" s="68"/>
      <c r="DZ22" s="68"/>
      <c r="EA22" s="35"/>
      <c r="EB22" s="35"/>
      <c r="EC22" s="35"/>
      <c r="ED22" s="35"/>
      <c r="EE22" s="35"/>
      <c r="EF22" s="35"/>
      <c r="EG22" s="35"/>
      <c r="EH22" s="35"/>
      <c r="EI22" s="35"/>
      <c r="EJ22" s="35"/>
      <c r="EK22" s="35"/>
      <c r="EL22" s="35"/>
    </row>
    <row r="23" spans="1:142">
      <c r="A23" s="34" t="s">
        <v>348</v>
      </c>
      <c r="B23" s="14">
        <v>44512</v>
      </c>
      <c r="C23">
        <v>12.05</v>
      </c>
      <c r="D23">
        <v>16.87</v>
      </c>
      <c r="E23">
        <v>4.8209999999999997</v>
      </c>
      <c r="F23" s="12">
        <v>1.8029999999999999</v>
      </c>
      <c r="G23">
        <v>5.2889999999999997</v>
      </c>
      <c r="H23">
        <v>3.4860000000000002</v>
      </c>
      <c r="I23" s="12">
        <f t="shared" si="10"/>
        <v>0.1496265560165975</v>
      </c>
      <c r="J23">
        <v>8.1329999999999991</v>
      </c>
      <c r="K23">
        <v>17.93</v>
      </c>
      <c r="L23">
        <v>9.7940000000000005</v>
      </c>
      <c r="M23" s="12">
        <f t="shared" si="11"/>
        <v>0.67493775933609945</v>
      </c>
      <c r="N23">
        <v>8.0470000000000006</v>
      </c>
      <c r="O23">
        <v>17.63</v>
      </c>
      <c r="P23">
        <v>9.5809999999999995</v>
      </c>
      <c r="Q23" s="12">
        <f t="shared" si="12"/>
        <v>0.6678008298755187</v>
      </c>
      <c r="R23">
        <v>8.69</v>
      </c>
      <c r="S23">
        <v>18.420000000000002</v>
      </c>
      <c r="T23">
        <v>9.7330000000000005</v>
      </c>
      <c r="U23" s="12">
        <f t="shared" si="13"/>
        <v>0.72116182572614096</v>
      </c>
      <c r="V23">
        <v>7.8789999999999996</v>
      </c>
      <c r="W23">
        <v>19.34</v>
      </c>
      <c r="X23">
        <v>11.46</v>
      </c>
      <c r="Y23" s="12">
        <f t="shared" si="14"/>
        <v>0.65385892116182565</v>
      </c>
      <c r="Z23">
        <v>11.28</v>
      </c>
      <c r="AA23">
        <v>52.86</v>
      </c>
      <c r="AB23">
        <v>41.58</v>
      </c>
      <c r="AC23">
        <v>6.8559999999999999</v>
      </c>
      <c r="AD23">
        <v>61.88</v>
      </c>
      <c r="AE23">
        <v>55.02</v>
      </c>
      <c r="AF23" s="12">
        <f t="shared" si="8"/>
        <v>0.60780141843971636</v>
      </c>
      <c r="AG23">
        <v>7.1239999999999997</v>
      </c>
      <c r="AH23">
        <v>54.09</v>
      </c>
      <c r="AI23">
        <v>46.96</v>
      </c>
      <c r="AJ23" s="12">
        <f t="shared" si="15"/>
        <v>0.63156028368794326</v>
      </c>
      <c r="AK23">
        <v>7.9210000000000003</v>
      </c>
      <c r="AL23">
        <v>52.78</v>
      </c>
      <c r="AM23">
        <v>44.86</v>
      </c>
      <c r="AN23" s="12">
        <f t="shared" si="16"/>
        <v>0.70221631205673762</v>
      </c>
      <c r="AO23">
        <v>7.5389999999999997</v>
      </c>
      <c r="AP23">
        <v>61.91</v>
      </c>
      <c r="AQ23">
        <v>54.38</v>
      </c>
      <c r="AR23" s="12">
        <f t="shared" si="17"/>
        <v>0.66835106382978726</v>
      </c>
      <c r="AS23" s="12">
        <v>1.1870000000000001</v>
      </c>
      <c r="AT23">
        <v>53.26</v>
      </c>
      <c r="AU23">
        <v>52.07</v>
      </c>
      <c r="AV23" s="12">
        <f t="shared" si="18"/>
        <v>0.10523049645390072</v>
      </c>
      <c r="AW23">
        <v>-0.45440000000000003</v>
      </c>
      <c r="AX23">
        <v>0.19009999999999999</v>
      </c>
      <c r="AY23">
        <v>0.5635</v>
      </c>
      <c r="BA23">
        <f>BA15-BA13</f>
        <v>1.4119999999999999</v>
      </c>
      <c r="BB23">
        <f>BA22*5</f>
        <v>5.1649999999999974</v>
      </c>
      <c r="BG23" s="39"/>
      <c r="BH23" s="39"/>
      <c r="BI23" s="68"/>
      <c r="BJ23" s="68"/>
      <c r="BK23" s="68"/>
      <c r="BL23" s="68"/>
      <c r="BM23" s="68"/>
      <c r="BN23" s="68"/>
      <c r="BO23" s="68"/>
      <c r="BP23" s="68"/>
      <c r="BQ23" s="68"/>
      <c r="BR23" s="68"/>
      <c r="BS23" s="68"/>
      <c r="BT23" s="68"/>
      <c r="BU23" s="68"/>
      <c r="BV23" s="68"/>
      <c r="BW23" s="68"/>
      <c r="BX23" s="68"/>
      <c r="BY23" s="68"/>
      <c r="BZ23" s="68"/>
      <c r="CA23" s="68"/>
      <c r="CB23" s="68"/>
      <c r="CC23" s="68"/>
      <c r="CD23" s="673"/>
      <c r="CE23" s="39"/>
      <c r="CF23" s="68"/>
      <c r="CG23" s="68"/>
      <c r="CH23" s="68"/>
      <c r="CI23" s="68"/>
      <c r="CJ23" s="68"/>
      <c r="CK23" s="68"/>
      <c r="CL23" s="68"/>
      <c r="CM23" s="68"/>
      <c r="CN23" s="68"/>
      <c r="CO23" s="68"/>
      <c r="CP23" s="68"/>
      <c r="CQ23" s="68"/>
      <c r="CR23" s="68"/>
      <c r="CS23" s="68"/>
      <c r="CT23" s="68"/>
      <c r="CU23" s="35"/>
      <c r="CV23" s="35"/>
      <c r="CW23" s="68"/>
      <c r="CX23" s="68"/>
      <c r="CY23" s="68"/>
      <c r="CZ23" s="68"/>
      <c r="DA23" s="68"/>
      <c r="DB23" s="68"/>
      <c r="DC23" s="35"/>
      <c r="DO23" s="39"/>
      <c r="DP23" s="68"/>
      <c r="DQ23" s="39"/>
      <c r="DR23" s="68"/>
      <c r="DS23" s="68"/>
      <c r="DT23" s="68"/>
      <c r="DU23" s="68"/>
      <c r="DV23" s="39"/>
      <c r="DW23" s="68"/>
      <c r="DX23" s="68"/>
      <c r="DY23" s="68"/>
      <c r="DZ23" s="68"/>
      <c r="EA23" s="35"/>
      <c r="EB23" s="35"/>
      <c r="EC23" s="35"/>
      <c r="ED23" s="35"/>
      <c r="EE23" s="35"/>
      <c r="EF23" s="35"/>
      <c r="EG23" s="35"/>
      <c r="EH23" s="35"/>
      <c r="EI23" s="35"/>
      <c r="EJ23" s="35"/>
      <c r="EK23" s="35"/>
      <c r="EL23" s="35"/>
    </row>
    <row r="24" spans="1:142">
      <c r="A24" s="34" t="s">
        <v>348</v>
      </c>
      <c r="B24" s="14">
        <v>44515</v>
      </c>
      <c r="C24">
        <v>10.199999999999999</v>
      </c>
      <c r="D24">
        <v>17.440000000000001</v>
      </c>
      <c r="E24">
        <v>7.2370000000000001</v>
      </c>
      <c r="F24" s="12">
        <v>1.966</v>
      </c>
      <c r="G24">
        <v>5.5229999999999997</v>
      </c>
      <c r="H24">
        <v>3.5569999999999999</v>
      </c>
      <c r="I24" s="12">
        <f t="shared" si="10"/>
        <v>0.19274509803921569</v>
      </c>
      <c r="J24">
        <v>8.7430000000000003</v>
      </c>
      <c r="K24">
        <v>18.760000000000002</v>
      </c>
      <c r="L24">
        <v>10.02</v>
      </c>
      <c r="M24" s="12">
        <f t="shared" si="11"/>
        <v>0.85715686274509817</v>
      </c>
      <c r="N24">
        <v>8.6010000000000009</v>
      </c>
      <c r="O24">
        <v>18.57</v>
      </c>
      <c r="P24">
        <v>9.9689999999999994</v>
      </c>
      <c r="Q24" s="12">
        <f t="shared" si="12"/>
        <v>0.84323529411764719</v>
      </c>
      <c r="R24">
        <v>8.8089999999999993</v>
      </c>
      <c r="S24">
        <v>18.920000000000002</v>
      </c>
      <c r="T24">
        <v>10.11</v>
      </c>
      <c r="U24" s="12">
        <f t="shared" si="13"/>
        <v>0.86362745098039218</v>
      </c>
      <c r="V24">
        <v>8.23</v>
      </c>
      <c r="W24">
        <v>19.850000000000001</v>
      </c>
      <c r="X24">
        <v>11.62</v>
      </c>
      <c r="Y24" s="12">
        <f t="shared" si="14"/>
        <v>0.80686274509803935</v>
      </c>
      <c r="Z24">
        <v>8.0020000000000007</v>
      </c>
      <c r="AA24">
        <v>54.11</v>
      </c>
      <c r="AB24">
        <v>46.11</v>
      </c>
      <c r="AC24">
        <v>6.8540000000000001</v>
      </c>
      <c r="AD24">
        <v>57.12</v>
      </c>
      <c r="AE24">
        <v>50.27</v>
      </c>
      <c r="AF24" s="12">
        <f t="shared" si="8"/>
        <v>0.85653586603349152</v>
      </c>
      <c r="AG24">
        <v>7.202</v>
      </c>
      <c r="AH24">
        <v>54.86</v>
      </c>
      <c r="AI24">
        <v>47.66</v>
      </c>
      <c r="AJ24" s="12">
        <f t="shared" si="15"/>
        <v>0.90002499375156197</v>
      </c>
      <c r="AK24">
        <v>8.0399999999999991</v>
      </c>
      <c r="AL24">
        <v>54.57</v>
      </c>
      <c r="AM24">
        <v>46.53</v>
      </c>
      <c r="AN24" s="12">
        <f t="shared" si="16"/>
        <v>1.0047488127968005</v>
      </c>
      <c r="AO24">
        <v>8.4540000000000006</v>
      </c>
      <c r="AP24">
        <v>54.86</v>
      </c>
      <c r="AQ24">
        <v>46.41</v>
      </c>
      <c r="AR24" s="12">
        <f t="shared" si="17"/>
        <v>1.0564858785303675</v>
      </c>
      <c r="AS24" s="12">
        <v>1.746</v>
      </c>
      <c r="AT24">
        <v>54.69</v>
      </c>
      <c r="AU24">
        <v>52.95</v>
      </c>
      <c r="AV24" s="12">
        <f t="shared" si="18"/>
        <v>0.21819545113721567</v>
      </c>
      <c r="AW24">
        <v>-0.47010000000000002</v>
      </c>
      <c r="AX24">
        <v>9.0810000000000002E-2</v>
      </c>
      <c r="AY24">
        <v>0.56089999999999995</v>
      </c>
      <c r="AZ24">
        <f>6*0.83333</f>
        <v>4.9999799999999999</v>
      </c>
      <c r="BG24" s="39"/>
      <c r="BH24" s="39"/>
      <c r="BI24" s="68"/>
      <c r="BJ24" s="68"/>
      <c r="BK24" s="68"/>
      <c r="BL24" s="68"/>
      <c r="BM24" s="68"/>
      <c r="BN24" s="68"/>
      <c r="BO24" s="68"/>
      <c r="BP24" s="68"/>
      <c r="BQ24" s="68"/>
      <c r="BR24" s="68"/>
      <c r="BS24" s="68"/>
      <c r="BT24" s="68"/>
      <c r="BU24" s="68"/>
      <c r="BV24" s="68"/>
      <c r="BW24" s="68"/>
      <c r="BX24" s="68"/>
      <c r="BY24" s="68"/>
      <c r="BZ24" s="68"/>
      <c r="CA24" s="68"/>
      <c r="CB24" s="68"/>
      <c r="CC24" s="68"/>
      <c r="CD24" s="673"/>
      <c r="CE24" s="39"/>
      <c r="CF24" s="68"/>
      <c r="CG24" s="68"/>
      <c r="CH24" s="68"/>
      <c r="CI24" s="68"/>
      <c r="CJ24" s="68"/>
      <c r="CK24" s="68"/>
      <c r="CL24" s="68"/>
      <c r="CM24" s="68"/>
      <c r="CN24" s="68"/>
      <c r="CO24" s="68"/>
      <c r="CP24" s="68"/>
      <c r="CQ24" s="68"/>
      <c r="CR24" s="68"/>
      <c r="CS24" s="68"/>
      <c r="CT24" s="68"/>
      <c r="CU24" s="35"/>
      <c r="CV24" s="35"/>
      <c r="CW24" s="68"/>
      <c r="CX24" s="68"/>
      <c r="CY24" s="68"/>
      <c r="CZ24" s="68"/>
      <c r="DA24" s="68"/>
      <c r="DB24" s="68"/>
      <c r="DC24" s="35"/>
      <c r="DO24" s="39"/>
      <c r="DP24" s="68"/>
      <c r="DQ24" s="39"/>
      <c r="DR24" s="68"/>
      <c r="DS24" s="68"/>
      <c r="DT24" s="68"/>
      <c r="DU24" s="68"/>
      <c r="DV24" s="39"/>
      <c r="DW24" s="68"/>
      <c r="DX24" s="68"/>
      <c r="DY24" s="68"/>
      <c r="DZ24" s="68"/>
      <c r="EA24" s="35"/>
      <c r="EB24" s="35"/>
      <c r="EC24" s="35"/>
      <c r="ED24" s="35"/>
      <c r="EE24" s="35"/>
      <c r="EF24" s="35"/>
      <c r="EG24" s="35"/>
      <c r="EH24" s="35"/>
      <c r="EI24" s="35"/>
      <c r="EJ24" s="35"/>
      <c r="EK24" s="35"/>
      <c r="EL24" s="35"/>
    </row>
    <row r="25" spans="1:142">
      <c r="A25" s="34" t="s">
        <v>348</v>
      </c>
      <c r="B25" s="14">
        <v>44517</v>
      </c>
      <c r="C25">
        <v>12.69</v>
      </c>
      <c r="D25">
        <v>17</v>
      </c>
      <c r="E25">
        <v>4.3150000000000004</v>
      </c>
      <c r="F25" s="12">
        <v>1.9219999999999999</v>
      </c>
      <c r="G25">
        <v>5.7140000000000004</v>
      </c>
      <c r="H25">
        <v>3.7919999999999998</v>
      </c>
      <c r="I25" s="12">
        <f t="shared" si="10"/>
        <v>0.15145784081954294</v>
      </c>
      <c r="J25">
        <v>8.7309999999999999</v>
      </c>
      <c r="K25">
        <v>18.21</v>
      </c>
      <c r="L25">
        <v>9.4760000000000009</v>
      </c>
      <c r="M25" s="12">
        <f t="shared" si="11"/>
        <v>0.68802206461780935</v>
      </c>
      <c r="N25">
        <v>8.5429999999999993</v>
      </c>
      <c r="O25">
        <v>18.440000000000001</v>
      </c>
      <c r="P25">
        <v>9.8960000000000008</v>
      </c>
      <c r="Q25" s="12">
        <f t="shared" si="12"/>
        <v>0.6732072498029944</v>
      </c>
      <c r="R25">
        <v>8.5619999999999994</v>
      </c>
      <c r="S25">
        <v>18.170000000000002</v>
      </c>
      <c r="T25">
        <v>9.609</v>
      </c>
      <c r="U25" s="12">
        <f t="shared" si="13"/>
        <v>0.6747044917257683</v>
      </c>
      <c r="V25">
        <v>8.7170000000000005</v>
      </c>
      <c r="W25">
        <v>19.37</v>
      </c>
      <c r="X25">
        <v>10.66</v>
      </c>
      <c r="Y25" s="12">
        <f t="shared" si="14"/>
        <v>0.68691883372734441</v>
      </c>
      <c r="Z25">
        <v>10.6</v>
      </c>
      <c r="AA25">
        <v>69.989999999999995</v>
      </c>
      <c r="AB25">
        <v>59.39</v>
      </c>
      <c r="AC25">
        <v>9.8889999999999993</v>
      </c>
      <c r="AD25">
        <v>71.2</v>
      </c>
      <c r="AE25">
        <v>61.31</v>
      </c>
      <c r="AF25" s="12">
        <f t="shared" si="8"/>
        <v>0.93292452830188677</v>
      </c>
      <c r="AG25">
        <v>7.7830000000000004</v>
      </c>
      <c r="AH25">
        <v>70.62</v>
      </c>
      <c r="AI25">
        <v>62.83</v>
      </c>
      <c r="AJ25" s="12">
        <f t="shared" si="15"/>
        <v>0.73424528301886793</v>
      </c>
      <c r="AK25">
        <v>9.0039999999999996</v>
      </c>
      <c r="AL25">
        <v>70.23</v>
      </c>
      <c r="AM25">
        <v>61.23</v>
      </c>
      <c r="AN25" s="12">
        <f t="shared" si="16"/>
        <v>0.84943396226415091</v>
      </c>
      <c r="AO25">
        <v>10.32</v>
      </c>
      <c r="AP25">
        <v>70.28</v>
      </c>
      <c r="AQ25">
        <v>59.97</v>
      </c>
      <c r="AR25" s="12">
        <f t="shared" si="17"/>
        <v>0.97358490566037736</v>
      </c>
      <c r="AS25" s="12">
        <v>0.35759999999999997</v>
      </c>
      <c r="AT25">
        <v>54.31</v>
      </c>
      <c r="AU25">
        <v>53.95</v>
      </c>
      <c r="AV25" s="12">
        <f t="shared" si="18"/>
        <v>3.3735849056603776E-2</v>
      </c>
      <c r="AW25">
        <v>1.8879999999999999</v>
      </c>
      <c r="AX25">
        <v>1.2310000000000001</v>
      </c>
      <c r="AY25">
        <v>-0.65659999999999996</v>
      </c>
      <c r="AZ25">
        <f>0.2*25</f>
        <v>5</v>
      </c>
      <c r="BA25">
        <f>25/30</f>
        <v>0.83333333333333337</v>
      </c>
      <c r="BG25" s="39"/>
      <c r="BH25" s="39"/>
      <c r="BI25" s="68"/>
      <c r="BJ25" s="68"/>
      <c r="BK25" s="68"/>
      <c r="BL25" s="35"/>
      <c r="BM25" s="68"/>
      <c r="BN25" s="68"/>
      <c r="BO25" s="68"/>
      <c r="BP25" s="68"/>
      <c r="BQ25" s="68"/>
      <c r="BR25" s="68"/>
      <c r="BS25" s="68"/>
      <c r="BT25" s="68"/>
      <c r="BU25" s="68"/>
      <c r="BV25" s="68"/>
      <c r="BW25" s="68"/>
      <c r="BX25" s="68"/>
      <c r="BY25" s="68"/>
      <c r="BZ25" s="68"/>
      <c r="CA25" s="68"/>
      <c r="CB25" s="68"/>
      <c r="CC25" s="68"/>
      <c r="CD25" s="673"/>
      <c r="CE25" s="39"/>
      <c r="CF25" s="68"/>
      <c r="CG25" s="68"/>
      <c r="CH25" s="68"/>
      <c r="CI25" s="68"/>
      <c r="CJ25" s="68"/>
      <c r="CK25" s="68"/>
      <c r="CL25" s="68"/>
      <c r="CM25" s="68"/>
      <c r="CN25" s="68"/>
      <c r="CO25" s="68"/>
      <c r="CP25" s="68"/>
      <c r="CQ25" s="68"/>
      <c r="CR25" s="68"/>
      <c r="CS25" s="68"/>
      <c r="CT25" s="68"/>
      <c r="CU25" s="35"/>
      <c r="CV25" s="35"/>
      <c r="CW25" s="68"/>
      <c r="CX25" s="68"/>
      <c r="CY25" s="68"/>
      <c r="CZ25" s="68"/>
      <c r="DA25" s="68"/>
      <c r="DB25" s="68"/>
      <c r="DC25" s="35"/>
      <c r="DO25" s="39"/>
      <c r="DP25" s="68"/>
      <c r="DQ25" s="39"/>
      <c r="DR25" s="68"/>
      <c r="DS25" s="68"/>
      <c r="DT25" s="68"/>
      <c r="DU25" s="68"/>
      <c r="DV25" s="39"/>
      <c r="DW25" s="68"/>
      <c r="DX25" s="68"/>
      <c r="DY25" s="68"/>
      <c r="DZ25" s="68"/>
      <c r="EA25" s="35"/>
      <c r="EB25" s="35"/>
      <c r="EC25" s="35"/>
      <c r="ED25" s="35"/>
      <c r="EE25" s="35"/>
      <c r="EF25" s="35"/>
      <c r="EG25" s="35"/>
      <c r="EH25" s="35"/>
      <c r="EI25" s="35"/>
      <c r="EJ25" s="35"/>
      <c r="EK25" s="35"/>
      <c r="EL25" s="35"/>
    </row>
    <row r="26" spans="1:142">
      <c r="A26" s="34" t="s">
        <v>348</v>
      </c>
      <c r="B26" s="14">
        <v>44519</v>
      </c>
      <c r="C26">
        <v>11.71</v>
      </c>
      <c r="D26">
        <v>16.760000000000002</v>
      </c>
      <c r="E26">
        <v>5.0549999999999997</v>
      </c>
      <c r="F26" s="12">
        <v>1.8320000000000001</v>
      </c>
      <c r="G26">
        <v>5.1310000000000002</v>
      </c>
      <c r="H26">
        <v>3.298</v>
      </c>
      <c r="I26" s="12">
        <f t="shared" si="10"/>
        <v>0.15644748078565329</v>
      </c>
      <c r="J26">
        <v>8.3480000000000008</v>
      </c>
      <c r="K26">
        <v>18.25</v>
      </c>
      <c r="L26">
        <v>9.9039999999999999</v>
      </c>
      <c r="M26" s="12">
        <f t="shared" si="11"/>
        <v>0.71289496157130661</v>
      </c>
      <c r="N26">
        <v>8.4529999999999994</v>
      </c>
      <c r="O26">
        <v>18.34</v>
      </c>
      <c r="P26">
        <v>9.891</v>
      </c>
      <c r="Q26" s="12">
        <f t="shared" si="12"/>
        <v>0.72186165670367197</v>
      </c>
      <c r="R26">
        <v>8.5510000000000002</v>
      </c>
      <c r="S26">
        <v>18.36</v>
      </c>
      <c r="T26">
        <v>9.8140000000000001</v>
      </c>
      <c r="U26" s="12">
        <f t="shared" si="13"/>
        <v>0.73023057216054654</v>
      </c>
      <c r="V26">
        <v>8.1989999999999998</v>
      </c>
      <c r="W26">
        <v>19.36</v>
      </c>
      <c r="X26">
        <v>11.16</v>
      </c>
      <c r="Y26" s="12">
        <f t="shared" si="14"/>
        <v>0.70017079419299733</v>
      </c>
      <c r="Z26">
        <v>9.1129999999999995</v>
      </c>
      <c r="AA26">
        <v>69.36</v>
      </c>
      <c r="AB26">
        <v>60.24</v>
      </c>
      <c r="AC26">
        <v>5.3739999999999997</v>
      </c>
      <c r="AD26">
        <v>68.84</v>
      </c>
      <c r="AE26">
        <v>63.46</v>
      </c>
      <c r="AF26" s="12">
        <f t="shared" si="8"/>
        <v>0.58970701196093489</v>
      </c>
      <c r="AG26">
        <v>7.3780000000000001</v>
      </c>
      <c r="AH26">
        <v>68.34</v>
      </c>
      <c r="AI26">
        <v>60.96</v>
      </c>
      <c r="AJ26" s="12">
        <f t="shared" si="15"/>
        <v>0.80961264128168553</v>
      </c>
      <c r="AK26">
        <v>6.1340000000000003</v>
      </c>
      <c r="AL26">
        <v>68.39</v>
      </c>
      <c r="AM26">
        <v>62.26</v>
      </c>
      <c r="AN26" s="12">
        <f t="shared" si="16"/>
        <v>0.67310435641391431</v>
      </c>
      <c r="AO26">
        <v>5.391</v>
      </c>
      <c r="AP26">
        <v>68.180000000000007</v>
      </c>
      <c r="AQ26">
        <v>62.79</v>
      </c>
      <c r="AR26" s="12">
        <f t="shared" si="17"/>
        <v>0.59157247887633058</v>
      </c>
      <c r="AS26" s="12">
        <v>0.96630000000000005</v>
      </c>
      <c r="AT26">
        <v>51.8</v>
      </c>
      <c r="AU26">
        <v>50.83</v>
      </c>
      <c r="AV26" s="12">
        <f t="shared" si="18"/>
        <v>0.10603533413804456</v>
      </c>
      <c r="AW26">
        <v>1.9379999999999999</v>
      </c>
      <c r="AX26">
        <v>1.333</v>
      </c>
      <c r="AY26">
        <v>-0.6048</v>
      </c>
      <c r="BG26" s="39"/>
      <c r="BH26" s="39"/>
      <c r="BI26" s="68"/>
      <c r="BJ26" s="68"/>
      <c r="BK26" s="68"/>
      <c r="BL26" s="35"/>
      <c r="BM26" s="68"/>
      <c r="BN26" s="68"/>
      <c r="BO26" s="68"/>
      <c r="BP26" s="68"/>
      <c r="BQ26" s="68"/>
      <c r="BR26" s="68"/>
      <c r="BS26" s="68"/>
      <c r="BT26" s="68"/>
      <c r="BU26" s="68"/>
      <c r="BV26" s="68"/>
      <c r="BW26" s="68"/>
      <c r="BX26" s="68"/>
      <c r="BY26" s="68"/>
      <c r="BZ26" s="68"/>
      <c r="CA26" s="68"/>
      <c r="CB26" s="68"/>
      <c r="CC26" s="68"/>
      <c r="CD26" s="673"/>
      <c r="CE26" s="39"/>
      <c r="CF26" s="68"/>
      <c r="CG26" s="68"/>
      <c r="CH26" s="68"/>
      <c r="CI26" s="68"/>
      <c r="CJ26" s="68"/>
      <c r="CK26" s="68"/>
      <c r="CL26" s="68"/>
      <c r="CM26" s="68"/>
      <c r="CN26" s="68"/>
      <c r="CO26" s="68"/>
      <c r="CP26" s="68"/>
      <c r="CQ26" s="68"/>
      <c r="CR26" s="68"/>
      <c r="CS26" s="68"/>
      <c r="CT26" s="68"/>
      <c r="CU26" s="35"/>
      <c r="CV26" s="35"/>
      <c r="CW26" s="68"/>
      <c r="CX26" s="68"/>
      <c r="CY26" s="68"/>
      <c r="CZ26" s="68"/>
      <c r="DA26" s="68"/>
      <c r="DB26" s="68"/>
      <c r="DC26" s="35"/>
      <c r="DO26" s="39"/>
      <c r="DP26" s="35"/>
      <c r="DQ26" s="39"/>
      <c r="DR26" s="68"/>
      <c r="DS26" s="68"/>
      <c r="DT26" s="68"/>
      <c r="DU26" s="68"/>
      <c r="DV26" s="39"/>
      <c r="DW26" s="68"/>
      <c r="DX26" s="68"/>
      <c r="DY26" s="68"/>
      <c r="DZ26" s="68"/>
      <c r="EA26" s="35"/>
      <c r="EB26" s="35"/>
      <c r="EC26" s="35"/>
      <c r="ED26" s="35"/>
      <c r="EE26" s="35"/>
      <c r="EF26" s="35"/>
      <c r="EG26" s="35"/>
      <c r="EH26" s="35"/>
      <c r="EI26" s="35"/>
      <c r="EJ26" s="35"/>
      <c r="EK26" s="35"/>
      <c r="EL26" s="35"/>
    </row>
    <row r="27" spans="1:142">
      <c r="A27" s="34" t="s">
        <v>496</v>
      </c>
      <c r="B27" s="14">
        <v>44522</v>
      </c>
      <c r="C27">
        <v>13.92</v>
      </c>
      <c r="D27">
        <v>18.04</v>
      </c>
      <c r="E27">
        <v>4.1219999999999999</v>
      </c>
      <c r="F27" s="126">
        <v>1.1180000000000001</v>
      </c>
      <c r="G27" s="127">
        <v>4.8109999999999999</v>
      </c>
      <c r="H27" s="127">
        <v>3.6930000000000001</v>
      </c>
      <c r="I27" s="12">
        <f t="shared" si="10"/>
        <v>8.0316091954022992E-2</v>
      </c>
      <c r="J27" s="1">
        <v>8.6440000000000001</v>
      </c>
      <c r="K27" s="1">
        <v>19.02</v>
      </c>
      <c r="L27" s="1">
        <v>10.37</v>
      </c>
      <c r="M27" s="12">
        <f t="shared" si="11"/>
        <v>0.62097701149425288</v>
      </c>
      <c r="N27" s="2">
        <v>8.3970000000000002</v>
      </c>
      <c r="O27" s="2">
        <v>18.920000000000002</v>
      </c>
      <c r="P27" s="2">
        <v>10.52</v>
      </c>
      <c r="Q27" s="12">
        <f t="shared" si="12"/>
        <v>0.6032327586206897</v>
      </c>
      <c r="R27" s="3">
        <v>8.61</v>
      </c>
      <c r="S27" s="3">
        <v>18.75</v>
      </c>
      <c r="T27" s="3">
        <v>10.14</v>
      </c>
      <c r="U27" s="12">
        <f t="shared" si="13"/>
        <v>0.61853448275862066</v>
      </c>
      <c r="V27" s="4">
        <v>10.29</v>
      </c>
      <c r="W27" s="4">
        <v>21.01</v>
      </c>
      <c r="X27" s="4">
        <v>10.73</v>
      </c>
      <c r="Y27" s="12">
        <f t="shared" si="14"/>
        <v>0.73922413793103448</v>
      </c>
      <c r="Z27">
        <v>12.77</v>
      </c>
      <c r="AA27">
        <v>68.72</v>
      </c>
      <c r="AB27">
        <v>55.95</v>
      </c>
      <c r="AC27" s="4">
        <v>10.75</v>
      </c>
      <c r="AD27" s="4">
        <v>81.59</v>
      </c>
      <c r="AE27" s="4">
        <v>70.84</v>
      </c>
      <c r="AF27" s="12">
        <f t="shared" si="8"/>
        <v>0.84181675802662492</v>
      </c>
      <c r="AG27" s="1">
        <v>9.3620000000000001</v>
      </c>
      <c r="AH27" s="1">
        <v>71.73</v>
      </c>
      <c r="AI27" s="1">
        <v>62.37</v>
      </c>
      <c r="AJ27" s="12">
        <f t="shared" si="15"/>
        <v>0.73312451057165229</v>
      </c>
      <c r="AK27" s="2">
        <v>10.23</v>
      </c>
      <c r="AL27" s="2">
        <v>72.3</v>
      </c>
      <c r="AM27" s="2">
        <v>62.07</v>
      </c>
      <c r="AN27" s="12">
        <f t="shared" si="16"/>
        <v>0.80109631949882543</v>
      </c>
      <c r="AO27" s="3">
        <v>9.5109999999999992</v>
      </c>
      <c r="AP27" s="3">
        <v>86.73</v>
      </c>
      <c r="AQ27" s="3">
        <v>77.22</v>
      </c>
      <c r="AR27" s="12">
        <f t="shared" si="17"/>
        <v>0.74479248238057949</v>
      </c>
      <c r="AS27" s="132">
        <v>4.04</v>
      </c>
      <c r="AT27" s="72">
        <v>55.95</v>
      </c>
      <c r="AU27" s="72">
        <v>51.91</v>
      </c>
      <c r="AV27" s="12">
        <f t="shared" si="18"/>
        <v>0.31636648394675021</v>
      </c>
      <c r="AW27">
        <v>1.9179999999999999</v>
      </c>
      <c r="AX27">
        <v>1.34</v>
      </c>
      <c r="AY27">
        <v>-0.57850000000000001</v>
      </c>
      <c r="AZ27">
        <v>5.1879999999999997</v>
      </c>
      <c r="BA27">
        <v>5.601</v>
      </c>
      <c r="BB27">
        <v>24.4</v>
      </c>
      <c r="BC27">
        <v>25.03</v>
      </c>
      <c r="BG27" s="39"/>
      <c r="BH27" s="39"/>
      <c r="BI27" s="68"/>
      <c r="BJ27" s="68"/>
      <c r="BK27" s="68"/>
      <c r="BL27" s="35"/>
      <c r="BM27" s="68"/>
      <c r="BN27" s="68"/>
      <c r="BO27" s="68"/>
      <c r="BP27" s="68"/>
      <c r="BQ27" s="68"/>
      <c r="BR27" s="68"/>
      <c r="BS27" s="68"/>
      <c r="BT27" s="68"/>
      <c r="BU27" s="68"/>
      <c r="BV27" s="68"/>
      <c r="BW27" s="68"/>
      <c r="BX27" s="68"/>
      <c r="BY27" s="68"/>
      <c r="BZ27" s="68"/>
      <c r="CA27" s="68"/>
      <c r="CB27" s="68"/>
      <c r="CC27" s="68"/>
      <c r="CD27" s="673"/>
      <c r="CE27" s="39"/>
      <c r="CF27" s="68"/>
      <c r="CG27" s="68"/>
      <c r="CH27" s="68"/>
      <c r="CI27" s="68"/>
      <c r="CJ27" s="68"/>
      <c r="CK27" s="68"/>
      <c r="CL27" s="68"/>
      <c r="CM27" s="68"/>
      <c r="CN27" s="68"/>
      <c r="CO27" s="68"/>
      <c r="CP27" s="68"/>
      <c r="CQ27" s="68"/>
      <c r="CR27" s="68"/>
      <c r="CS27" s="68"/>
      <c r="CT27" s="68"/>
      <c r="CU27" s="35"/>
      <c r="CV27" s="35"/>
      <c r="CW27" s="68"/>
      <c r="CX27" s="68"/>
      <c r="CY27" s="68"/>
      <c r="CZ27" s="68"/>
      <c r="DA27" s="68"/>
      <c r="DB27" s="68"/>
      <c r="DC27" s="35"/>
      <c r="DO27" s="39"/>
      <c r="DP27" s="68"/>
      <c r="DQ27" s="39"/>
      <c r="DR27" s="68"/>
      <c r="DS27" s="68"/>
      <c r="DT27" s="68"/>
      <c r="DU27" s="68"/>
      <c r="DV27" s="39"/>
      <c r="DW27" s="68"/>
      <c r="DX27" s="68"/>
      <c r="DY27" s="68"/>
      <c r="DZ27" s="68"/>
      <c r="EA27" s="35"/>
      <c r="EB27" s="35"/>
      <c r="EC27" s="35"/>
      <c r="ED27" s="35"/>
      <c r="EE27" s="35"/>
      <c r="EF27" s="35"/>
      <c r="EG27" s="35"/>
      <c r="EH27" s="35"/>
      <c r="EI27" s="35"/>
      <c r="EJ27" s="35"/>
      <c r="EK27" s="35"/>
      <c r="EL27" s="35"/>
    </row>
    <row r="28" spans="1:142">
      <c r="A28" s="34" t="s">
        <v>496</v>
      </c>
      <c r="B28" s="14">
        <v>44524</v>
      </c>
      <c r="C28">
        <v>14.41</v>
      </c>
      <c r="D28">
        <v>17.329999999999998</v>
      </c>
      <c r="E28">
        <v>2.9159999999999999</v>
      </c>
      <c r="F28" s="126">
        <v>0.97609999999999997</v>
      </c>
      <c r="G28" s="127">
        <v>4.782</v>
      </c>
      <c r="H28" s="127">
        <v>3.806</v>
      </c>
      <c r="I28" s="12">
        <f t="shared" si="10"/>
        <v>6.7737682165163085E-2</v>
      </c>
      <c r="J28" s="1">
        <v>8.0790000000000006</v>
      </c>
      <c r="K28" s="1">
        <v>17.72</v>
      </c>
      <c r="L28" s="1">
        <v>9.6440000000000001</v>
      </c>
      <c r="M28" s="12">
        <f t="shared" si="11"/>
        <v>0.56065232477446225</v>
      </c>
      <c r="N28" s="2">
        <v>6.7880000000000003</v>
      </c>
      <c r="O28" s="2">
        <v>17.43</v>
      </c>
      <c r="P28" s="2">
        <v>10.64</v>
      </c>
      <c r="Q28" s="12">
        <f t="shared" si="12"/>
        <v>0.47106176266481609</v>
      </c>
      <c r="R28" s="3">
        <v>8.1780000000000008</v>
      </c>
      <c r="S28" s="3">
        <v>18.350000000000001</v>
      </c>
      <c r="T28" s="3">
        <v>10.17</v>
      </c>
      <c r="U28" s="12">
        <f t="shared" si="13"/>
        <v>0.56752255378209582</v>
      </c>
      <c r="V28" s="4">
        <v>8.8070000000000004</v>
      </c>
      <c r="W28" s="4">
        <v>18.97</v>
      </c>
      <c r="X28" s="4">
        <v>10.17</v>
      </c>
      <c r="Y28" s="12">
        <f t="shared" si="14"/>
        <v>0.61117279666897995</v>
      </c>
      <c r="Z28">
        <v>12.58</v>
      </c>
      <c r="AA28">
        <v>67.36</v>
      </c>
      <c r="AB28">
        <v>54.78</v>
      </c>
      <c r="AC28" s="4">
        <v>8.7279999999999998</v>
      </c>
      <c r="AD28" s="4">
        <v>68.040000000000006</v>
      </c>
      <c r="AE28" s="4">
        <v>59.32</v>
      </c>
      <c r="AF28" s="12">
        <f t="shared" si="8"/>
        <v>0.69379968203497611</v>
      </c>
      <c r="AG28" s="1">
        <v>7.9630000000000001</v>
      </c>
      <c r="AH28" s="1">
        <v>67.67</v>
      </c>
      <c r="AI28" s="1">
        <v>59.71</v>
      </c>
      <c r="AJ28" s="12">
        <f t="shared" si="15"/>
        <v>0.63298887122416536</v>
      </c>
      <c r="AK28" s="2">
        <v>8.3089999999999993</v>
      </c>
      <c r="AL28" s="2">
        <v>67.650000000000006</v>
      </c>
      <c r="AM28" s="2">
        <v>59.34</v>
      </c>
      <c r="AN28" s="12">
        <f t="shared" si="16"/>
        <v>0.66049284578696332</v>
      </c>
      <c r="AO28" s="47">
        <v>8.8770000000000007</v>
      </c>
      <c r="AP28" s="47">
        <v>67.2</v>
      </c>
      <c r="AQ28" s="47">
        <v>58.33</v>
      </c>
      <c r="AR28" s="12">
        <f t="shared" si="17"/>
        <v>0.70564387917329097</v>
      </c>
      <c r="AS28" s="132">
        <v>4.1589999999999998</v>
      </c>
      <c r="AT28" s="72">
        <v>65.48</v>
      </c>
      <c r="AU28" s="72">
        <v>61.32</v>
      </c>
      <c r="AV28" s="12">
        <f t="shared" si="18"/>
        <v>0.33060413354530999</v>
      </c>
      <c r="AW28">
        <v>1.9279999999999999</v>
      </c>
      <c r="AX28">
        <v>1.3839999999999999</v>
      </c>
      <c r="AY28">
        <v>-0.54379999999999995</v>
      </c>
      <c r="BB28">
        <v>25.12</v>
      </c>
      <c r="BC28">
        <v>28.58</v>
      </c>
      <c r="BG28" s="39"/>
      <c r="BH28" s="39"/>
      <c r="BI28" s="68"/>
      <c r="BJ28" s="68"/>
      <c r="BK28" s="68"/>
      <c r="BL28" s="35"/>
      <c r="BM28" s="68"/>
      <c r="BN28" s="68"/>
      <c r="BO28" s="68"/>
      <c r="BP28" s="68"/>
      <c r="BQ28" s="68"/>
      <c r="BR28" s="68"/>
      <c r="BS28" s="68"/>
      <c r="BT28" s="68"/>
      <c r="BU28" s="68"/>
      <c r="BV28" s="68"/>
      <c r="BW28" s="68"/>
      <c r="BX28" s="68"/>
      <c r="BY28" s="68"/>
      <c r="BZ28" s="68"/>
      <c r="CA28" s="68"/>
      <c r="CB28" s="68"/>
      <c r="CC28" s="68"/>
      <c r="CD28" s="673"/>
      <c r="CE28" s="39"/>
      <c r="CF28" s="68"/>
      <c r="CG28" s="68"/>
      <c r="CH28" s="68"/>
      <c r="CI28" s="68"/>
      <c r="CJ28" s="68"/>
      <c r="CK28" s="68"/>
      <c r="CL28" s="68"/>
      <c r="CM28" s="68"/>
      <c r="CN28" s="68"/>
      <c r="CO28" s="68"/>
      <c r="CP28" s="68"/>
      <c r="CQ28" s="68"/>
      <c r="CR28" s="68"/>
      <c r="CS28" s="68"/>
      <c r="CT28" s="68"/>
      <c r="CU28" s="35"/>
      <c r="CV28" s="35"/>
      <c r="CW28" s="68"/>
      <c r="CX28" s="68"/>
      <c r="CY28" s="68"/>
      <c r="CZ28" s="68"/>
      <c r="DA28" s="674"/>
      <c r="DB28" s="68"/>
      <c r="DC28" s="35"/>
      <c r="DO28" s="39"/>
      <c r="DP28" s="35"/>
      <c r="DQ28" s="39"/>
      <c r="DR28" s="68"/>
      <c r="DS28" s="68"/>
      <c r="DT28" s="68"/>
      <c r="DU28" s="68"/>
      <c r="DV28" s="39"/>
      <c r="DW28" s="68"/>
      <c r="DX28" s="68"/>
      <c r="DY28" s="68"/>
      <c r="DZ28" s="68"/>
      <c r="EA28" s="35"/>
      <c r="EB28" s="35"/>
      <c r="EC28" s="35"/>
      <c r="ED28" s="35"/>
      <c r="EE28" s="35"/>
      <c r="EF28" s="35"/>
      <c r="EG28" s="35"/>
      <c r="EH28" s="35"/>
      <c r="EI28" s="35"/>
      <c r="EJ28" s="35"/>
      <c r="EK28" s="35"/>
      <c r="EL28" s="35"/>
    </row>
    <row r="29" spans="1:142">
      <c r="A29" s="34" t="s">
        <v>496</v>
      </c>
      <c r="B29" s="14">
        <v>44533</v>
      </c>
      <c r="C29">
        <v>11.23</v>
      </c>
      <c r="D29">
        <v>16.440000000000001</v>
      </c>
      <c r="E29">
        <v>5.2110000000000003</v>
      </c>
      <c r="F29" s="126">
        <v>0.9577</v>
      </c>
      <c r="G29" s="127">
        <v>4.9009999999999998</v>
      </c>
      <c r="H29" s="127">
        <v>3.9430000000000001</v>
      </c>
      <c r="I29" s="12">
        <f t="shared" si="10"/>
        <v>8.5280498664292076E-2</v>
      </c>
      <c r="J29" s="1">
        <v>6.9690000000000003</v>
      </c>
      <c r="K29" s="1">
        <v>17.12</v>
      </c>
      <c r="L29" s="1">
        <v>10.15</v>
      </c>
      <c r="M29" s="12">
        <f t="shared" si="11"/>
        <v>0.62056990204808549</v>
      </c>
      <c r="N29" s="2">
        <v>11.24</v>
      </c>
      <c r="O29" s="2">
        <v>22.67</v>
      </c>
      <c r="P29" s="2">
        <v>11.43</v>
      </c>
      <c r="Q29" s="12">
        <f t="shared" si="12"/>
        <v>1.0008904719501335</v>
      </c>
      <c r="R29" s="3">
        <v>7.8570000000000002</v>
      </c>
      <c r="S29" s="3">
        <v>18.149999999999999</v>
      </c>
      <c r="T29" s="3">
        <v>10.3</v>
      </c>
      <c r="U29" s="12">
        <f t="shared" si="13"/>
        <v>0.69964381121994657</v>
      </c>
      <c r="V29" s="4">
        <v>8.548</v>
      </c>
      <c r="W29" s="4">
        <v>18.940000000000001</v>
      </c>
      <c r="X29" s="4">
        <v>10.39</v>
      </c>
      <c r="Y29" s="12">
        <f t="shared" si="14"/>
        <v>0.76117542297417629</v>
      </c>
      <c r="Z29">
        <v>13.68</v>
      </c>
      <c r="AA29">
        <v>61.97</v>
      </c>
      <c r="AB29">
        <v>48.29</v>
      </c>
      <c r="AC29" s="4">
        <v>9.923</v>
      </c>
      <c r="AD29" s="4">
        <v>63.31</v>
      </c>
      <c r="AE29" s="4">
        <v>53.38</v>
      </c>
      <c r="AF29" s="12">
        <f t="shared" si="8"/>
        <v>0.72536549707602338</v>
      </c>
      <c r="AG29" s="1">
        <v>10.98</v>
      </c>
      <c r="AH29" s="1">
        <v>61.69</v>
      </c>
      <c r="AI29" s="1">
        <v>50.71</v>
      </c>
      <c r="AJ29" s="12">
        <f t="shared" si="15"/>
        <v>0.80263157894736847</v>
      </c>
      <c r="AK29" s="2">
        <v>9.8659999999999997</v>
      </c>
      <c r="AL29" s="2">
        <v>61.47</v>
      </c>
      <c r="AM29" s="2">
        <v>51.6</v>
      </c>
      <c r="AN29" s="12">
        <f t="shared" si="16"/>
        <v>0.72119883040935673</v>
      </c>
      <c r="AO29" s="3">
        <v>60.9</v>
      </c>
      <c r="AP29" s="3">
        <v>61.63</v>
      </c>
      <c r="AQ29" s="3">
        <v>0.72960000000000003</v>
      </c>
      <c r="AR29" s="12">
        <f t="shared" si="17"/>
        <v>4.4517543859649127</v>
      </c>
      <c r="AS29" s="132">
        <v>1.1040000000000001</v>
      </c>
      <c r="AT29" s="72">
        <v>49.19</v>
      </c>
      <c r="AU29" s="72">
        <v>48.18</v>
      </c>
      <c r="AV29" s="12">
        <f t="shared" si="18"/>
        <v>8.0701754385964927E-2</v>
      </c>
      <c r="AW29">
        <v>1.9770000000000001</v>
      </c>
      <c r="AX29">
        <v>1.429</v>
      </c>
      <c r="AY29">
        <v>-0.54790000000000005</v>
      </c>
      <c r="BB29">
        <v>0.91080000000000005</v>
      </c>
      <c r="BC29">
        <v>1.466</v>
      </c>
      <c r="BG29" s="39"/>
      <c r="BH29" s="39"/>
      <c r="BI29" s="68"/>
      <c r="BJ29" s="68"/>
      <c r="BK29" s="68"/>
      <c r="BL29" s="35"/>
      <c r="BM29" s="68"/>
      <c r="BN29" s="68"/>
      <c r="BO29" s="68"/>
      <c r="BP29" s="68"/>
      <c r="BQ29" s="68"/>
      <c r="BR29" s="68"/>
      <c r="BS29" s="68"/>
      <c r="BT29" s="68"/>
      <c r="BU29" s="68"/>
      <c r="BV29" s="68"/>
      <c r="BW29" s="68"/>
      <c r="BX29" s="68"/>
      <c r="BY29" s="68"/>
      <c r="BZ29" s="68"/>
      <c r="CA29" s="68"/>
      <c r="CB29" s="68"/>
      <c r="CC29" s="68"/>
      <c r="CD29" s="673"/>
      <c r="CE29" s="39"/>
      <c r="CF29" s="68"/>
      <c r="CG29" s="68"/>
      <c r="CH29" s="68"/>
      <c r="CI29" s="68"/>
      <c r="CJ29" s="68"/>
      <c r="CK29" s="68"/>
      <c r="CL29" s="68"/>
      <c r="CM29" s="68"/>
      <c r="CN29" s="68"/>
      <c r="CO29" s="68"/>
      <c r="CP29" s="68"/>
      <c r="CQ29" s="68"/>
      <c r="CR29" s="68"/>
      <c r="CS29" s="68"/>
      <c r="CT29" s="68"/>
      <c r="CU29" s="35"/>
      <c r="CV29" s="35"/>
      <c r="CW29" s="68"/>
      <c r="CX29" s="68"/>
      <c r="CY29" s="68"/>
      <c r="CZ29" s="68"/>
      <c r="DA29" s="68"/>
      <c r="DB29" s="68"/>
      <c r="DC29" s="35"/>
      <c r="DO29" s="39"/>
      <c r="DP29" s="35"/>
      <c r="DQ29" s="39"/>
      <c r="DR29" s="68"/>
      <c r="DS29" s="68"/>
      <c r="DT29" s="68"/>
      <c r="DU29" s="68"/>
      <c r="DV29" s="39"/>
      <c r="DW29" s="68"/>
      <c r="DX29" s="68"/>
      <c r="DY29" s="68"/>
      <c r="DZ29" s="68"/>
      <c r="EA29" s="35"/>
      <c r="EB29" s="35"/>
      <c r="EC29" s="35"/>
      <c r="ED29" s="35"/>
      <c r="EE29" s="35"/>
      <c r="EF29" s="35"/>
      <c r="EG29" s="35"/>
      <c r="EH29" s="35"/>
      <c r="EI29" s="35"/>
      <c r="EJ29" s="35"/>
      <c r="EK29" s="35"/>
      <c r="EL29" s="35"/>
    </row>
    <row r="30" spans="1:142">
      <c r="A30" s="34" t="s">
        <v>496</v>
      </c>
      <c r="B30" s="14">
        <v>44536</v>
      </c>
      <c r="C30">
        <v>13.21</v>
      </c>
      <c r="D30">
        <v>16.07</v>
      </c>
      <c r="E30">
        <v>2.859</v>
      </c>
      <c r="F30" s="126">
        <v>0.87760000000000005</v>
      </c>
      <c r="G30" s="127">
        <v>4.7389999999999999</v>
      </c>
      <c r="H30" s="127">
        <v>3.8610000000000002</v>
      </c>
      <c r="I30" s="12">
        <f t="shared" si="10"/>
        <v>6.6434519303557912E-2</v>
      </c>
      <c r="J30" s="1">
        <v>8.9019999999999992</v>
      </c>
      <c r="K30" s="1">
        <v>18.62</v>
      </c>
      <c r="L30" s="1">
        <v>9.7140000000000004</v>
      </c>
      <c r="M30" s="12">
        <f t="shared" si="11"/>
        <v>0.67388342165026482</v>
      </c>
      <c r="N30" s="2">
        <v>7.9059999999999997</v>
      </c>
      <c r="O30" s="2">
        <v>16.82</v>
      </c>
      <c r="P30" s="2">
        <v>8.9109999999999996</v>
      </c>
      <c r="Q30" s="12">
        <f t="shared" si="12"/>
        <v>0.59848599545798631</v>
      </c>
      <c r="R30" s="3">
        <v>8.0630000000000006</v>
      </c>
      <c r="S30" s="3">
        <v>18.13</v>
      </c>
      <c r="T30" s="3">
        <v>10.06</v>
      </c>
      <c r="U30" s="12">
        <f t="shared" si="13"/>
        <v>0.61037093111279339</v>
      </c>
      <c r="V30" s="4">
        <v>8.9830000000000005</v>
      </c>
      <c r="W30" s="4">
        <v>19.48</v>
      </c>
      <c r="X30" s="4">
        <v>10.5</v>
      </c>
      <c r="Y30" s="12">
        <f t="shared" si="14"/>
        <v>0.68001514004542019</v>
      </c>
      <c r="Z30">
        <v>14</v>
      </c>
      <c r="AA30">
        <v>59.32</v>
      </c>
      <c r="AB30">
        <v>45.31</v>
      </c>
      <c r="AC30" s="4">
        <v>9.734</v>
      </c>
      <c r="AD30" s="4">
        <v>61.43</v>
      </c>
      <c r="AE30" s="4">
        <v>51.7</v>
      </c>
      <c r="AF30" s="12">
        <f t="shared" si="8"/>
        <v>0.69528571428571428</v>
      </c>
      <c r="AG30" s="1">
        <v>10.55</v>
      </c>
      <c r="AH30" s="1">
        <v>60.5</v>
      </c>
      <c r="AI30" s="1">
        <v>49.96</v>
      </c>
      <c r="AJ30" s="12">
        <f t="shared" si="15"/>
        <v>0.75357142857142867</v>
      </c>
      <c r="AK30" s="2">
        <v>10.26</v>
      </c>
      <c r="AL30" s="2">
        <v>60.1</v>
      </c>
      <c r="AM30" s="2">
        <v>49.84</v>
      </c>
      <c r="AN30" s="12">
        <f t="shared" si="16"/>
        <v>0.73285714285714287</v>
      </c>
      <c r="AO30" s="3">
        <v>9.51</v>
      </c>
      <c r="AP30" s="3">
        <v>61.98</v>
      </c>
      <c r="AQ30" s="3">
        <v>52.47</v>
      </c>
      <c r="AS30" s="132">
        <v>3.8119999999999998</v>
      </c>
      <c r="AT30" s="72">
        <v>47.37</v>
      </c>
      <c r="AU30" s="72">
        <v>43.55</v>
      </c>
      <c r="AV30" s="12">
        <f t="shared" si="18"/>
        <v>0.2722857142857143</v>
      </c>
      <c r="AW30">
        <v>1.887</v>
      </c>
      <c r="AX30">
        <v>1.5720000000000001</v>
      </c>
      <c r="AY30">
        <v>-0.31480000000000002</v>
      </c>
      <c r="BB30">
        <v>24.96</v>
      </c>
      <c r="BC30">
        <v>30.2</v>
      </c>
      <c r="BG30" s="39"/>
      <c r="BH30" s="39"/>
      <c r="BI30" s="68"/>
      <c r="BJ30" s="68"/>
      <c r="BK30" s="68"/>
      <c r="BL30" s="35"/>
      <c r="BM30" s="68"/>
      <c r="BN30" s="68"/>
      <c r="BO30" s="68"/>
      <c r="BP30" s="68"/>
      <c r="BQ30" s="68"/>
      <c r="BR30" s="68"/>
      <c r="BS30" s="68"/>
      <c r="BT30" s="68"/>
      <c r="BU30" s="68"/>
      <c r="BV30" s="68"/>
      <c r="BW30" s="68"/>
      <c r="BX30" s="68"/>
      <c r="BY30" s="68"/>
      <c r="BZ30" s="68"/>
      <c r="CA30" s="68"/>
      <c r="CB30" s="68"/>
      <c r="CC30" s="68"/>
      <c r="CD30" s="673"/>
      <c r="CE30" s="39"/>
      <c r="CF30" s="68"/>
      <c r="CG30" s="68"/>
      <c r="CH30" s="68"/>
      <c r="CI30" s="68"/>
      <c r="CJ30" s="68"/>
      <c r="CK30" s="68"/>
      <c r="CL30" s="68"/>
      <c r="CM30" s="68"/>
      <c r="CN30" s="68"/>
      <c r="CO30" s="68"/>
      <c r="CP30" s="68"/>
      <c r="CQ30" s="68"/>
      <c r="CR30" s="68"/>
      <c r="CS30" s="68"/>
      <c r="CT30" s="68"/>
      <c r="CU30" s="35"/>
      <c r="CV30" s="35"/>
      <c r="CW30" s="68"/>
      <c r="CX30" s="68"/>
      <c r="CY30" s="68"/>
      <c r="CZ30" s="68"/>
      <c r="DA30" s="68"/>
      <c r="DB30" s="68"/>
      <c r="DC30" s="35"/>
      <c r="DO30" s="39"/>
      <c r="DP30" s="35"/>
      <c r="DQ30" s="39"/>
      <c r="DR30" s="68"/>
      <c r="DS30" s="68"/>
      <c r="DT30" s="68"/>
      <c r="DU30" s="68"/>
      <c r="DV30" s="35"/>
      <c r="DW30" s="35"/>
      <c r="DX30" s="35"/>
      <c r="DY30" s="35"/>
      <c r="DZ30" s="35"/>
      <c r="EA30" s="35"/>
      <c r="EB30" s="35"/>
      <c r="EC30" s="35"/>
      <c r="ED30" s="35"/>
      <c r="EE30" s="35"/>
      <c r="EF30" s="35"/>
      <c r="EG30" s="35"/>
      <c r="EH30" s="35"/>
      <c r="EI30" s="35"/>
      <c r="EJ30" s="35"/>
      <c r="EK30" s="35"/>
      <c r="EL30" s="35"/>
    </row>
    <row r="31" spans="1:142">
      <c r="A31" s="34" t="s">
        <v>496</v>
      </c>
      <c r="B31" s="14">
        <v>44538</v>
      </c>
      <c r="C31">
        <v>15.15</v>
      </c>
      <c r="D31">
        <v>17.54</v>
      </c>
      <c r="E31">
        <v>2.391</v>
      </c>
      <c r="F31" s="126">
        <v>1.532</v>
      </c>
      <c r="G31" s="127">
        <v>4.9820000000000002</v>
      </c>
      <c r="H31" s="127">
        <v>3.4510000000000001</v>
      </c>
      <c r="I31" s="12">
        <f t="shared" si="10"/>
        <v>0.10112211221122112</v>
      </c>
      <c r="J31" s="1">
        <v>8.7560000000000002</v>
      </c>
      <c r="K31" s="1">
        <v>17.46</v>
      </c>
      <c r="L31" s="1">
        <v>8.7070000000000007</v>
      </c>
      <c r="M31" s="12">
        <f t="shared" si="11"/>
        <v>0.57795379537953795</v>
      </c>
      <c r="N31" s="2">
        <v>9.1310000000000002</v>
      </c>
      <c r="O31" s="2">
        <v>17.77</v>
      </c>
      <c r="P31" s="2">
        <v>8.6359999999999992</v>
      </c>
      <c r="Q31" s="12">
        <f t="shared" si="12"/>
        <v>0.60270627062706272</v>
      </c>
      <c r="R31" s="3">
        <v>10.43</v>
      </c>
      <c r="S31" s="3">
        <v>18.899999999999999</v>
      </c>
      <c r="T31" s="3">
        <v>8.4659999999999993</v>
      </c>
      <c r="U31" s="12">
        <f t="shared" si="13"/>
        <v>0.68844884488448843</v>
      </c>
      <c r="V31" s="4">
        <v>9.6869999999999994</v>
      </c>
      <c r="W31" s="4">
        <v>19.68</v>
      </c>
      <c r="X31" s="4">
        <v>9.9969999999999999</v>
      </c>
      <c r="Y31" s="12">
        <f t="shared" si="14"/>
        <v>0.63940594059405931</v>
      </c>
      <c r="Z31">
        <v>15.89</v>
      </c>
      <c r="AA31">
        <v>62.55</v>
      </c>
      <c r="AB31">
        <v>46.66</v>
      </c>
      <c r="AC31" s="4">
        <v>10.24</v>
      </c>
      <c r="AD31" s="4">
        <v>64.209999999999994</v>
      </c>
      <c r="AE31" s="4">
        <v>53.97</v>
      </c>
      <c r="AF31" s="12">
        <f t="shared" si="8"/>
        <v>0.64443045940843302</v>
      </c>
      <c r="AG31" s="1">
        <v>11.24</v>
      </c>
      <c r="AH31" s="1">
        <v>63.45</v>
      </c>
      <c r="AI31" s="1">
        <v>52.21</v>
      </c>
      <c r="AJ31" s="12">
        <f t="shared" si="15"/>
        <v>0.70736312146003777</v>
      </c>
      <c r="AK31" s="2">
        <v>11.26</v>
      </c>
      <c r="AL31" s="2">
        <v>62.25</v>
      </c>
      <c r="AM31" s="2">
        <v>50.99</v>
      </c>
      <c r="AN31" s="12">
        <f t="shared" si="16"/>
        <v>0.7086217747010698</v>
      </c>
      <c r="AO31" s="3">
        <v>10.47</v>
      </c>
      <c r="AP31" s="3">
        <v>62.5</v>
      </c>
      <c r="AQ31" s="3">
        <v>52.03</v>
      </c>
      <c r="AS31" s="132">
        <v>4.0250000000000004</v>
      </c>
      <c r="AT31" s="72">
        <v>48.15</v>
      </c>
      <c r="AU31" s="72">
        <v>44.13</v>
      </c>
      <c r="AV31" s="12">
        <f t="shared" si="18"/>
        <v>0.25330396475770928</v>
      </c>
      <c r="BG31" s="39"/>
      <c r="BH31" s="39"/>
      <c r="BI31" s="35"/>
      <c r="BJ31" s="68"/>
      <c r="BK31" s="68"/>
      <c r="BL31" s="35"/>
      <c r="BM31" s="68"/>
      <c r="BN31" s="68"/>
      <c r="BO31" s="68"/>
      <c r="BP31" s="68"/>
      <c r="BQ31" s="68"/>
      <c r="BR31" s="68"/>
      <c r="BS31" s="68"/>
      <c r="BT31" s="68"/>
      <c r="BU31" s="68"/>
      <c r="BV31" s="68"/>
      <c r="BW31" s="68"/>
      <c r="BX31" s="68"/>
      <c r="BY31" s="68"/>
      <c r="BZ31" s="35"/>
      <c r="CA31" s="35"/>
      <c r="CB31" s="35"/>
      <c r="CC31" s="35"/>
      <c r="CD31" s="35"/>
      <c r="CE31" s="39"/>
      <c r="CF31" s="68"/>
      <c r="CG31" s="68"/>
      <c r="CH31" s="68"/>
      <c r="CI31" s="68"/>
      <c r="CJ31" s="68"/>
      <c r="CK31" s="68"/>
      <c r="CL31" s="68"/>
      <c r="CM31" s="68"/>
      <c r="CN31" s="68"/>
      <c r="CO31" s="68"/>
      <c r="CP31" s="68"/>
      <c r="CQ31" s="68"/>
      <c r="CR31" s="68"/>
      <c r="CS31" s="68"/>
      <c r="CT31" s="68"/>
      <c r="CU31" s="35"/>
      <c r="CV31" s="35"/>
      <c r="CW31" s="68"/>
      <c r="CX31" s="68"/>
      <c r="CY31" s="68"/>
      <c r="CZ31" s="68"/>
      <c r="DA31" s="68"/>
      <c r="DB31" s="68"/>
      <c r="DC31" s="35"/>
      <c r="DO31" s="39"/>
      <c r="DP31" s="35"/>
      <c r="DQ31" s="35"/>
      <c r="DR31" s="35"/>
      <c r="DS31" s="35"/>
      <c r="DT31" s="35"/>
      <c r="DU31" s="35"/>
      <c r="DV31" s="35"/>
      <c r="DW31" s="35"/>
      <c r="DX31" s="35"/>
      <c r="DY31" s="35"/>
      <c r="DZ31" s="35"/>
      <c r="EA31" s="35"/>
      <c r="EB31" s="35"/>
      <c r="EC31" s="35"/>
      <c r="ED31" s="35"/>
      <c r="EE31" s="35"/>
      <c r="EF31" s="35"/>
      <c r="EG31" s="35"/>
      <c r="EH31" s="35"/>
      <c r="EI31" s="35"/>
      <c r="EJ31" s="35"/>
      <c r="EK31" s="35"/>
      <c r="EL31" s="35"/>
    </row>
    <row r="32" spans="1:142">
      <c r="A32" s="34" t="s">
        <v>496</v>
      </c>
      <c r="B32" s="14">
        <v>44543</v>
      </c>
      <c r="C32">
        <v>13.72</v>
      </c>
      <c r="D32">
        <v>16.38</v>
      </c>
      <c r="E32">
        <v>2.66</v>
      </c>
      <c r="F32" s="126">
        <v>0.83099999999999996</v>
      </c>
      <c r="G32" s="127">
        <v>4.673</v>
      </c>
      <c r="H32" s="127">
        <v>3.8420000000000001</v>
      </c>
      <c r="I32" s="12">
        <f t="shared" si="10"/>
        <v>6.0568513119533519E-2</v>
      </c>
      <c r="J32" s="1">
        <v>7.0449999999999999</v>
      </c>
      <c r="K32" s="1">
        <v>16.7</v>
      </c>
      <c r="L32" s="1">
        <v>9.65</v>
      </c>
      <c r="M32" s="12">
        <f t="shared" si="11"/>
        <v>0.51348396501457727</v>
      </c>
      <c r="N32" s="2">
        <v>9.1159999999999997</v>
      </c>
      <c r="O32" s="2">
        <v>17.809999999999999</v>
      </c>
      <c r="P32" s="2">
        <v>8.6890000000000001</v>
      </c>
      <c r="Q32" s="12">
        <f t="shared" si="12"/>
        <v>0.66443148688046638</v>
      </c>
      <c r="R32" s="3">
        <v>8.359</v>
      </c>
      <c r="S32" s="3">
        <v>17.84</v>
      </c>
      <c r="T32" s="3">
        <v>9.4779999999999998</v>
      </c>
      <c r="U32" s="12">
        <f t="shared" si="13"/>
        <v>0.60925655976676385</v>
      </c>
      <c r="V32" s="4">
        <v>8.2119999999999997</v>
      </c>
      <c r="W32" s="4">
        <v>18.46</v>
      </c>
      <c r="X32" s="4">
        <v>10.25</v>
      </c>
      <c r="Y32" s="12">
        <f t="shared" si="14"/>
        <v>0.59854227405247806</v>
      </c>
      <c r="Z32">
        <v>14.59</v>
      </c>
      <c r="AA32">
        <v>59.57</v>
      </c>
      <c r="AB32">
        <v>44.98</v>
      </c>
      <c r="AC32" s="4">
        <v>7.9729999999999999</v>
      </c>
      <c r="AD32" s="4">
        <v>60.04</v>
      </c>
      <c r="AE32" s="4">
        <v>52.06</v>
      </c>
      <c r="AF32" s="12">
        <f t="shared" si="8"/>
        <v>0.54647018505825906</v>
      </c>
      <c r="AG32" s="1">
        <v>8.9529999999999994</v>
      </c>
      <c r="AH32" s="1">
        <v>59.68</v>
      </c>
      <c r="AI32" s="1">
        <v>50.73</v>
      </c>
      <c r="AJ32" s="12">
        <f t="shared" si="15"/>
        <v>0.61363947909527072</v>
      </c>
      <c r="AK32" s="2">
        <v>8.1519999999999992</v>
      </c>
      <c r="AL32" s="2">
        <v>58.91</v>
      </c>
      <c r="AM32" s="2">
        <v>50.76</v>
      </c>
      <c r="AN32" s="12">
        <f t="shared" si="16"/>
        <v>0.55873886223440705</v>
      </c>
      <c r="AO32" s="3">
        <v>9.2530000000000001</v>
      </c>
      <c r="AP32" s="3">
        <v>60.12</v>
      </c>
      <c r="AQ32" s="3">
        <v>50.87</v>
      </c>
      <c r="AS32" s="132">
        <v>1.1739999999999999</v>
      </c>
      <c r="AT32" s="72">
        <v>48.91</v>
      </c>
      <c r="AU32" s="72">
        <v>47.74</v>
      </c>
      <c r="AV32" s="12">
        <f t="shared" si="18"/>
        <v>8.0466072652501705E-2</v>
      </c>
      <c r="AW32" s="14">
        <v>44579</v>
      </c>
      <c r="BG32" s="39"/>
      <c r="BH32" s="35"/>
      <c r="BI32" s="35"/>
      <c r="BJ32" s="68"/>
      <c r="BK32" s="68"/>
      <c r="BL32" s="35"/>
      <c r="BM32" s="68"/>
      <c r="BN32" s="68"/>
      <c r="BO32" s="68"/>
      <c r="BP32" s="68"/>
      <c r="BQ32" s="68"/>
      <c r="BR32" s="68"/>
      <c r="BS32" s="68"/>
      <c r="BT32" s="68"/>
      <c r="BU32" s="68"/>
      <c r="BV32" s="68"/>
      <c r="BW32" s="68"/>
      <c r="BX32" s="68"/>
      <c r="BY32" s="68"/>
      <c r="BZ32" s="35"/>
      <c r="CA32" s="35"/>
      <c r="CB32" s="35"/>
      <c r="CC32" s="68"/>
      <c r="CD32" s="35"/>
      <c r="CE32" s="370"/>
      <c r="CF32" s="68"/>
      <c r="CG32" s="35"/>
      <c r="CH32" s="68"/>
      <c r="CI32" s="68"/>
      <c r="CJ32" s="68"/>
      <c r="CK32" s="68"/>
      <c r="CL32" s="68"/>
      <c r="CM32" s="68"/>
      <c r="CN32" s="68"/>
      <c r="CO32" s="68"/>
      <c r="CP32" s="68"/>
      <c r="CQ32" s="68"/>
      <c r="CR32" s="68"/>
      <c r="CS32" s="68"/>
      <c r="CT32" s="68"/>
      <c r="CU32" s="35"/>
      <c r="CV32" s="35"/>
      <c r="CW32" s="68"/>
      <c r="CX32" s="68"/>
      <c r="CY32" s="68"/>
      <c r="CZ32" s="68"/>
      <c r="DA32" s="35"/>
      <c r="DB32" s="35"/>
      <c r="DC32" s="35"/>
      <c r="DO32" s="39"/>
      <c r="DP32" s="35"/>
      <c r="DQ32" s="35"/>
      <c r="DR32" s="35"/>
      <c r="DS32" s="35"/>
      <c r="DT32" s="35"/>
      <c r="DU32" s="68"/>
      <c r="DV32" s="35"/>
      <c r="DW32" s="35"/>
      <c r="DX32" s="35"/>
      <c r="DY32" s="35"/>
      <c r="DZ32" s="68"/>
      <c r="EA32" s="35"/>
      <c r="EB32" s="35"/>
      <c r="EC32" s="35"/>
      <c r="ED32" s="35"/>
      <c r="EE32" s="35"/>
      <c r="EF32" s="35"/>
      <c r="EG32" s="35"/>
      <c r="EH32" s="35"/>
      <c r="EI32" s="35"/>
      <c r="EJ32" s="35"/>
      <c r="EK32" s="35"/>
      <c r="EL32" s="35"/>
    </row>
    <row r="33" spans="1:142">
      <c r="A33" s="34" t="s">
        <v>496</v>
      </c>
      <c r="B33" s="14">
        <v>44546</v>
      </c>
      <c r="C33" s="368"/>
      <c r="D33" s="368"/>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c r="AH33" s="368"/>
      <c r="AI33" s="368"/>
      <c r="AJ33" s="368"/>
      <c r="AK33" s="368"/>
      <c r="AL33" s="368"/>
      <c r="AM33" s="368"/>
      <c r="AN33" s="368"/>
      <c r="AO33" s="368"/>
      <c r="AP33" s="368"/>
      <c r="AQ33" s="368"/>
      <c r="AS33" s="132">
        <v>4.0930000000000001E-2</v>
      </c>
      <c r="AT33" s="72">
        <v>48.81</v>
      </c>
      <c r="AU33" s="72">
        <v>48.77</v>
      </c>
      <c r="AW33">
        <v>-0.2442</v>
      </c>
      <c r="AX33">
        <v>0.37990000000000002</v>
      </c>
      <c r="AY33">
        <v>0.62409999999999999</v>
      </c>
      <c r="AZ33">
        <v>5.3890000000000002</v>
      </c>
      <c r="BA33">
        <v>5.6159999999999997</v>
      </c>
      <c r="BB33">
        <v>25.4</v>
      </c>
      <c r="BC33">
        <v>26.61</v>
      </c>
      <c r="BG33" s="35"/>
      <c r="BH33" s="35"/>
      <c r="BI33" s="35"/>
      <c r="BJ33" s="68"/>
      <c r="BK33" s="68"/>
      <c r="BL33" s="35"/>
      <c r="BM33" s="68"/>
      <c r="BN33" s="68"/>
      <c r="BO33" s="68"/>
      <c r="BP33" s="68"/>
      <c r="BQ33" s="68"/>
      <c r="BR33" s="68"/>
      <c r="BS33" s="68"/>
      <c r="BT33" s="68"/>
      <c r="BU33" s="68"/>
      <c r="BV33" s="68"/>
      <c r="BW33" s="68"/>
      <c r="BX33" s="68"/>
      <c r="BY33" s="68"/>
      <c r="BZ33" s="35"/>
      <c r="CA33" s="35"/>
      <c r="CB33" s="35"/>
      <c r="CC33" s="68"/>
      <c r="CD33" s="35"/>
      <c r="CE33" s="370"/>
      <c r="CF33" s="68"/>
      <c r="CG33" s="35"/>
      <c r="CH33" s="68"/>
      <c r="CI33" s="68"/>
      <c r="CJ33" s="68"/>
      <c r="CK33" s="68"/>
      <c r="CL33" s="68"/>
      <c r="CM33" s="68"/>
      <c r="CN33" s="68"/>
      <c r="CO33" s="68"/>
      <c r="CP33" s="68"/>
      <c r="CQ33" s="68"/>
      <c r="CR33" s="68"/>
      <c r="CS33" s="68"/>
      <c r="CT33" s="68"/>
      <c r="CU33" s="35"/>
      <c r="CV33" s="35"/>
      <c r="CW33" s="68"/>
      <c r="CX33" s="68"/>
      <c r="CY33" s="68"/>
      <c r="CZ33" s="68"/>
      <c r="DA33" s="68"/>
      <c r="DB33" s="35"/>
      <c r="DC33" s="35"/>
      <c r="DO33" s="39"/>
      <c r="DP33" s="68"/>
      <c r="DQ33" s="35"/>
      <c r="DR33" s="35"/>
      <c r="DS33" s="35"/>
      <c r="DT33" s="35"/>
      <c r="DU33" s="35"/>
      <c r="DV33" s="35"/>
      <c r="DW33" s="35"/>
      <c r="DX33" s="35"/>
      <c r="DY33" s="35"/>
      <c r="DZ33" s="35"/>
      <c r="EA33" s="35"/>
      <c r="EB33" s="35"/>
      <c r="EC33" s="35"/>
      <c r="ED33" s="35"/>
      <c r="EE33" s="35"/>
      <c r="EF33" s="35"/>
      <c r="EG33" s="35"/>
      <c r="EH33" s="35"/>
      <c r="EI33" s="35"/>
      <c r="EJ33" s="35"/>
      <c r="EK33" s="35"/>
      <c r="EL33" s="35"/>
    </row>
    <row r="34" spans="1:142">
      <c r="B34" s="14">
        <v>44580</v>
      </c>
      <c r="AS34" s="132">
        <v>1.55</v>
      </c>
      <c r="AT34" s="72">
        <v>51.59</v>
      </c>
      <c r="AU34" s="72">
        <v>50.04</v>
      </c>
      <c r="AW34">
        <v>-0.3337</v>
      </c>
      <c r="AX34">
        <v>0.29720000000000002</v>
      </c>
      <c r="AY34">
        <v>0.63080000000000003</v>
      </c>
      <c r="AZ34">
        <v>6.2370000000000001</v>
      </c>
      <c r="BA34">
        <v>7.3419999999999996</v>
      </c>
      <c r="BB34">
        <v>25.53</v>
      </c>
      <c r="BC34">
        <v>30.04</v>
      </c>
      <c r="BG34" s="35"/>
      <c r="BH34" s="35"/>
      <c r="BI34" s="35"/>
      <c r="BJ34" s="68"/>
      <c r="BK34" s="68"/>
      <c r="BL34" s="35"/>
      <c r="BM34" s="68"/>
      <c r="BN34" s="68"/>
      <c r="BO34" s="68"/>
      <c r="BP34" s="68"/>
      <c r="BQ34" s="68"/>
      <c r="BR34" s="68"/>
      <c r="BS34" s="68"/>
      <c r="BT34" s="68"/>
      <c r="BU34" s="68"/>
      <c r="BV34" s="68"/>
      <c r="BW34" s="68"/>
      <c r="BX34" s="68"/>
      <c r="BY34" s="68"/>
      <c r="BZ34" s="35"/>
      <c r="CA34" s="35"/>
      <c r="CB34" s="35"/>
      <c r="CC34" s="35"/>
      <c r="CD34" s="35"/>
      <c r="CE34" s="370"/>
      <c r="CF34" s="68"/>
      <c r="CG34" s="35"/>
      <c r="CH34" s="68"/>
      <c r="CI34" s="68"/>
      <c r="CJ34" s="68"/>
      <c r="CK34" s="68"/>
      <c r="CL34" s="68"/>
      <c r="CM34" s="68"/>
      <c r="CN34" s="68"/>
      <c r="CO34" s="68"/>
      <c r="CP34" s="68"/>
      <c r="CQ34" s="68"/>
      <c r="CR34" s="68"/>
      <c r="CS34" s="68"/>
      <c r="CT34" s="68"/>
      <c r="CU34" s="35"/>
      <c r="CV34" s="35"/>
      <c r="CW34" s="68"/>
      <c r="CX34" s="68"/>
      <c r="CY34" s="68"/>
      <c r="CZ34" s="68"/>
      <c r="DA34" s="35"/>
      <c r="DB34" s="35"/>
      <c r="DC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row>
    <row r="35" spans="1:142">
      <c r="B35" s="14">
        <v>44582</v>
      </c>
      <c r="AS35" s="72">
        <v>-1.843</v>
      </c>
      <c r="AT35" s="72">
        <v>49.95</v>
      </c>
      <c r="AU35" s="72">
        <v>51.79</v>
      </c>
      <c r="AW35">
        <v>-0.34329999999999999</v>
      </c>
      <c r="AX35">
        <v>0.29980000000000001</v>
      </c>
      <c r="AY35">
        <v>0.64319999999999999</v>
      </c>
      <c r="AZ35" s="195">
        <v>1.056</v>
      </c>
      <c r="BA35" s="195">
        <v>0.56669999999999998</v>
      </c>
      <c r="BB35" s="195">
        <v>1.119</v>
      </c>
      <c r="BC35" s="195">
        <v>0.54469999999999996</v>
      </c>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70"/>
      <c r="CF35" s="68"/>
      <c r="CG35" s="35"/>
      <c r="CH35" s="35"/>
      <c r="CI35" s="35"/>
      <c r="CJ35" s="35"/>
      <c r="CK35" s="35"/>
      <c r="CL35" s="35"/>
      <c r="CM35" s="35"/>
      <c r="CN35" s="35"/>
      <c r="CO35" s="35"/>
      <c r="CP35" s="35"/>
      <c r="CQ35" s="35"/>
      <c r="CR35" s="35"/>
      <c r="CS35" s="35"/>
      <c r="CT35" s="35"/>
      <c r="CU35" s="35"/>
      <c r="CV35" s="35"/>
      <c r="CW35" s="68"/>
      <c r="CX35" s="35"/>
      <c r="CY35" s="35"/>
      <c r="CZ35" s="35"/>
      <c r="DA35" s="35"/>
      <c r="DB35" s="35"/>
      <c r="DC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row>
    <row r="36" spans="1:142">
      <c r="B36" s="14">
        <v>44585</v>
      </c>
      <c r="AS36" s="72">
        <v>-0.46820000000000001</v>
      </c>
      <c r="AT36" s="72">
        <v>43.59</v>
      </c>
      <c r="AU36" s="72">
        <v>44.06</v>
      </c>
      <c r="AW36">
        <v>-0.31180000000000002</v>
      </c>
      <c r="AX36">
        <v>0.35189999999999999</v>
      </c>
      <c r="AY36">
        <v>0.66359999999999997</v>
      </c>
      <c r="AZ36">
        <v>6.1340000000000003</v>
      </c>
      <c r="BA36">
        <v>7.1879999999999997</v>
      </c>
      <c r="BB36">
        <v>24.67</v>
      </c>
      <c r="BC36">
        <v>29.93</v>
      </c>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70"/>
      <c r="CF36" s="68"/>
      <c r="CG36" s="35"/>
      <c r="CH36" s="35"/>
      <c r="CI36" s="35"/>
      <c r="CJ36" s="35"/>
      <c r="CK36" s="35"/>
      <c r="CL36" s="35"/>
      <c r="CM36" s="35"/>
      <c r="CN36" s="35"/>
      <c r="CO36" s="35"/>
      <c r="CP36" s="35"/>
      <c r="CQ36" s="35"/>
      <c r="CR36" s="35"/>
      <c r="CS36" s="35"/>
      <c r="CT36" s="68"/>
      <c r="CU36" s="35"/>
      <c r="CV36" s="35"/>
      <c r="CW36" s="68"/>
      <c r="CX36" s="35"/>
      <c r="CY36" s="35"/>
      <c r="CZ36" s="35"/>
      <c r="DA36" s="35"/>
      <c r="DB36" s="35"/>
      <c r="DC36" s="35"/>
    </row>
    <row r="37" spans="1:142">
      <c r="B37" s="14">
        <v>44587</v>
      </c>
      <c r="AS37" s="72">
        <v>-0.31069999999999998</v>
      </c>
      <c r="AT37" s="72">
        <v>44</v>
      </c>
      <c r="AU37" s="72">
        <v>44.31</v>
      </c>
      <c r="AW37">
        <v>1.0229999999999999</v>
      </c>
      <c r="AX37">
        <v>1.55</v>
      </c>
      <c r="AY37">
        <v>0.52769999999999995</v>
      </c>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70"/>
      <c r="CF37" s="68"/>
      <c r="CG37" s="35"/>
      <c r="CH37" s="35"/>
      <c r="CI37" s="35"/>
      <c r="CJ37" s="35"/>
      <c r="CK37" s="35"/>
      <c r="CL37" s="35"/>
      <c r="CM37" s="35"/>
      <c r="CN37" s="35"/>
      <c r="CO37" s="35"/>
      <c r="CP37" s="35"/>
      <c r="CQ37" s="35"/>
      <c r="CR37" s="35"/>
      <c r="CS37" s="35"/>
      <c r="CT37" s="35"/>
      <c r="CU37" s="35"/>
      <c r="CV37" s="35"/>
      <c r="CW37" s="68"/>
      <c r="CX37" s="35"/>
      <c r="CY37" s="35"/>
      <c r="CZ37" s="35"/>
      <c r="DA37" s="35"/>
      <c r="DB37" s="35"/>
      <c r="DC37" s="35"/>
    </row>
    <row r="38" spans="1:142">
      <c r="B38" s="14">
        <v>44589</v>
      </c>
      <c r="AS38" s="72">
        <v>-0.14680000000000001</v>
      </c>
      <c r="AT38" s="72">
        <v>40.28</v>
      </c>
      <c r="AU38" s="72">
        <v>40.43</v>
      </c>
      <c r="AW38">
        <v>0.98089999999999999</v>
      </c>
      <c r="AX38">
        <v>1.5469999999999999</v>
      </c>
      <c r="AY38">
        <v>0.56559999999999999</v>
      </c>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70"/>
      <c r="CF38" s="68"/>
      <c r="CG38" s="35"/>
      <c r="CH38" s="35"/>
      <c r="CI38" s="35"/>
      <c r="CJ38" s="35"/>
      <c r="CK38" s="35"/>
      <c r="CL38" s="35"/>
      <c r="CM38" s="35"/>
      <c r="CN38" s="35"/>
      <c r="CO38" s="35"/>
      <c r="CP38" s="35"/>
      <c r="CQ38" s="35"/>
      <c r="CR38" s="35"/>
      <c r="CS38" s="35"/>
      <c r="CT38" s="35"/>
      <c r="CU38" s="35"/>
      <c r="CV38" s="35"/>
      <c r="CW38" s="68"/>
      <c r="CX38" s="35"/>
      <c r="CY38" s="35"/>
      <c r="CZ38" s="35"/>
      <c r="DA38" s="35"/>
      <c r="DB38" s="35"/>
      <c r="DC38" s="35"/>
    </row>
    <row r="39" spans="1:142">
      <c r="B39" s="14">
        <v>44594</v>
      </c>
      <c r="AS39" s="72">
        <v>-5.7299999999999997E-2</v>
      </c>
      <c r="AT39" s="72">
        <v>24.83</v>
      </c>
      <c r="AU39" s="72">
        <v>24.89</v>
      </c>
      <c r="AW39">
        <v>1.038</v>
      </c>
      <c r="AX39">
        <v>1.61</v>
      </c>
      <c r="AY39">
        <v>0.57199999999999995</v>
      </c>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70"/>
      <c r="CF39" s="68"/>
      <c r="CG39" s="35"/>
      <c r="CH39" s="35"/>
      <c r="CI39" s="35"/>
      <c r="CJ39" s="35"/>
      <c r="CK39" s="35"/>
      <c r="CL39" s="35"/>
      <c r="CM39" s="35"/>
      <c r="CN39" s="35"/>
      <c r="CO39" s="35"/>
      <c r="CP39" s="35"/>
      <c r="CQ39" s="35"/>
      <c r="CR39" s="35"/>
      <c r="CS39" s="35"/>
      <c r="CT39" s="35"/>
      <c r="CU39" s="35"/>
      <c r="CV39" s="35"/>
      <c r="CW39" s="68"/>
      <c r="CX39" s="35"/>
      <c r="CY39" s="35"/>
      <c r="CZ39" s="35"/>
      <c r="DA39" s="35"/>
      <c r="DB39" s="35"/>
      <c r="DC39" s="35"/>
    </row>
    <row r="40" spans="1:142">
      <c r="B40" s="14">
        <v>44596</v>
      </c>
      <c r="AS40" s="72">
        <v>0.2001</v>
      </c>
      <c r="AT40" s="72">
        <v>30.77</v>
      </c>
      <c r="AU40" s="72">
        <v>30.57</v>
      </c>
      <c r="AW40">
        <v>0.83120000000000005</v>
      </c>
      <c r="AX40">
        <v>1.5940000000000001</v>
      </c>
      <c r="AY40">
        <v>0.76300000000000001</v>
      </c>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70"/>
      <c r="CF40" s="68"/>
      <c r="CG40" s="35"/>
      <c r="CH40" s="35"/>
      <c r="CI40" s="35"/>
      <c r="CJ40" s="35"/>
      <c r="CK40" s="35"/>
      <c r="CL40" s="35"/>
      <c r="CM40" s="35"/>
      <c r="CN40" s="35"/>
      <c r="CO40" s="35"/>
      <c r="CP40" s="35"/>
      <c r="CQ40" s="35"/>
      <c r="CR40" s="35"/>
      <c r="CS40" s="35"/>
      <c r="CT40" s="35"/>
      <c r="CU40" s="35"/>
      <c r="CV40" s="35"/>
      <c r="CW40" s="68"/>
      <c r="CX40" s="35"/>
      <c r="CY40" s="35"/>
      <c r="CZ40" s="35"/>
      <c r="DA40" s="35"/>
      <c r="DB40" s="35"/>
      <c r="DC40" s="35"/>
    </row>
    <row r="41" spans="1:142">
      <c r="B41" s="14">
        <v>44601</v>
      </c>
      <c r="AS41" s="72">
        <v>-1.222</v>
      </c>
      <c r="AT41" s="72">
        <v>52.07</v>
      </c>
      <c r="AU41" s="72">
        <v>53.29</v>
      </c>
      <c r="AW41">
        <v>1.006</v>
      </c>
      <c r="AX41">
        <v>1.63</v>
      </c>
      <c r="AY41">
        <v>0.62380000000000002</v>
      </c>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70"/>
      <c r="CF41" s="68"/>
      <c r="CG41" s="35"/>
      <c r="CH41" s="35"/>
      <c r="CI41" s="35"/>
      <c r="CJ41" s="35"/>
      <c r="CK41" s="35"/>
      <c r="CL41" s="35"/>
      <c r="CM41" s="35"/>
      <c r="CN41" s="35"/>
      <c r="CO41" s="35"/>
      <c r="CP41" s="35"/>
      <c r="CQ41" s="35"/>
      <c r="CR41" s="35"/>
      <c r="CS41" s="35"/>
      <c r="CT41" s="35"/>
      <c r="CU41" s="35"/>
      <c r="CV41" s="35"/>
      <c r="CW41" s="68"/>
      <c r="CX41" s="35"/>
      <c r="CY41" s="35"/>
      <c r="CZ41" s="35"/>
      <c r="DA41" s="35"/>
      <c r="DB41" s="35"/>
      <c r="DC41" s="35"/>
    </row>
    <row r="42" spans="1:142">
      <c r="B42" s="14">
        <v>44606</v>
      </c>
      <c r="AS42" s="72">
        <v>-0.62380000000000002</v>
      </c>
      <c r="AT42" s="72">
        <v>50.8</v>
      </c>
      <c r="AU42" s="72">
        <v>51.42</v>
      </c>
      <c r="AW42">
        <v>1.1779999999999999</v>
      </c>
      <c r="AX42">
        <v>1.7589999999999999</v>
      </c>
      <c r="AY42">
        <v>0.5806</v>
      </c>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70"/>
      <c r="CF42" s="68"/>
      <c r="CG42" s="35"/>
      <c r="CH42" s="35"/>
      <c r="CI42" s="35"/>
      <c r="CJ42" s="35"/>
      <c r="CK42" s="35"/>
      <c r="CL42" s="35"/>
      <c r="CM42" s="35"/>
      <c r="CN42" s="35"/>
      <c r="CO42" s="35"/>
      <c r="CP42" s="35"/>
      <c r="CQ42" s="35"/>
      <c r="CR42" s="35"/>
      <c r="CS42" s="35"/>
      <c r="CT42" s="35"/>
      <c r="CU42" s="35"/>
      <c r="CV42" s="35"/>
      <c r="CW42" s="68"/>
      <c r="CX42" s="35"/>
      <c r="CY42" s="35"/>
      <c r="CZ42" s="35"/>
      <c r="DA42" s="35"/>
      <c r="DB42" s="35"/>
      <c r="DC42" s="35"/>
    </row>
    <row r="43" spans="1:142">
      <c r="B43" s="14">
        <v>44608</v>
      </c>
      <c r="AS43" s="72">
        <v>-0.79569999999999996</v>
      </c>
      <c r="AT43" s="72">
        <v>88.79</v>
      </c>
      <c r="AU43" s="72">
        <v>89.58</v>
      </c>
      <c r="AW43">
        <v>1.34</v>
      </c>
      <c r="AX43">
        <v>1.9</v>
      </c>
      <c r="AY43">
        <v>0.55989999999999995</v>
      </c>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9"/>
      <c r="CF43" s="68"/>
      <c r="CG43" s="35"/>
      <c r="CH43" s="35"/>
      <c r="CI43" s="35"/>
      <c r="CJ43" s="35"/>
      <c r="CK43" s="35"/>
      <c r="CL43" s="35"/>
      <c r="CM43" s="35"/>
      <c r="CN43" s="35"/>
      <c r="CO43" s="35"/>
      <c r="CP43" s="35"/>
      <c r="CQ43" s="35"/>
      <c r="CR43" s="35"/>
      <c r="CS43" s="35"/>
      <c r="CT43" s="35"/>
      <c r="CU43" s="35"/>
      <c r="CV43" s="35"/>
      <c r="CW43" s="68"/>
      <c r="CX43" s="35"/>
      <c r="CY43" s="35"/>
      <c r="CZ43" s="35"/>
      <c r="DA43" s="35"/>
      <c r="DB43" s="35"/>
      <c r="DC43" s="35"/>
    </row>
    <row r="44" spans="1:142">
      <c r="B44" s="14">
        <v>44610</v>
      </c>
      <c r="AS44" s="72">
        <v>-2.1280000000000001</v>
      </c>
      <c r="AT44" s="72">
        <v>52.52</v>
      </c>
      <c r="AU44" s="72">
        <v>54.65</v>
      </c>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9"/>
      <c r="CF44" s="68"/>
      <c r="CG44" s="35"/>
      <c r="CH44" s="35"/>
      <c r="CI44" s="35"/>
      <c r="CJ44" s="35"/>
      <c r="CK44" s="35"/>
      <c r="CL44" s="35"/>
      <c r="CM44" s="35"/>
      <c r="CN44" s="35"/>
      <c r="CO44" s="35"/>
      <c r="CP44" s="35"/>
      <c r="CQ44" s="35"/>
      <c r="CR44" s="35"/>
      <c r="CS44" s="35"/>
      <c r="CT44" s="35"/>
      <c r="CU44" s="35"/>
      <c r="CV44" s="35"/>
      <c r="CW44" s="68"/>
      <c r="CX44" s="35"/>
      <c r="CY44" s="35"/>
      <c r="CZ44" s="35"/>
      <c r="DA44" s="35"/>
      <c r="DB44" s="35"/>
      <c r="DC44" s="35"/>
    </row>
    <row r="45" spans="1:142">
      <c r="B45" s="14">
        <v>44613</v>
      </c>
      <c r="AS45" s="72">
        <v>-1.6950000000000001</v>
      </c>
      <c r="AT45" s="72">
        <v>60.58</v>
      </c>
      <c r="AU45" s="72">
        <v>62.27</v>
      </c>
      <c r="AW45" s="14">
        <v>44635</v>
      </c>
      <c r="BC45" t="s">
        <v>1295</v>
      </c>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9"/>
      <c r="CF45" s="68"/>
      <c r="CG45" s="35"/>
      <c r="CH45" s="35"/>
      <c r="CI45" s="35"/>
      <c r="CJ45" s="35"/>
      <c r="CK45" s="35"/>
      <c r="CL45" s="35"/>
      <c r="CM45" s="35"/>
      <c r="CN45" s="35"/>
      <c r="CO45" s="35"/>
      <c r="CP45" s="35"/>
      <c r="CQ45" s="35"/>
      <c r="CR45" s="35"/>
      <c r="CS45" s="35"/>
      <c r="CT45" s="35"/>
      <c r="CU45" s="35"/>
      <c r="CV45" s="35"/>
      <c r="CW45" s="68"/>
      <c r="CX45" s="35"/>
      <c r="CY45" s="35"/>
      <c r="CZ45" s="35"/>
      <c r="DA45" s="35"/>
      <c r="DB45" s="35"/>
      <c r="DC45" s="35"/>
    </row>
    <row r="46" spans="1:142">
      <c r="B46" s="14">
        <v>44615</v>
      </c>
      <c r="AS46" s="72">
        <v>0.8478</v>
      </c>
      <c r="AT46" s="72">
        <v>69.64</v>
      </c>
      <c r="AU46" s="72">
        <v>68.790000000000006</v>
      </c>
      <c r="AW46">
        <v>0.47060000000000002</v>
      </c>
      <c r="AX46">
        <v>1.2150000000000001</v>
      </c>
      <c r="AY46">
        <v>0.74450000000000005</v>
      </c>
      <c r="AZ46">
        <v>6.0229999999999997</v>
      </c>
      <c r="BA46">
        <v>5.1539999999999999</v>
      </c>
      <c r="BC46" t="s">
        <v>991</v>
      </c>
      <c r="BD46" t="s">
        <v>989</v>
      </c>
      <c r="BE46" t="s">
        <v>990</v>
      </c>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9"/>
      <c r="CF46" s="68"/>
      <c r="CG46" s="35"/>
      <c r="CH46" s="35"/>
      <c r="CI46" s="35"/>
      <c r="CJ46" s="35"/>
      <c r="CK46" s="35"/>
      <c r="CL46" s="35"/>
      <c r="CM46" s="35"/>
      <c r="CN46" s="35"/>
      <c r="CO46" s="35"/>
      <c r="CP46" s="35"/>
      <c r="CQ46" s="35"/>
      <c r="CR46" s="35"/>
      <c r="CS46" s="35"/>
      <c r="CT46" s="35"/>
      <c r="CU46" s="35"/>
      <c r="CV46" s="35"/>
      <c r="CW46" s="68"/>
      <c r="CX46" s="35"/>
      <c r="CY46" s="35"/>
      <c r="CZ46" s="35"/>
      <c r="DA46" s="35"/>
      <c r="DB46" s="35"/>
      <c r="DC46" s="35"/>
    </row>
    <row r="47" spans="1:142">
      <c r="B47" s="14">
        <v>44617</v>
      </c>
      <c r="AS47" s="72">
        <v>0.372</v>
      </c>
      <c r="AT47" s="72">
        <v>66.97</v>
      </c>
      <c r="AU47" s="72">
        <v>66.599999999999994</v>
      </c>
      <c r="AW47">
        <v>0.29970000000000002</v>
      </c>
      <c r="AX47">
        <v>1.1220000000000001</v>
      </c>
      <c r="AY47">
        <v>0.82240000000000002</v>
      </c>
      <c r="AZ47">
        <v>5.8890000000000002</v>
      </c>
      <c r="BB47" s="14">
        <v>44608</v>
      </c>
      <c r="BC47">
        <v>5.0190000000000001</v>
      </c>
      <c r="BD47">
        <v>6.6929999999999996</v>
      </c>
      <c r="BE47">
        <v>1.6739999999999999</v>
      </c>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9"/>
      <c r="CF47" s="68"/>
      <c r="CG47" s="35"/>
      <c r="CH47" s="35"/>
      <c r="CI47" s="35"/>
      <c r="CJ47" s="35"/>
      <c r="CK47" s="35"/>
      <c r="CL47" s="35"/>
      <c r="CM47" s="35"/>
      <c r="CN47" s="35"/>
      <c r="CO47" s="35"/>
      <c r="CP47" s="35"/>
      <c r="CQ47" s="35"/>
      <c r="CR47" s="35"/>
      <c r="CS47" s="35"/>
      <c r="CT47" s="35"/>
      <c r="CU47" s="35"/>
      <c r="CV47" s="35"/>
      <c r="CW47" s="68"/>
      <c r="CX47" s="35"/>
      <c r="CY47" s="35"/>
      <c r="CZ47" s="35"/>
      <c r="DA47" s="35"/>
      <c r="DB47" s="35"/>
      <c r="DC47" s="35"/>
    </row>
    <row r="48" spans="1:142">
      <c r="B48" s="14">
        <v>44621</v>
      </c>
      <c r="AS48" s="72">
        <v>2.6349999999999998</v>
      </c>
      <c r="AT48" s="72">
        <v>61.77</v>
      </c>
      <c r="AU48" s="72">
        <v>59.13</v>
      </c>
      <c r="BB48" s="14">
        <v>44613</v>
      </c>
      <c r="BC48">
        <v>5.2190000000000003</v>
      </c>
      <c r="BD48">
        <v>7.4630000000000001</v>
      </c>
      <c r="BE48">
        <v>2.2440000000000002</v>
      </c>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9"/>
      <c r="CF48" s="68"/>
      <c r="CG48" s="35"/>
      <c r="CH48" s="35"/>
      <c r="CI48" s="35"/>
      <c r="CJ48" s="35"/>
      <c r="CK48" s="35"/>
      <c r="CL48" s="35"/>
      <c r="CM48" s="35"/>
      <c r="CN48" s="35"/>
      <c r="CO48" s="35"/>
      <c r="CP48" s="35"/>
      <c r="CQ48" s="35"/>
      <c r="CR48" s="35"/>
      <c r="CS48" s="35"/>
      <c r="CT48" s="35"/>
      <c r="CU48" s="35"/>
      <c r="CV48" s="35"/>
      <c r="CW48" s="68"/>
      <c r="CX48" s="35"/>
      <c r="CY48" s="35"/>
      <c r="CZ48" s="35"/>
      <c r="DA48" s="35"/>
      <c r="DB48" s="35"/>
      <c r="DC48" s="35"/>
    </row>
    <row r="49" spans="2:107">
      <c r="B49" s="14">
        <v>44636</v>
      </c>
      <c r="AS49" s="72" t="s">
        <v>182</v>
      </c>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9"/>
      <c r="CF49" s="68"/>
      <c r="CG49" s="35"/>
      <c r="CH49" s="35"/>
      <c r="CI49" s="35"/>
      <c r="CJ49" s="35"/>
      <c r="CK49" s="35"/>
      <c r="CL49" s="35"/>
      <c r="CM49" s="35"/>
      <c r="CN49" s="35"/>
      <c r="CO49" s="35"/>
      <c r="CP49" s="35"/>
      <c r="CQ49" s="35"/>
      <c r="CR49" s="35"/>
      <c r="CS49" s="35"/>
      <c r="CT49" s="35"/>
      <c r="CU49" s="35"/>
      <c r="CV49" s="35"/>
      <c r="CW49" s="68"/>
      <c r="CX49" s="35"/>
      <c r="CY49" s="35"/>
      <c r="CZ49" s="35"/>
      <c r="DA49" s="35"/>
      <c r="DB49" s="35"/>
      <c r="DC49" s="35"/>
    </row>
    <row r="50" spans="2:107">
      <c r="B50" s="14">
        <v>44638</v>
      </c>
      <c r="AS50" s="72">
        <v>-0.67979999999999996</v>
      </c>
      <c r="AT50" s="72">
        <v>58.47</v>
      </c>
      <c r="AU50" s="72">
        <v>59.51</v>
      </c>
      <c r="BG50" s="35"/>
      <c r="BH50" s="35"/>
      <c r="BI50" s="35"/>
      <c r="BJ50" s="35"/>
      <c r="BK50" s="35"/>
      <c r="BL50" s="35"/>
      <c r="BM50" s="35"/>
      <c r="BN50" s="35"/>
      <c r="BO50" s="35"/>
      <c r="BP50" s="35"/>
      <c r="BQ50" s="35"/>
      <c r="BR50" s="35"/>
      <c r="BS50" s="35"/>
      <c r="BT50" s="35"/>
      <c r="BU50" s="35"/>
      <c r="BV50" s="35"/>
      <c r="BW50" s="35"/>
      <c r="BX50" s="35"/>
      <c r="BY50" s="35"/>
      <c r="BZ50" s="35"/>
      <c r="CA50" s="35"/>
      <c r="CB50" s="35"/>
      <c r="CC50" s="35"/>
      <c r="CD50" s="35"/>
      <c r="CE50" s="35"/>
      <c r="CF50" s="35"/>
      <c r="CG50" s="35"/>
      <c r="CH50" s="35"/>
      <c r="CI50" s="35"/>
      <c r="CJ50" s="35"/>
      <c r="CK50" s="35"/>
      <c r="CL50" s="35"/>
      <c r="CM50" s="35"/>
      <c r="CN50" s="35"/>
      <c r="CO50" s="35"/>
      <c r="CP50" s="35"/>
      <c r="CQ50" s="35"/>
      <c r="CR50" s="35"/>
      <c r="CS50" s="35"/>
      <c r="CT50" s="35"/>
      <c r="CU50" s="35"/>
      <c r="CV50" s="35"/>
      <c r="CW50" s="35"/>
      <c r="CX50" s="35"/>
      <c r="CY50" s="35"/>
      <c r="CZ50" s="35"/>
      <c r="DA50" s="35"/>
      <c r="DB50" s="35"/>
      <c r="DC50" s="35"/>
    </row>
    <row r="51" spans="2:107">
      <c r="BG51" s="35"/>
      <c r="BH51" s="35"/>
      <c r="BI51" s="35"/>
      <c r="BJ51" s="35"/>
      <c r="BK51" s="35"/>
      <c r="BL51" s="35"/>
      <c r="BM51" s="35"/>
      <c r="BN51" s="35"/>
      <c r="BO51" s="35"/>
      <c r="BP51" s="35"/>
      <c r="BQ51" s="35"/>
      <c r="BR51" s="35"/>
      <c r="BS51" s="35"/>
      <c r="BT51" s="35"/>
      <c r="BU51" s="35"/>
      <c r="BV51" s="35"/>
      <c r="BW51" s="35"/>
      <c r="BX51" s="35"/>
      <c r="BY51" s="35"/>
      <c r="BZ51" s="35"/>
      <c r="CA51" s="35"/>
      <c r="CB51" s="35"/>
      <c r="CC51" s="35"/>
      <c r="CD51" s="35"/>
      <c r="CE51" s="35"/>
      <c r="CF51" s="35"/>
      <c r="CG51" s="35"/>
      <c r="CH51" s="35"/>
      <c r="CI51" s="35"/>
      <c r="CJ51" s="35"/>
      <c r="CK51" s="35"/>
      <c r="CL51" s="35"/>
      <c r="CM51" s="35"/>
      <c r="CN51" s="35"/>
      <c r="CO51" s="35"/>
      <c r="CP51" s="35"/>
      <c r="CQ51" s="35"/>
      <c r="CR51" s="35"/>
      <c r="CS51" s="35"/>
      <c r="CT51" s="35"/>
      <c r="CU51" s="35"/>
      <c r="CV51" s="35"/>
      <c r="CW51" s="35"/>
      <c r="CX51" s="35"/>
      <c r="CY51" s="35"/>
      <c r="CZ51" s="35"/>
      <c r="DA51" s="35"/>
      <c r="DB51" s="35"/>
      <c r="DC51" s="35"/>
    </row>
    <row r="52" spans="2:107">
      <c r="BG52" s="35"/>
      <c r="BH52" s="35"/>
      <c r="BI52" s="35"/>
      <c r="BJ52" s="35"/>
      <c r="BK52" s="35"/>
      <c r="BL52" s="35"/>
      <c r="BM52" s="35"/>
      <c r="BN52" s="35"/>
      <c r="BO52" s="35"/>
      <c r="BP52" s="35"/>
      <c r="BQ52" s="35"/>
      <c r="BR52" s="35"/>
      <c r="BS52" s="35"/>
      <c r="BT52" s="35"/>
      <c r="BU52" s="35"/>
      <c r="BV52" s="35"/>
      <c r="BW52" s="35"/>
      <c r="BX52" s="35"/>
      <c r="BY52" s="35"/>
      <c r="BZ52" s="35"/>
      <c r="CA52" s="35"/>
      <c r="CB52" s="35"/>
      <c r="CC52" s="35"/>
      <c r="CD52" s="35"/>
      <c r="CE52" s="35"/>
      <c r="CF52" s="35"/>
      <c r="CG52" s="35"/>
      <c r="CH52" s="35"/>
      <c r="CI52" s="35"/>
      <c r="CJ52" s="35"/>
      <c r="CK52" s="35"/>
      <c r="CL52" s="35"/>
      <c r="CM52" s="35"/>
      <c r="CN52" s="35"/>
      <c r="CO52" s="35"/>
      <c r="CP52" s="35"/>
      <c r="CQ52" s="35"/>
      <c r="CR52" s="35"/>
      <c r="CS52" s="35"/>
      <c r="CT52" s="35"/>
      <c r="CU52" s="35"/>
      <c r="CV52" s="35"/>
      <c r="CW52" s="35"/>
      <c r="CX52" s="35"/>
      <c r="CY52" s="35"/>
      <c r="CZ52" s="35"/>
      <c r="DA52" s="35"/>
      <c r="DB52" s="35"/>
      <c r="DC52" s="35"/>
    </row>
    <row r="53" spans="2:107">
      <c r="BG53" s="35"/>
      <c r="BH53" s="35"/>
      <c r="BI53" s="35"/>
      <c r="BJ53" s="35"/>
      <c r="BK53" s="35"/>
      <c r="BL53" s="35"/>
      <c r="BM53" s="35"/>
      <c r="BN53" s="35"/>
      <c r="BO53" s="35"/>
      <c r="BP53" s="35"/>
      <c r="BQ53" s="35"/>
      <c r="BR53" s="35"/>
      <c r="BS53" s="35"/>
      <c r="BT53" s="35"/>
      <c r="BU53" s="35"/>
      <c r="BV53" s="35"/>
      <c r="BW53" s="35"/>
      <c r="BX53" s="35"/>
      <c r="BY53" s="35"/>
      <c r="BZ53" s="35"/>
      <c r="CA53" s="35"/>
      <c r="CB53" s="35"/>
      <c r="CC53" s="35"/>
      <c r="CD53" s="35"/>
      <c r="CE53" s="35"/>
      <c r="CF53" s="35"/>
      <c r="CG53" s="35"/>
      <c r="CH53" s="35"/>
      <c r="CI53" s="35"/>
      <c r="CJ53" s="35"/>
      <c r="CK53" s="35"/>
      <c r="CL53" s="35"/>
      <c r="CM53" s="35"/>
      <c r="CN53" s="35"/>
      <c r="CO53" s="35"/>
      <c r="CP53" s="35"/>
      <c r="CQ53" s="35"/>
      <c r="CR53" s="35"/>
      <c r="CS53" s="35"/>
      <c r="CT53" s="35"/>
      <c r="CU53" s="35"/>
      <c r="CV53" s="35"/>
      <c r="CW53" s="35"/>
      <c r="CX53" s="35"/>
      <c r="CY53" s="35"/>
      <c r="CZ53" s="35"/>
      <c r="DA53" s="35"/>
      <c r="DB53" s="35"/>
      <c r="DC53" s="35"/>
    </row>
    <row r="54" spans="2:107">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row>
    <row r="55" spans="2:107">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row>
    <row r="56" spans="2:107">
      <c r="BG56" s="35"/>
      <c r="BH56" s="35"/>
      <c r="BI56" s="35"/>
      <c r="BJ56" s="35"/>
      <c r="BK56" s="35"/>
      <c r="BL56" s="35"/>
      <c r="BM56" s="35"/>
      <c r="BN56" s="35"/>
      <c r="BO56" s="35"/>
      <c r="BP56" s="35"/>
      <c r="BQ56" s="35"/>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35"/>
      <c r="CV56" s="35"/>
      <c r="CW56" s="35"/>
      <c r="CX56" s="35"/>
      <c r="CY56" s="35"/>
      <c r="CZ56" s="35"/>
      <c r="DA56" s="35"/>
      <c r="DB56" s="35"/>
      <c r="DC56" s="35"/>
    </row>
    <row r="57" spans="2:107">
      <c r="BG57" s="35"/>
      <c r="BH57" s="35"/>
      <c r="BI57" s="35"/>
      <c r="BJ57" s="35"/>
      <c r="BK57" s="35"/>
      <c r="BL57" s="35"/>
      <c r="BM57" s="35"/>
      <c r="BN57" s="35"/>
      <c r="BO57" s="35"/>
      <c r="BP57" s="35"/>
      <c r="BQ57" s="35"/>
      <c r="BR57" s="35"/>
      <c r="BS57" s="35"/>
      <c r="BT57" s="35"/>
      <c r="BU57" s="35"/>
      <c r="BV57" s="35"/>
      <c r="BW57" s="35"/>
      <c r="BX57" s="35"/>
      <c r="BY57" s="35"/>
      <c r="BZ57" s="35"/>
      <c r="CA57" s="35"/>
      <c r="CB57" s="35"/>
      <c r="CC57" s="35"/>
      <c r="CD57" s="35"/>
      <c r="CE57" s="35"/>
      <c r="CF57" s="35"/>
      <c r="CG57" s="35"/>
      <c r="CH57" s="35"/>
      <c r="CI57" s="35"/>
      <c r="CJ57" s="35"/>
      <c r="CK57" s="35"/>
      <c r="CL57" s="35"/>
      <c r="CM57" s="35"/>
      <c r="CN57" s="35"/>
      <c r="CO57" s="35"/>
      <c r="CP57" s="35"/>
      <c r="CQ57" s="35"/>
      <c r="CR57" s="35"/>
      <c r="CS57" s="35"/>
      <c r="CT57" s="35"/>
      <c r="CU57" s="35"/>
      <c r="CV57" s="35"/>
      <c r="CW57" s="35"/>
      <c r="CX57" s="35"/>
      <c r="CY57" s="35"/>
      <c r="CZ57" s="35"/>
      <c r="DA57" s="35"/>
      <c r="DB57" s="35"/>
      <c r="DC57" s="35"/>
    </row>
    <row r="58" spans="2:107">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row>
    <row r="59" spans="2:107">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row>
  </sheetData>
  <mergeCells count="17">
    <mergeCell ref="AS1:AV1"/>
    <mergeCell ref="BJ1:CX1"/>
    <mergeCell ref="AZ1:BC1"/>
    <mergeCell ref="N1:P1"/>
    <mergeCell ref="AW1:AY1"/>
    <mergeCell ref="AO1:AQ1"/>
    <mergeCell ref="R1:T1"/>
    <mergeCell ref="V1:X1"/>
    <mergeCell ref="Z1:AB1"/>
    <mergeCell ref="AC1:AE1"/>
    <mergeCell ref="AG1:AI1"/>
    <mergeCell ref="AK1:AM1"/>
    <mergeCell ref="A1:A2"/>
    <mergeCell ref="B1:B2"/>
    <mergeCell ref="C1:E1"/>
    <mergeCell ref="F1:H1"/>
    <mergeCell ref="J1:L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E3DB3-75EC-674A-BB45-ED3FE90A76E2}">
  <dimension ref="A1:BR39"/>
  <sheetViews>
    <sheetView workbookViewId="0">
      <selection activeCell="P15" sqref="P15"/>
    </sheetView>
  </sheetViews>
  <sheetFormatPr defaultColWidth="10.6640625" defaultRowHeight="15.5"/>
  <cols>
    <col min="44" max="57" width="10.83203125" style="12"/>
    <col min="63" max="63" width="18.33203125" customWidth="1"/>
    <col min="67" max="67" width="23.83203125" customWidth="1"/>
    <col min="68" max="68" width="19.6640625" customWidth="1"/>
    <col min="69" max="69" width="23.1640625" customWidth="1"/>
    <col min="70" max="70" width="22" customWidth="1"/>
  </cols>
  <sheetData>
    <row r="1" spans="1:70" s="361" customFormat="1" ht="46.5">
      <c r="A1" s="690" t="s">
        <v>213</v>
      </c>
      <c r="B1" s="704" t="s">
        <v>160</v>
      </c>
      <c r="C1" s="361" t="s">
        <v>135</v>
      </c>
      <c r="D1" s="361" t="s">
        <v>399</v>
      </c>
      <c r="E1" s="361" t="s">
        <v>172</v>
      </c>
      <c r="F1" s="361" t="s">
        <v>173</v>
      </c>
      <c r="G1" s="361" t="s">
        <v>174</v>
      </c>
      <c r="H1" s="361">
        <v>30</v>
      </c>
      <c r="K1" s="361" t="s">
        <v>400</v>
      </c>
      <c r="L1" s="361" t="s">
        <v>255</v>
      </c>
      <c r="M1" s="361" t="s">
        <v>401</v>
      </c>
      <c r="O1" s="361" t="s">
        <v>160</v>
      </c>
      <c r="P1" s="704" t="s">
        <v>183</v>
      </c>
      <c r="Q1" s="704"/>
      <c r="R1" s="704"/>
      <c r="S1" s="704" t="s">
        <v>171</v>
      </c>
      <c r="T1" s="704"/>
      <c r="U1" s="704"/>
      <c r="V1" s="704" t="s">
        <v>172</v>
      </c>
      <c r="W1" s="704"/>
      <c r="X1" s="704"/>
      <c r="Y1" s="704" t="s">
        <v>173</v>
      </c>
      <c r="Z1" s="704"/>
      <c r="AA1" s="704"/>
      <c r="AB1" s="704" t="s">
        <v>174</v>
      </c>
      <c r="AC1" s="704"/>
      <c r="AD1" s="704"/>
      <c r="AE1" s="704" t="s">
        <v>264</v>
      </c>
      <c r="AF1" s="704"/>
      <c r="AG1" s="704"/>
      <c r="AI1" s="361" t="s">
        <v>400</v>
      </c>
      <c r="AL1" s="361" t="s">
        <v>992</v>
      </c>
      <c r="AM1" s="361" t="s">
        <v>993</v>
      </c>
      <c r="AO1" s="361" t="s">
        <v>1446</v>
      </c>
      <c r="AP1" s="361" t="s">
        <v>1447</v>
      </c>
      <c r="AQ1" s="361" t="s">
        <v>311</v>
      </c>
      <c r="AR1" s="13" t="s">
        <v>135</v>
      </c>
      <c r="AS1" s="13" t="s">
        <v>1448</v>
      </c>
      <c r="AT1" s="13" t="s">
        <v>1456</v>
      </c>
      <c r="AU1" s="13" t="s">
        <v>1457</v>
      </c>
      <c r="AV1" s="13" t="s">
        <v>1449</v>
      </c>
      <c r="AW1" s="13" t="s">
        <v>1453</v>
      </c>
      <c r="AX1" s="13" t="s">
        <v>1458</v>
      </c>
      <c r="AY1" s="13" t="s">
        <v>1450</v>
      </c>
      <c r="AZ1" s="13" t="s">
        <v>1454</v>
      </c>
      <c r="BA1" s="13" t="s">
        <v>1459</v>
      </c>
      <c r="BB1" s="13" t="s">
        <v>1451</v>
      </c>
      <c r="BC1" s="13" t="s">
        <v>1455</v>
      </c>
      <c r="BD1" s="13" t="s">
        <v>1460</v>
      </c>
      <c r="BE1" s="13" t="s">
        <v>1452</v>
      </c>
      <c r="BF1" s="361" t="s">
        <v>1461</v>
      </c>
      <c r="BG1" s="361" t="s">
        <v>1462</v>
      </c>
      <c r="BH1" s="361" t="s">
        <v>1463</v>
      </c>
      <c r="BI1" s="361" t="s">
        <v>1464</v>
      </c>
      <c r="BJ1" s="361" t="s">
        <v>1465</v>
      </c>
      <c r="BK1" s="369" t="s">
        <v>1466</v>
      </c>
      <c r="BN1" s="375" t="s">
        <v>1467</v>
      </c>
      <c r="BO1" s="375"/>
      <c r="BP1" s="375"/>
      <c r="BQ1" s="375"/>
      <c r="BR1" s="375"/>
    </row>
    <row r="2" spans="1:70">
      <c r="A2" s="690"/>
      <c r="B2" s="704"/>
      <c r="C2" t="s">
        <v>398</v>
      </c>
      <c r="D2" t="s">
        <v>398</v>
      </c>
      <c r="E2" t="s">
        <v>398</v>
      </c>
      <c r="F2" t="s">
        <v>398</v>
      </c>
      <c r="G2" t="s">
        <v>398</v>
      </c>
      <c r="H2" t="s">
        <v>398</v>
      </c>
      <c r="K2">
        <v>-6.0630000000000003E-2</v>
      </c>
      <c r="L2">
        <v>5.0179999999999998</v>
      </c>
      <c r="M2">
        <v>9.9260000000000002</v>
      </c>
      <c r="P2" t="s">
        <v>991</v>
      </c>
      <c r="Q2" t="s">
        <v>989</v>
      </c>
      <c r="R2" t="s">
        <v>990</v>
      </c>
      <c r="S2" t="s">
        <v>991</v>
      </c>
      <c r="T2" t="s">
        <v>989</v>
      </c>
      <c r="U2" t="s">
        <v>990</v>
      </c>
      <c r="V2" t="s">
        <v>991</v>
      </c>
      <c r="W2" t="s">
        <v>989</v>
      </c>
      <c r="X2" t="s">
        <v>990</v>
      </c>
      <c r="Y2" t="s">
        <v>991</v>
      </c>
      <c r="Z2" t="s">
        <v>989</v>
      </c>
      <c r="AA2" t="s">
        <v>990</v>
      </c>
      <c r="AB2" t="s">
        <v>991</v>
      </c>
      <c r="AC2" t="s">
        <v>989</v>
      </c>
      <c r="AD2" t="s">
        <v>990</v>
      </c>
      <c r="AE2" t="s">
        <v>991</v>
      </c>
      <c r="AF2" t="s">
        <v>989</v>
      </c>
      <c r="AG2" t="s">
        <v>990</v>
      </c>
      <c r="AI2" t="s">
        <v>991</v>
      </c>
      <c r="AJ2" t="s">
        <v>989</v>
      </c>
      <c r="AK2" t="s">
        <v>990</v>
      </c>
      <c r="AO2" s="14">
        <v>44504</v>
      </c>
      <c r="AP2" s="12">
        <v>954.58333333333337</v>
      </c>
      <c r="AQ2" s="12">
        <v>21.616666666666667</v>
      </c>
      <c r="AR2" s="12">
        <f>C4</f>
        <v>3.9319999999999999</v>
      </c>
      <c r="AS2" s="12">
        <f t="shared" ref="AS2:AS13" si="0">D4</f>
        <v>0.7591</v>
      </c>
      <c r="AT2" s="12">
        <v>0</v>
      </c>
      <c r="AU2" s="12">
        <f>AT2/AR2</f>
        <v>0</v>
      </c>
      <c r="AV2" s="12">
        <f t="shared" ref="AV2:AV13" si="1">E4</f>
        <v>1.056</v>
      </c>
      <c r="AW2" s="12">
        <v>0</v>
      </c>
      <c r="AX2" s="12">
        <f>AW2/AR2</f>
        <v>0</v>
      </c>
      <c r="AY2" s="12">
        <f t="shared" ref="AY2:AY13" si="2">F4</f>
        <v>0.81559999999999999</v>
      </c>
      <c r="AZ2" s="12">
        <v>0</v>
      </c>
      <c r="BA2" s="12">
        <f>AZ2/AR2</f>
        <v>0</v>
      </c>
      <c r="BB2" s="12">
        <f t="shared" ref="BB2:BB13" si="3">G4</f>
        <v>0.55389999999999995</v>
      </c>
      <c r="BC2" s="12">
        <v>0</v>
      </c>
      <c r="BD2" s="12">
        <f>BC2/AR2</f>
        <v>0</v>
      </c>
      <c r="BE2" s="12">
        <f t="shared" ref="BE2:BE13" si="4">H4</f>
        <v>1.2789999999999999</v>
      </c>
      <c r="BF2" s="12">
        <f>BE2-BE2</f>
        <v>0</v>
      </c>
      <c r="BG2" s="12">
        <f>(AV2+AY2+BB2)/3</f>
        <v>0.8085</v>
      </c>
      <c r="BH2" s="12">
        <f>(AW2+AZ2+BC2)/3</f>
        <v>0</v>
      </c>
      <c r="BI2" s="12">
        <f>BG2/AR2</f>
        <v>0.2056205493387589</v>
      </c>
      <c r="BJ2" s="12">
        <f>BH2/AR2</f>
        <v>0</v>
      </c>
      <c r="BK2" s="12">
        <f>((AR2-AW2)+(AR2-AZ2)+(AR2-BC2))/3</f>
        <v>3.9319999999999999</v>
      </c>
      <c r="BN2" s="304" t="s">
        <v>1305</v>
      </c>
      <c r="BO2" s="376" t="s">
        <v>1468</v>
      </c>
      <c r="BP2" s="376" t="s">
        <v>1469</v>
      </c>
      <c r="BQ2" s="374" t="s">
        <v>1470</v>
      </c>
      <c r="BR2" s="374" t="s">
        <v>1471</v>
      </c>
    </row>
    <row r="3" spans="1:70">
      <c r="B3" s="14">
        <v>44503</v>
      </c>
      <c r="K3">
        <v>-7.4349999999999999E-2</v>
      </c>
      <c r="L3">
        <v>5.782</v>
      </c>
      <c r="O3" s="14">
        <v>44543</v>
      </c>
      <c r="P3">
        <v>-3.37</v>
      </c>
      <c r="Q3">
        <v>6.0670000000000002</v>
      </c>
      <c r="R3">
        <v>9.4369999999999994</v>
      </c>
      <c r="S3">
        <v>1.8160000000000001</v>
      </c>
      <c r="T3">
        <v>9.9550000000000001</v>
      </c>
      <c r="U3">
        <v>11.77</v>
      </c>
      <c r="V3">
        <v>-2.4870000000000001</v>
      </c>
      <c r="W3">
        <v>9.0169999999999995</v>
      </c>
      <c r="X3">
        <v>11.5</v>
      </c>
      <c r="Y3">
        <v>-2.5179999999999998</v>
      </c>
      <c r="Z3">
        <v>8.7970000000000006</v>
      </c>
      <c r="AA3">
        <v>11.31</v>
      </c>
      <c r="AB3">
        <v>-2.8</v>
      </c>
      <c r="AC3">
        <v>8.7170000000000005</v>
      </c>
      <c r="AD3">
        <v>11.52</v>
      </c>
      <c r="AE3">
        <v>-4.7969999999999997</v>
      </c>
      <c r="AF3">
        <v>6.3540000000000001</v>
      </c>
      <c r="AG3">
        <v>11.15</v>
      </c>
      <c r="AI3">
        <v>-7.5989000000000004</v>
      </c>
      <c r="AJ3">
        <v>1.3819999999999999</v>
      </c>
      <c r="AK3">
        <v>8.9710000000000001</v>
      </c>
      <c r="AL3">
        <v>25.6</v>
      </c>
      <c r="AM3">
        <v>23.51</v>
      </c>
      <c r="AO3" s="14">
        <v>44505</v>
      </c>
      <c r="AP3" s="12">
        <v>979.75</v>
      </c>
      <c r="AQ3" s="12">
        <v>46.8</v>
      </c>
      <c r="AR3" s="12">
        <f t="shared" ref="AR3:AR13" si="5">C5</f>
        <v>1.4390000000000001</v>
      </c>
      <c r="AS3" s="12">
        <f t="shared" si="0"/>
        <v>0.86670000000000003</v>
      </c>
      <c r="AT3" s="12">
        <f t="shared" ref="AT3:AT17" si="6">AS3-(BE3*(3/2))</f>
        <v>0.1513500000000001</v>
      </c>
      <c r="AU3" s="12">
        <f t="shared" ref="AU3:AU17" si="7">AT3/AR3</f>
        <v>0.10517720639332877</v>
      </c>
      <c r="AV3" s="12">
        <f t="shared" si="1"/>
        <v>0.86409999999999998</v>
      </c>
      <c r="AW3" s="12">
        <f t="shared" ref="AW3:AW17" si="8">AV3-BE3</f>
        <v>0.38719999999999999</v>
      </c>
      <c r="AX3" s="12">
        <f t="shared" ref="AX3:AX17" si="9">AW3/AR3</f>
        <v>0.26907574704656007</v>
      </c>
      <c r="AY3" s="12">
        <f t="shared" si="2"/>
        <v>0.99629999999999996</v>
      </c>
      <c r="AZ3" s="12">
        <f t="shared" ref="AZ3:AZ17" si="10">AY3-BE3</f>
        <v>0.51939999999999997</v>
      </c>
      <c r="BA3" s="12">
        <f t="shared" ref="BA3:BA17" si="11">AZ3/AR3</f>
        <v>0.36094510076441971</v>
      </c>
      <c r="BB3" s="12">
        <f t="shared" si="3"/>
        <v>0.63290000000000002</v>
      </c>
      <c r="BC3" s="12">
        <f t="shared" ref="BC3:BC11" si="12">BB3-BE3</f>
        <v>0.15600000000000003</v>
      </c>
      <c r="BD3" s="12">
        <f t="shared" ref="BD3:BD17" si="13">BC3/AR3</f>
        <v>0.10840861709520502</v>
      </c>
      <c r="BE3" s="12">
        <f t="shared" si="4"/>
        <v>0.47689999999999999</v>
      </c>
      <c r="BF3" s="12">
        <f t="shared" ref="BF3:BF21" si="14">BE3-BE3</f>
        <v>0</v>
      </c>
      <c r="BG3" s="12">
        <f t="shared" ref="BG3:BG17" si="15">(AV3+AY3+BB3)/3</f>
        <v>0.83109999999999984</v>
      </c>
      <c r="BH3" s="12">
        <f t="shared" ref="BH3:BH17" si="16">(AW3+AZ3+BC3)/3</f>
        <v>0.35420000000000001</v>
      </c>
      <c r="BI3" s="12">
        <f t="shared" ref="BI3:BI17" si="17">BG3/AR3</f>
        <v>0.57755385684503113</v>
      </c>
      <c r="BJ3" s="12">
        <f t="shared" ref="BJ3:BJ17" si="18">BH3/AR3</f>
        <v>0.24614315496872829</v>
      </c>
      <c r="BK3" s="12">
        <f t="shared" ref="BK3:BK17" si="19">((AR3-AW3)+(AR3-AZ3)+(AR3-BC3))/3</f>
        <v>1.0848</v>
      </c>
      <c r="BN3" t="s">
        <v>399</v>
      </c>
      <c r="BO3" s="12">
        <f>AVERAGE(AS2:AS13)</f>
        <v>1.4994833333333333</v>
      </c>
      <c r="BP3" s="12">
        <f>AVERAGE(AT2:AT13)</f>
        <v>0.53434999999999999</v>
      </c>
      <c r="BQ3" s="12">
        <f>AVERAGE(AS14:AS17)</f>
        <v>12.489999999999998</v>
      </c>
      <c r="BR3" s="12">
        <f>AVERAGE(AT14:AT17)</f>
        <v>12.02875</v>
      </c>
    </row>
    <row r="4" spans="1:70">
      <c r="B4" s="14">
        <v>44504</v>
      </c>
      <c r="C4">
        <v>3.9319999999999999</v>
      </c>
      <c r="D4">
        <v>0.7591</v>
      </c>
      <c r="E4">
        <v>1.056</v>
      </c>
      <c r="F4">
        <v>0.81559999999999999</v>
      </c>
      <c r="G4">
        <v>0.55389999999999995</v>
      </c>
      <c r="H4">
        <v>1.2789999999999999</v>
      </c>
      <c r="L4">
        <v>4.9489999999999998</v>
      </c>
      <c r="O4" s="14">
        <v>44546</v>
      </c>
      <c r="P4">
        <v>-4.33</v>
      </c>
      <c r="Q4">
        <v>5.3339999999999996</v>
      </c>
      <c r="R4">
        <v>9.6639999999999997</v>
      </c>
      <c r="S4">
        <v>-3.117</v>
      </c>
      <c r="T4">
        <v>9.07</v>
      </c>
      <c r="U4">
        <v>12.19</v>
      </c>
      <c r="V4">
        <v>-3.1819999999999999</v>
      </c>
      <c r="W4">
        <v>8.6440000000000001</v>
      </c>
      <c r="X4">
        <v>11.83</v>
      </c>
      <c r="Y4">
        <v>0.44650000000000001</v>
      </c>
      <c r="Z4">
        <v>13.25</v>
      </c>
      <c r="AA4">
        <v>12.8</v>
      </c>
      <c r="AB4">
        <v>-3.0049999999999999</v>
      </c>
      <c r="AC4">
        <v>8.8569999999999993</v>
      </c>
      <c r="AD4">
        <v>11.86</v>
      </c>
      <c r="AE4">
        <v>-5.55</v>
      </c>
      <c r="AF4">
        <v>5.2359999999999998</v>
      </c>
      <c r="AG4">
        <v>10.79</v>
      </c>
      <c r="AI4">
        <v>-3.302</v>
      </c>
      <c r="AJ4">
        <v>1.302</v>
      </c>
      <c r="AK4">
        <v>4.6040000000000001</v>
      </c>
      <c r="AL4">
        <v>24.59</v>
      </c>
      <c r="AM4">
        <v>5.774</v>
      </c>
      <c r="AO4" s="14">
        <v>44510</v>
      </c>
      <c r="AP4" s="12">
        <v>1099.45</v>
      </c>
      <c r="AQ4" s="12">
        <v>166.5</v>
      </c>
      <c r="AR4" s="12">
        <f t="shared" si="5"/>
        <v>2.0640000000000001</v>
      </c>
      <c r="AS4" s="12">
        <f t="shared" si="0"/>
        <v>2.089</v>
      </c>
      <c r="AT4" s="12">
        <f t="shared" si="6"/>
        <v>0.8144499999999999</v>
      </c>
      <c r="AU4" s="12">
        <f t="shared" si="7"/>
        <v>0.39459786821705423</v>
      </c>
      <c r="AV4" s="12">
        <f t="shared" si="1"/>
        <v>1.732</v>
      </c>
      <c r="AW4" s="12">
        <f t="shared" si="8"/>
        <v>0.88229999999999997</v>
      </c>
      <c r="AX4" s="12">
        <f t="shared" si="9"/>
        <v>0.42747093023255811</v>
      </c>
      <c r="AY4" s="12">
        <f t="shared" si="2"/>
        <v>1.962</v>
      </c>
      <c r="AZ4" s="12">
        <f t="shared" si="10"/>
        <v>1.1122999999999998</v>
      </c>
      <c r="BA4" s="12">
        <f t="shared" si="11"/>
        <v>0.53890503875968987</v>
      </c>
      <c r="BB4" s="12">
        <f t="shared" si="3"/>
        <v>1.6020000000000001</v>
      </c>
      <c r="BC4" s="12">
        <f t="shared" si="12"/>
        <v>0.75230000000000008</v>
      </c>
      <c r="BD4" s="12">
        <f t="shared" si="13"/>
        <v>0.36448643410852716</v>
      </c>
      <c r="BE4" s="12">
        <f t="shared" si="4"/>
        <v>0.84970000000000001</v>
      </c>
      <c r="BF4" s="12">
        <f t="shared" si="14"/>
        <v>0</v>
      </c>
      <c r="BG4" s="12">
        <f t="shared" si="15"/>
        <v>1.7653333333333334</v>
      </c>
      <c r="BH4" s="12">
        <f t="shared" si="16"/>
        <v>0.91563333333333319</v>
      </c>
      <c r="BI4" s="12">
        <f t="shared" si="17"/>
        <v>0.85529715762273906</v>
      </c>
      <c r="BJ4" s="12">
        <f t="shared" si="18"/>
        <v>0.44362080103359164</v>
      </c>
      <c r="BK4" s="12">
        <f t="shared" si="19"/>
        <v>1.1483666666666668</v>
      </c>
      <c r="BN4" t="s">
        <v>172</v>
      </c>
      <c r="BO4" s="12">
        <f>AVERAGE(AV2:AV13)</f>
        <v>1.5059333333333333</v>
      </c>
      <c r="BP4" s="12">
        <f>AVERAGE(AW2:AW13)</f>
        <v>0.81668333333333332</v>
      </c>
      <c r="BQ4" s="12">
        <f>AVERAGE(AV14:AV17)</f>
        <v>9.6112500000000001</v>
      </c>
      <c r="BR4" s="12">
        <f>AVERAGE(AW14:AW17)</f>
        <v>9.3037500000000009</v>
      </c>
    </row>
    <row r="5" spans="1:70">
      <c r="B5" s="14">
        <v>44505</v>
      </c>
      <c r="C5">
        <v>1.4390000000000001</v>
      </c>
      <c r="D5">
        <v>0.86670000000000003</v>
      </c>
      <c r="E5">
        <v>0.86409999999999998</v>
      </c>
      <c r="F5">
        <v>0.99629999999999996</v>
      </c>
      <c r="G5">
        <v>0.63290000000000002</v>
      </c>
      <c r="H5">
        <v>0.47689999999999999</v>
      </c>
      <c r="K5">
        <v>6.8049999999999999E-2</v>
      </c>
      <c r="L5">
        <v>5.2149999999999999</v>
      </c>
      <c r="O5" s="14">
        <v>44580</v>
      </c>
      <c r="P5">
        <v>-3.851</v>
      </c>
      <c r="Q5">
        <v>5.875</v>
      </c>
      <c r="R5">
        <v>9.7260000000000009</v>
      </c>
      <c r="S5">
        <v>-2.859</v>
      </c>
      <c r="T5">
        <v>8.8940000000000001</v>
      </c>
      <c r="U5">
        <v>11.75</v>
      </c>
      <c r="V5">
        <v>-2.75</v>
      </c>
      <c r="W5">
        <v>8.9529999999999994</v>
      </c>
      <c r="X5">
        <v>11.7</v>
      </c>
      <c r="Y5">
        <v>-2.8239999999999998</v>
      </c>
      <c r="Z5">
        <v>8.93</v>
      </c>
      <c r="AA5">
        <v>11.75</v>
      </c>
      <c r="AB5">
        <v>-2.8370000000000002</v>
      </c>
      <c r="AC5">
        <v>8.8279999999999994</v>
      </c>
      <c r="AD5">
        <v>11.66</v>
      </c>
      <c r="AE5">
        <v>-4.4619999999999997</v>
      </c>
      <c r="AF5">
        <v>6.62</v>
      </c>
      <c r="AG5">
        <v>11.08</v>
      </c>
      <c r="AO5" s="14">
        <v>44512</v>
      </c>
      <c r="AP5" s="12">
        <v>1147.6166666666666</v>
      </c>
      <c r="AQ5" s="12">
        <v>214.66666666666666</v>
      </c>
      <c r="AR5" s="12">
        <f t="shared" si="5"/>
        <v>2.5379999999999998</v>
      </c>
      <c r="AS5" s="12">
        <f t="shared" si="0"/>
        <v>1.3640000000000001</v>
      </c>
      <c r="AT5" s="12">
        <f t="shared" si="6"/>
        <v>0.79265000000000008</v>
      </c>
      <c r="AU5" s="12">
        <f t="shared" si="7"/>
        <v>0.31231284475965332</v>
      </c>
      <c r="AV5" s="12">
        <f t="shared" si="1"/>
        <v>1.655</v>
      </c>
      <c r="AW5" s="12">
        <f t="shared" si="8"/>
        <v>1.2741</v>
      </c>
      <c r="AX5" s="12">
        <f t="shared" si="9"/>
        <v>0.50200945626477544</v>
      </c>
      <c r="AY5" s="12">
        <f t="shared" si="2"/>
        <v>1.5189999999999999</v>
      </c>
      <c r="AZ5" s="12">
        <f t="shared" si="10"/>
        <v>1.1380999999999999</v>
      </c>
      <c r="BA5" s="12">
        <f t="shared" si="11"/>
        <v>0.44842395587076439</v>
      </c>
      <c r="BB5" s="12">
        <f t="shared" si="3"/>
        <v>1.506</v>
      </c>
      <c r="BC5" s="12">
        <f t="shared" si="12"/>
        <v>1.1251</v>
      </c>
      <c r="BD5" s="12">
        <f t="shared" si="13"/>
        <v>0.44330181245074862</v>
      </c>
      <c r="BE5" s="12">
        <f t="shared" si="4"/>
        <v>0.38090000000000002</v>
      </c>
      <c r="BF5" s="12">
        <f t="shared" si="14"/>
        <v>0</v>
      </c>
      <c r="BG5" s="12">
        <f t="shared" si="15"/>
        <v>1.5599999999999998</v>
      </c>
      <c r="BH5" s="12">
        <f t="shared" si="16"/>
        <v>1.1791</v>
      </c>
      <c r="BI5" s="12">
        <f t="shared" si="17"/>
        <v>0.61465721040189125</v>
      </c>
      <c r="BJ5" s="12">
        <f t="shared" si="18"/>
        <v>0.4645784081954295</v>
      </c>
      <c r="BK5" s="12">
        <f t="shared" si="19"/>
        <v>1.3589</v>
      </c>
      <c r="BN5" t="s">
        <v>173</v>
      </c>
      <c r="BO5" s="12">
        <f>AVERAGE(AY2:AY13)</f>
        <v>1.6278166666666667</v>
      </c>
      <c r="BP5" s="12">
        <f>AVERAGE(AZ2:AZ13)</f>
        <v>0.95860000000000001</v>
      </c>
      <c r="BQ5" s="12">
        <f>AVERAGE(AY14:AY17)</f>
        <v>8.2962500000000006</v>
      </c>
      <c r="BR5" s="12">
        <f>AVERAGE(AZ14:AZ17)</f>
        <v>7.9887500000000005</v>
      </c>
    </row>
    <row r="6" spans="1:70">
      <c r="B6" s="14">
        <v>44510</v>
      </c>
      <c r="C6">
        <v>2.0640000000000001</v>
      </c>
      <c r="D6">
        <v>2.089</v>
      </c>
      <c r="E6">
        <v>1.732</v>
      </c>
      <c r="F6">
        <v>1.962</v>
      </c>
      <c r="G6">
        <v>1.6020000000000001</v>
      </c>
      <c r="H6">
        <v>0.84970000000000001</v>
      </c>
      <c r="K6">
        <v>-2.2970000000000001E-2</v>
      </c>
      <c r="L6">
        <v>5.2619999999999996</v>
      </c>
      <c r="O6" s="14">
        <v>44582</v>
      </c>
      <c r="P6">
        <v>-4.2510000000000003</v>
      </c>
      <c r="Q6">
        <v>5.35</v>
      </c>
      <c r="R6">
        <v>9.6</v>
      </c>
      <c r="S6">
        <v>-1.968</v>
      </c>
      <c r="T6">
        <v>10.28</v>
      </c>
      <c r="U6">
        <v>12.25</v>
      </c>
      <c r="V6">
        <v>-3.1080000000000001</v>
      </c>
      <c r="W6">
        <v>8.4</v>
      </c>
      <c r="X6">
        <v>11.51</v>
      </c>
      <c r="Y6">
        <v>-3.1019999999999999</v>
      </c>
      <c r="Z6">
        <v>8.4329999999999998</v>
      </c>
      <c r="AA6">
        <v>11.53</v>
      </c>
      <c r="AB6">
        <v>-2.9049999999999998</v>
      </c>
      <c r="AC6">
        <v>8.56</v>
      </c>
      <c r="AD6">
        <v>11.47</v>
      </c>
      <c r="AE6">
        <v>-5.0990000000000002</v>
      </c>
      <c r="AF6">
        <v>6.016</v>
      </c>
      <c r="AG6">
        <v>11.12</v>
      </c>
      <c r="AO6" s="14">
        <v>44515</v>
      </c>
      <c r="AP6" s="12">
        <v>1219.55</v>
      </c>
      <c r="AQ6" s="12">
        <v>286.59999999999997</v>
      </c>
      <c r="AR6" s="12">
        <f t="shared" si="5"/>
        <v>2.4449999999999998</v>
      </c>
      <c r="AS6" s="12">
        <f t="shared" si="0"/>
        <v>1.9830000000000001</v>
      </c>
      <c r="AT6" s="12">
        <f t="shared" si="6"/>
        <v>0.89145000000000008</v>
      </c>
      <c r="AU6" s="12">
        <f t="shared" si="7"/>
        <v>0.3646012269938651</v>
      </c>
      <c r="AV6" s="12">
        <f t="shared" si="1"/>
        <v>1.7749999999999999</v>
      </c>
      <c r="AW6" s="12">
        <f t="shared" si="8"/>
        <v>1.0472999999999999</v>
      </c>
      <c r="AX6" s="12">
        <f t="shared" si="9"/>
        <v>0.42834355828220855</v>
      </c>
      <c r="AY6" s="12">
        <f t="shared" si="2"/>
        <v>1.831</v>
      </c>
      <c r="AZ6" s="12">
        <f t="shared" si="10"/>
        <v>1.1032999999999999</v>
      </c>
      <c r="BA6" s="12">
        <f t="shared" si="11"/>
        <v>0.4512474437627812</v>
      </c>
      <c r="BB6" s="12">
        <f t="shared" si="3"/>
        <v>1.851</v>
      </c>
      <c r="BC6" s="12">
        <f t="shared" si="12"/>
        <v>1.1233</v>
      </c>
      <c r="BD6" s="12">
        <f t="shared" si="13"/>
        <v>0.45942740286298572</v>
      </c>
      <c r="BE6" s="12">
        <f t="shared" si="4"/>
        <v>0.72770000000000001</v>
      </c>
      <c r="BF6" s="12">
        <f t="shared" si="14"/>
        <v>0</v>
      </c>
      <c r="BG6" s="12">
        <f t="shared" si="15"/>
        <v>1.819</v>
      </c>
      <c r="BH6" s="12">
        <f t="shared" si="16"/>
        <v>1.0912999999999999</v>
      </c>
      <c r="BI6" s="12">
        <f t="shared" si="17"/>
        <v>0.74396728016359925</v>
      </c>
      <c r="BJ6" s="12">
        <f t="shared" si="18"/>
        <v>0.44633946830265847</v>
      </c>
      <c r="BK6" s="12">
        <f t="shared" si="19"/>
        <v>1.3536999999999999</v>
      </c>
      <c r="BN6" t="s">
        <v>174</v>
      </c>
      <c r="BO6" s="12">
        <f>AVERAGE(BB2:BB13)</f>
        <v>1.6302545454545458</v>
      </c>
      <c r="BP6" s="12">
        <f>AVERAGE(BC2:BC13)</f>
        <v>0.96603636363636369</v>
      </c>
      <c r="BQ6" s="12">
        <f>AVERAGE(BB14:BB17)</f>
        <v>6.6037500000000007</v>
      </c>
      <c r="BR6" s="12">
        <f>AVERAGE(BC14:BC17)</f>
        <v>6.2962500000000006</v>
      </c>
    </row>
    <row r="7" spans="1:70">
      <c r="B7" s="14">
        <v>44512</v>
      </c>
      <c r="C7">
        <v>2.5379999999999998</v>
      </c>
      <c r="D7">
        <v>1.3640000000000001</v>
      </c>
      <c r="E7">
        <v>1.655</v>
      </c>
      <c r="F7">
        <v>1.5189999999999999</v>
      </c>
      <c r="G7">
        <v>1.506</v>
      </c>
      <c r="H7">
        <v>0.38090000000000002</v>
      </c>
      <c r="K7">
        <v>4.0710000000000003E-2</v>
      </c>
      <c r="L7">
        <v>5.2039999999999997</v>
      </c>
      <c r="O7" s="14">
        <v>44585</v>
      </c>
      <c r="P7">
        <v>4.88</v>
      </c>
      <c r="Q7">
        <v>14.68</v>
      </c>
      <c r="R7">
        <v>9.8030000000000008</v>
      </c>
      <c r="S7">
        <v>3.516</v>
      </c>
      <c r="T7">
        <v>17.16</v>
      </c>
      <c r="U7">
        <v>13.64</v>
      </c>
      <c r="V7">
        <v>2.69</v>
      </c>
      <c r="W7">
        <v>16.02</v>
      </c>
      <c r="X7">
        <v>13.33</v>
      </c>
      <c r="Y7">
        <v>2.6640000000000001</v>
      </c>
      <c r="Z7">
        <v>16.03</v>
      </c>
      <c r="AA7">
        <v>13.36</v>
      </c>
      <c r="AB7">
        <v>3.0760000000000001</v>
      </c>
      <c r="AC7">
        <v>16.73</v>
      </c>
      <c r="AD7">
        <v>13.65</v>
      </c>
      <c r="AE7">
        <v>-5.5780000000000003</v>
      </c>
      <c r="AF7">
        <v>5.351</v>
      </c>
      <c r="AG7">
        <v>10.93</v>
      </c>
      <c r="AO7" s="14">
        <v>44517</v>
      </c>
      <c r="AP7" s="12">
        <v>1267.7166666666667</v>
      </c>
      <c r="AQ7" s="12">
        <v>334.76666666666659</v>
      </c>
      <c r="AR7" s="12">
        <f t="shared" si="5"/>
        <v>1.6859999999999999</v>
      </c>
      <c r="AS7" s="12">
        <f t="shared" si="0"/>
        <v>1.2689999999999999</v>
      </c>
      <c r="AT7" s="12">
        <f t="shared" si="6"/>
        <v>0.29039999999999999</v>
      </c>
      <c r="AU7" s="12">
        <f t="shared" si="7"/>
        <v>0.17224199288256228</v>
      </c>
      <c r="AV7" s="12">
        <f t="shared" si="1"/>
        <v>1.411</v>
      </c>
      <c r="AW7" s="12">
        <f t="shared" si="8"/>
        <v>0.75860000000000005</v>
      </c>
      <c r="AX7" s="12">
        <f t="shared" si="9"/>
        <v>0.44994068801897991</v>
      </c>
      <c r="AY7" s="12">
        <f t="shared" si="2"/>
        <v>1.121</v>
      </c>
      <c r="AZ7" s="12">
        <f t="shared" si="10"/>
        <v>0.46860000000000002</v>
      </c>
      <c r="BA7" s="12">
        <f t="shared" si="11"/>
        <v>0.27793594306049824</v>
      </c>
      <c r="BB7" s="12">
        <f t="shared" si="3"/>
        <v>1.24</v>
      </c>
      <c r="BC7" s="12">
        <f t="shared" si="12"/>
        <v>0.58760000000000001</v>
      </c>
      <c r="BD7" s="12">
        <f t="shared" si="13"/>
        <v>0.34851720047449586</v>
      </c>
      <c r="BE7" s="12">
        <f t="shared" si="4"/>
        <v>0.65239999999999998</v>
      </c>
      <c r="BF7" s="12">
        <f t="shared" si="14"/>
        <v>0</v>
      </c>
      <c r="BG7" s="12">
        <f t="shared" si="15"/>
        <v>1.2573333333333334</v>
      </c>
      <c r="BH7" s="12">
        <f t="shared" si="16"/>
        <v>0.60493333333333332</v>
      </c>
      <c r="BI7" s="12">
        <f t="shared" si="17"/>
        <v>0.74574930802688821</v>
      </c>
      <c r="BJ7" s="12">
        <f t="shared" si="18"/>
        <v>0.35879794385132463</v>
      </c>
      <c r="BK7" s="12">
        <f t="shared" si="19"/>
        <v>1.0810666666666666</v>
      </c>
      <c r="BN7" t="s">
        <v>264</v>
      </c>
      <c r="BO7" s="12">
        <f>AVERAGE(BE2:BE21)</f>
        <v>0.48999999999999994</v>
      </c>
      <c r="BP7" s="12">
        <f>AVERAGE(BF2:BF21)</f>
        <v>0</v>
      </c>
    </row>
    <row r="8" spans="1:70">
      <c r="B8" s="14">
        <v>44515</v>
      </c>
      <c r="C8">
        <v>2.4449999999999998</v>
      </c>
      <c r="D8">
        <v>1.9830000000000001</v>
      </c>
      <c r="E8">
        <v>1.7749999999999999</v>
      </c>
      <c r="F8">
        <v>1.831</v>
      </c>
      <c r="G8">
        <v>1.851</v>
      </c>
      <c r="H8">
        <v>0.72770000000000001</v>
      </c>
      <c r="K8">
        <v>-5.8930000000000003E-2</v>
      </c>
      <c r="O8" s="14">
        <v>44587</v>
      </c>
      <c r="P8">
        <v>6.7380000000000004</v>
      </c>
      <c r="Q8">
        <v>16.170000000000002</v>
      </c>
      <c r="R8">
        <v>9.4280000000000008</v>
      </c>
      <c r="S8">
        <v>4.3840000000000003</v>
      </c>
      <c r="T8">
        <v>18.77</v>
      </c>
      <c r="U8">
        <v>14.38</v>
      </c>
      <c r="V8">
        <v>2.5299999999999998</v>
      </c>
      <c r="W8">
        <v>16.23</v>
      </c>
      <c r="X8">
        <v>13.7</v>
      </c>
      <c r="Y8">
        <v>2.9990000000000001</v>
      </c>
      <c r="Z8">
        <v>16.309999999999999</v>
      </c>
      <c r="AA8">
        <v>13.31</v>
      </c>
      <c r="AB8">
        <v>3.052</v>
      </c>
      <c r="AC8">
        <v>16.38</v>
      </c>
      <c r="AD8">
        <v>13.33</v>
      </c>
      <c r="AE8">
        <v>-5.1020000000000003</v>
      </c>
      <c r="AF8">
        <v>5.6449999999999996</v>
      </c>
      <c r="AG8">
        <v>10.75</v>
      </c>
      <c r="AO8" s="14">
        <v>44519</v>
      </c>
      <c r="AP8" s="12">
        <v>1313.85</v>
      </c>
      <c r="AQ8" s="12">
        <v>380.89999999999992</v>
      </c>
      <c r="AR8" s="12">
        <f t="shared" si="5"/>
        <v>1.296</v>
      </c>
      <c r="AS8" s="12">
        <f t="shared" si="0"/>
        <v>1.175</v>
      </c>
      <c r="AT8" s="12">
        <f t="shared" si="6"/>
        <v>0.44750000000000001</v>
      </c>
      <c r="AU8" s="12">
        <f t="shared" si="7"/>
        <v>0.34529320987654322</v>
      </c>
      <c r="AV8" s="12">
        <f t="shared" si="1"/>
        <v>1.17</v>
      </c>
      <c r="AW8" s="12">
        <f t="shared" si="8"/>
        <v>0.68499999999999994</v>
      </c>
      <c r="AX8" s="12">
        <f t="shared" si="9"/>
        <v>0.52854938271604934</v>
      </c>
      <c r="AY8" s="12">
        <f t="shared" si="2"/>
        <v>1.2310000000000001</v>
      </c>
      <c r="AZ8" s="12">
        <f t="shared" si="10"/>
        <v>0.74600000000000011</v>
      </c>
      <c r="BA8" s="12">
        <f t="shared" si="11"/>
        <v>0.5756172839506174</v>
      </c>
      <c r="BB8" s="12">
        <f t="shared" si="3"/>
        <v>1.161</v>
      </c>
      <c r="BC8" s="12">
        <f t="shared" si="12"/>
        <v>0.67600000000000005</v>
      </c>
      <c r="BD8" s="12">
        <f t="shared" si="13"/>
        <v>0.52160493827160492</v>
      </c>
      <c r="BE8" s="12">
        <f t="shared" si="4"/>
        <v>0.48499999999999999</v>
      </c>
      <c r="BF8" s="12">
        <f t="shared" si="14"/>
        <v>0</v>
      </c>
      <c r="BG8" s="12">
        <f t="shared" si="15"/>
        <v>1.1873333333333334</v>
      </c>
      <c r="BH8" s="12">
        <f t="shared" si="16"/>
        <v>0.70233333333333337</v>
      </c>
      <c r="BI8" s="12">
        <f t="shared" si="17"/>
        <v>0.91615226337448563</v>
      </c>
      <c r="BJ8" s="12">
        <f t="shared" si="18"/>
        <v>0.54192386831275718</v>
      </c>
      <c r="BK8" s="12">
        <f t="shared" si="19"/>
        <v>0.59366666666666668</v>
      </c>
      <c r="BN8" t="s">
        <v>183</v>
      </c>
      <c r="BO8" s="12">
        <f>AVERAGE(AR2:AR13)</f>
        <v>2.3951666666666664</v>
      </c>
      <c r="BP8" s="12"/>
      <c r="BQ8" s="12">
        <f>AVERAGE(AR14:AR17)</f>
        <v>13.5275</v>
      </c>
    </row>
    <row r="9" spans="1:70">
      <c r="B9" s="14">
        <v>44517</v>
      </c>
      <c r="C9">
        <v>1.6859999999999999</v>
      </c>
      <c r="D9">
        <v>1.2689999999999999</v>
      </c>
      <c r="E9">
        <v>1.411</v>
      </c>
      <c r="F9">
        <v>1.121</v>
      </c>
      <c r="G9">
        <v>1.24</v>
      </c>
      <c r="H9">
        <v>0.65239999999999998</v>
      </c>
      <c r="K9">
        <v>7.6000000000000004E-4</v>
      </c>
      <c r="O9" s="14">
        <v>44589</v>
      </c>
      <c r="P9">
        <v>7.7809999999999997</v>
      </c>
      <c r="Q9">
        <v>17.059999999999999</v>
      </c>
      <c r="R9">
        <v>9.2799999999999994</v>
      </c>
      <c r="S9">
        <v>5.75</v>
      </c>
      <c r="T9">
        <v>20.8</v>
      </c>
      <c r="U9">
        <v>15.05</v>
      </c>
      <c r="V9">
        <v>5.8109999999999999</v>
      </c>
      <c r="W9">
        <v>20.059999999999999</v>
      </c>
      <c r="X9">
        <v>14.25</v>
      </c>
      <c r="Y9">
        <v>6.5250000000000004</v>
      </c>
      <c r="Z9">
        <v>21.18</v>
      </c>
      <c r="AA9">
        <v>14.65</v>
      </c>
      <c r="AB9">
        <v>6.3869999999999996</v>
      </c>
      <c r="AC9">
        <v>21.5</v>
      </c>
      <c r="AD9">
        <v>15.11</v>
      </c>
      <c r="AE9">
        <v>-0.39250000000000002</v>
      </c>
      <c r="AF9">
        <v>10.86</v>
      </c>
      <c r="AG9">
        <v>11.25</v>
      </c>
      <c r="AO9" s="14">
        <v>44522</v>
      </c>
      <c r="AP9" s="12">
        <v>1393</v>
      </c>
      <c r="AQ9" s="12">
        <v>459.88333333333327</v>
      </c>
      <c r="AR9" s="12">
        <f t="shared" si="5"/>
        <v>2.5219999999999998</v>
      </c>
      <c r="AS9" s="12">
        <f t="shared" si="0"/>
        <v>1.36</v>
      </c>
      <c r="AT9" s="12">
        <f t="shared" si="6"/>
        <v>0.72865000000000013</v>
      </c>
      <c r="AU9" s="12">
        <f t="shared" si="7"/>
        <v>0.28891752577319596</v>
      </c>
      <c r="AV9" s="12">
        <f t="shared" si="1"/>
        <v>0.95709999999999995</v>
      </c>
      <c r="AW9" s="12">
        <f t="shared" si="8"/>
        <v>0.53620000000000001</v>
      </c>
      <c r="AX9" s="12">
        <f t="shared" si="9"/>
        <v>0.21260904044409201</v>
      </c>
      <c r="AY9" s="12">
        <f t="shared" si="2"/>
        <v>0.45590000000000003</v>
      </c>
      <c r="AZ9" s="12">
        <f t="shared" si="10"/>
        <v>3.5000000000000031E-2</v>
      </c>
      <c r="BA9" s="12">
        <f t="shared" si="11"/>
        <v>1.3877874702616984E-2</v>
      </c>
      <c r="BB9" s="12">
        <f t="shared" si="3"/>
        <v>1.23</v>
      </c>
      <c r="BC9" s="12">
        <f t="shared" si="12"/>
        <v>0.80909999999999993</v>
      </c>
      <c r="BD9" s="12">
        <f t="shared" si="13"/>
        <v>0.32081681205392543</v>
      </c>
      <c r="BE9" s="12">
        <f t="shared" si="4"/>
        <v>0.4209</v>
      </c>
      <c r="BF9" s="12">
        <f t="shared" si="14"/>
        <v>0</v>
      </c>
      <c r="BG9" s="12">
        <f t="shared" si="15"/>
        <v>0.88099999999999989</v>
      </c>
      <c r="BH9" s="12">
        <f t="shared" si="16"/>
        <v>0.46010000000000001</v>
      </c>
      <c r="BI9" s="12">
        <f t="shared" si="17"/>
        <v>0.34932593180015858</v>
      </c>
      <c r="BJ9" s="12">
        <f t="shared" si="18"/>
        <v>0.18243457573354482</v>
      </c>
      <c r="BK9" s="12">
        <f t="shared" si="19"/>
        <v>2.0618999999999996</v>
      </c>
    </row>
    <row r="10" spans="1:70">
      <c r="B10" s="14">
        <v>44519</v>
      </c>
      <c r="C10">
        <v>1.296</v>
      </c>
      <c r="D10">
        <v>1.175</v>
      </c>
      <c r="E10">
        <v>1.17</v>
      </c>
      <c r="F10">
        <v>1.2310000000000001</v>
      </c>
      <c r="G10">
        <v>1.161</v>
      </c>
      <c r="H10">
        <v>0.48499999999999999</v>
      </c>
      <c r="K10">
        <v>-2.206E-2</v>
      </c>
      <c r="O10" s="14">
        <v>44594</v>
      </c>
      <c r="P10">
        <v>5.9560000000000004</v>
      </c>
      <c r="Q10">
        <v>16.149999999999999</v>
      </c>
      <c r="R10">
        <v>10.19</v>
      </c>
      <c r="S10">
        <v>4.0640000000000001</v>
      </c>
      <c r="T10">
        <v>17.940000000000001</v>
      </c>
      <c r="U10">
        <v>13.87</v>
      </c>
      <c r="V10">
        <v>3.4830000000000001</v>
      </c>
      <c r="W10">
        <v>16.95</v>
      </c>
      <c r="X10">
        <v>13.47</v>
      </c>
      <c r="Y10">
        <v>3.702</v>
      </c>
      <c r="Z10">
        <v>17.16</v>
      </c>
      <c r="AA10">
        <v>13.46</v>
      </c>
      <c r="AB10">
        <v>4.109</v>
      </c>
      <c r="AC10">
        <v>17.809999999999999</v>
      </c>
      <c r="AD10">
        <v>13.71</v>
      </c>
      <c r="AE10">
        <v>-4.9829999999999997</v>
      </c>
      <c r="AF10">
        <v>5.665</v>
      </c>
      <c r="AG10">
        <v>10.65</v>
      </c>
      <c r="AL10" s="371"/>
      <c r="AM10" s="9"/>
      <c r="AO10" s="14">
        <v>44524</v>
      </c>
      <c r="AP10" s="12">
        <v>1441</v>
      </c>
      <c r="AQ10" s="12">
        <v>507.81666666666661</v>
      </c>
      <c r="AR10" s="12">
        <f t="shared" si="5"/>
        <v>2.4020000000000001</v>
      </c>
      <c r="AS10" s="12">
        <f t="shared" si="0"/>
        <v>1.5740000000000001</v>
      </c>
      <c r="AT10" s="12">
        <f t="shared" si="6"/>
        <v>0.73025000000000007</v>
      </c>
      <c r="AU10" s="12">
        <f t="shared" si="7"/>
        <v>0.30401748542880935</v>
      </c>
      <c r="AV10" s="12">
        <f t="shared" si="1"/>
        <v>1.3380000000000001</v>
      </c>
      <c r="AW10" s="12">
        <f t="shared" si="8"/>
        <v>0.77550000000000008</v>
      </c>
      <c r="AX10" s="12">
        <f t="shared" si="9"/>
        <v>0.32285595337218986</v>
      </c>
      <c r="AY10" s="12">
        <f t="shared" si="2"/>
        <v>1.0249999999999999</v>
      </c>
      <c r="AZ10" s="12">
        <f t="shared" si="10"/>
        <v>0.46249999999999991</v>
      </c>
      <c r="BA10" s="12">
        <f t="shared" si="11"/>
        <v>0.19254787676935883</v>
      </c>
      <c r="BB10" s="12">
        <f t="shared" si="3"/>
        <v>1.204</v>
      </c>
      <c r="BC10" s="12">
        <f t="shared" si="12"/>
        <v>0.64149999999999996</v>
      </c>
      <c r="BD10" s="12">
        <f t="shared" si="13"/>
        <v>0.26706910907577014</v>
      </c>
      <c r="BE10" s="12">
        <f t="shared" si="4"/>
        <v>0.5625</v>
      </c>
      <c r="BF10" s="12">
        <f t="shared" si="14"/>
        <v>0</v>
      </c>
      <c r="BG10" s="12">
        <f t="shared" si="15"/>
        <v>1.1890000000000001</v>
      </c>
      <c r="BH10" s="12">
        <f t="shared" si="16"/>
        <v>0.62649999999999995</v>
      </c>
      <c r="BI10" s="12">
        <f t="shared" si="17"/>
        <v>0.49500416319733553</v>
      </c>
      <c r="BJ10" s="12">
        <f t="shared" si="18"/>
        <v>0.26082431307243958</v>
      </c>
      <c r="BK10" s="12">
        <f t="shared" si="19"/>
        <v>1.7755000000000001</v>
      </c>
    </row>
    <row r="11" spans="1:70">
      <c r="B11" s="14">
        <v>44522</v>
      </c>
      <c r="C11">
        <v>2.5219999999999998</v>
      </c>
      <c r="D11">
        <v>1.36</v>
      </c>
      <c r="E11">
        <v>0.95709999999999995</v>
      </c>
      <c r="F11">
        <v>0.45590000000000003</v>
      </c>
      <c r="G11">
        <v>1.23</v>
      </c>
      <c r="H11">
        <v>0.4209</v>
      </c>
      <c r="K11">
        <v>-6.9070000000000006E-2</v>
      </c>
      <c r="O11" s="14">
        <v>44596</v>
      </c>
      <c r="P11">
        <v>6.4779999999999998</v>
      </c>
      <c r="Q11">
        <v>16.03</v>
      </c>
      <c r="R11">
        <v>9.5549999999999997</v>
      </c>
      <c r="S11">
        <v>4.7640000000000002</v>
      </c>
      <c r="T11">
        <v>18.63</v>
      </c>
      <c r="U11">
        <v>13.87</v>
      </c>
      <c r="V11">
        <v>4.359</v>
      </c>
      <c r="W11">
        <v>18.21</v>
      </c>
      <c r="X11">
        <v>13.85</v>
      </c>
      <c r="Y11">
        <v>4.351</v>
      </c>
      <c r="Z11">
        <v>18.47</v>
      </c>
      <c r="AA11">
        <v>14.12</v>
      </c>
      <c r="AB11">
        <v>4.1369999999999996</v>
      </c>
      <c r="AC11">
        <v>17.8</v>
      </c>
      <c r="AD11">
        <v>13.66</v>
      </c>
      <c r="AE11">
        <v>-2.27</v>
      </c>
      <c r="AF11">
        <v>5.734</v>
      </c>
      <c r="AG11">
        <v>8.0039999999999996</v>
      </c>
      <c r="AL11" s="371"/>
      <c r="AM11" s="9"/>
      <c r="AO11" s="14">
        <v>44533</v>
      </c>
      <c r="AP11" s="12">
        <v>1650.9166666666667</v>
      </c>
      <c r="AQ11" s="12">
        <v>717.73333333333335</v>
      </c>
      <c r="AR11" s="12">
        <f t="shared" si="5"/>
        <v>2.089</v>
      </c>
      <c r="AS11" s="12">
        <f t="shared" si="0"/>
        <v>1.7869999999999999</v>
      </c>
      <c r="AT11" s="12">
        <f t="shared" si="6"/>
        <v>0.81125000000000003</v>
      </c>
      <c r="AU11" s="12">
        <f t="shared" si="7"/>
        <v>0.38834370512206801</v>
      </c>
      <c r="AV11" s="12">
        <f t="shared" si="1"/>
        <v>1.373</v>
      </c>
      <c r="AW11" s="12">
        <f t="shared" si="8"/>
        <v>0.72250000000000003</v>
      </c>
      <c r="AX11" s="12">
        <f t="shared" si="9"/>
        <v>0.34585926280516993</v>
      </c>
      <c r="AY11" s="12">
        <f t="shared" si="2"/>
        <v>1.2290000000000001</v>
      </c>
      <c r="AZ11" s="12">
        <f t="shared" si="10"/>
        <v>0.57850000000000013</v>
      </c>
      <c r="BA11" s="12">
        <f t="shared" si="11"/>
        <v>0.27692675921493543</v>
      </c>
      <c r="BB11" s="12">
        <f t="shared" si="3"/>
        <v>1.3580000000000001</v>
      </c>
      <c r="BC11" s="12">
        <f t="shared" si="12"/>
        <v>0.70750000000000013</v>
      </c>
      <c r="BD11" s="12">
        <f t="shared" si="13"/>
        <v>0.33867879368118725</v>
      </c>
      <c r="BE11" s="12">
        <f t="shared" si="4"/>
        <v>0.65049999999999997</v>
      </c>
      <c r="BF11" s="12">
        <f t="shared" si="14"/>
        <v>0</v>
      </c>
      <c r="BG11" s="12">
        <f t="shared" si="15"/>
        <v>1.32</v>
      </c>
      <c r="BH11" s="12">
        <f t="shared" si="16"/>
        <v>0.6695000000000001</v>
      </c>
      <c r="BI11" s="12">
        <f t="shared" si="17"/>
        <v>0.63188128291048351</v>
      </c>
      <c r="BJ11" s="12">
        <f t="shared" si="18"/>
        <v>0.32048827190043089</v>
      </c>
      <c r="BK11" s="12">
        <f t="shared" si="19"/>
        <v>1.4195</v>
      </c>
    </row>
    <row r="12" spans="1:70">
      <c r="B12" s="14">
        <v>44524</v>
      </c>
      <c r="C12">
        <v>2.4020000000000001</v>
      </c>
      <c r="D12">
        <v>1.5740000000000001</v>
      </c>
      <c r="E12">
        <v>1.3380000000000001</v>
      </c>
      <c r="F12">
        <v>1.0249999999999999</v>
      </c>
      <c r="G12">
        <v>1.204</v>
      </c>
      <c r="H12">
        <v>0.5625</v>
      </c>
      <c r="AL12" s="371"/>
      <c r="AM12" s="9"/>
      <c r="AO12" s="14">
        <v>44536</v>
      </c>
      <c r="AP12" s="12">
        <v>1722.3</v>
      </c>
      <c r="AQ12" s="12">
        <v>790.18333333333328</v>
      </c>
      <c r="AR12" s="12">
        <f t="shared" si="5"/>
        <v>2.6120000000000001</v>
      </c>
      <c r="AS12" s="12">
        <f t="shared" si="0"/>
        <v>1.343</v>
      </c>
      <c r="AT12" s="12">
        <f t="shared" si="6"/>
        <v>0.64924999999999988</v>
      </c>
      <c r="AU12" s="12">
        <f t="shared" si="7"/>
        <v>0.24856431852986213</v>
      </c>
      <c r="AV12" s="12">
        <f t="shared" si="1"/>
        <v>1.196</v>
      </c>
      <c r="AW12" s="12">
        <f t="shared" si="8"/>
        <v>0.73349999999999993</v>
      </c>
      <c r="AX12" s="12">
        <f t="shared" si="9"/>
        <v>0.28081929555895863</v>
      </c>
      <c r="AY12" s="12">
        <f t="shared" si="2"/>
        <v>1.244</v>
      </c>
      <c r="AZ12" s="12">
        <f t="shared" si="10"/>
        <v>0.78149999999999997</v>
      </c>
      <c r="BA12" s="12">
        <f t="shared" si="11"/>
        <v>0.29919601837672277</v>
      </c>
      <c r="BB12" s="12" t="str">
        <f t="shared" si="3"/>
        <v>broken</v>
      </c>
      <c r="BC12" s="12" t="s">
        <v>182</v>
      </c>
      <c r="BD12" s="12" t="s">
        <v>182</v>
      </c>
      <c r="BE12" s="12">
        <f t="shared" si="4"/>
        <v>0.46250000000000002</v>
      </c>
      <c r="BF12" s="12">
        <f t="shared" si="14"/>
        <v>0</v>
      </c>
      <c r="BG12" s="12">
        <f>(AV12+AY12)/2</f>
        <v>1.22</v>
      </c>
      <c r="BH12" s="12">
        <f>(AW12+AZ12)/2</f>
        <v>0.75749999999999995</v>
      </c>
      <c r="BI12" s="12">
        <f t="shared" ref="BI12" si="20">BG12/AR12</f>
        <v>0.46707503828483915</v>
      </c>
      <c r="BJ12" s="12">
        <f t="shared" ref="BJ12" si="21">BH12/AR12</f>
        <v>0.2900076569678407</v>
      </c>
      <c r="BK12" s="12">
        <f>((AR12-AW12)+(AR12-AZ12))/2</f>
        <v>1.8545000000000003</v>
      </c>
    </row>
    <row r="13" spans="1:70" ht="16" thickBot="1">
      <c r="B13" s="14">
        <v>44533</v>
      </c>
      <c r="C13">
        <v>2.089</v>
      </c>
      <c r="D13">
        <v>1.7869999999999999</v>
      </c>
      <c r="E13">
        <v>1.373</v>
      </c>
      <c r="F13">
        <v>1.2290000000000001</v>
      </c>
      <c r="G13">
        <v>1.3580000000000001</v>
      </c>
      <c r="H13">
        <v>0.65049999999999997</v>
      </c>
      <c r="P13" t="s">
        <v>1444</v>
      </c>
      <c r="AL13" s="371"/>
      <c r="AM13" s="9"/>
      <c r="AO13" s="618">
        <v>44538</v>
      </c>
      <c r="AP13" s="12">
        <v>1770.7</v>
      </c>
      <c r="AQ13" s="12">
        <v>838.58333333333337</v>
      </c>
      <c r="AR13" s="12">
        <f t="shared" si="5"/>
        <v>3.7170000000000001</v>
      </c>
      <c r="AS13" s="12">
        <f t="shared" si="0"/>
        <v>2.4239999999999999</v>
      </c>
      <c r="AT13" s="12">
        <f t="shared" si="6"/>
        <v>0.10499999999999998</v>
      </c>
      <c r="AU13" s="12">
        <f t="shared" si="7"/>
        <v>2.8248587570621462E-2</v>
      </c>
      <c r="AV13" s="12">
        <f t="shared" si="1"/>
        <v>3.544</v>
      </c>
      <c r="AW13" s="12">
        <f t="shared" si="8"/>
        <v>1.998</v>
      </c>
      <c r="AX13" s="12">
        <f t="shared" si="9"/>
        <v>0.53753026634382561</v>
      </c>
      <c r="AY13" s="12">
        <f t="shared" si="2"/>
        <v>6.1040000000000001</v>
      </c>
      <c r="AZ13" s="12">
        <f t="shared" si="10"/>
        <v>4.5579999999999998</v>
      </c>
      <c r="BA13" s="12">
        <f t="shared" si="11"/>
        <v>1.2262577347323109</v>
      </c>
      <c r="BB13" s="12">
        <f t="shared" si="3"/>
        <v>5.5940000000000003</v>
      </c>
      <c r="BC13" s="12">
        <f>BB13-BE13</f>
        <v>4.048</v>
      </c>
      <c r="BD13" s="12">
        <f t="shared" si="13"/>
        <v>1.0890503093892925</v>
      </c>
      <c r="BE13" s="12">
        <f t="shared" si="4"/>
        <v>1.546</v>
      </c>
      <c r="BF13" s="12">
        <f t="shared" si="14"/>
        <v>0</v>
      </c>
      <c r="BG13" s="12">
        <f t="shared" si="15"/>
        <v>5.0806666666666667</v>
      </c>
      <c r="BH13" s="12">
        <f t="shared" si="16"/>
        <v>3.5346666666666664</v>
      </c>
      <c r="BI13" s="12">
        <f t="shared" si="17"/>
        <v>1.3668729261949601</v>
      </c>
      <c r="BJ13" s="12">
        <f t="shared" si="18"/>
        <v>0.9509461034884763</v>
      </c>
      <c r="BK13" s="12">
        <f t="shared" si="19"/>
        <v>0.18233333333333346</v>
      </c>
    </row>
    <row r="14" spans="1:70" ht="16" thickTop="1">
      <c r="B14" s="14">
        <v>44536</v>
      </c>
      <c r="C14">
        <v>2.6120000000000001</v>
      </c>
      <c r="D14">
        <v>1.343</v>
      </c>
      <c r="E14">
        <v>1.196</v>
      </c>
      <c r="F14">
        <v>1.244</v>
      </c>
      <c r="G14" t="s">
        <v>428</v>
      </c>
      <c r="H14">
        <v>0.46250000000000002</v>
      </c>
      <c r="P14" t="s">
        <v>1445</v>
      </c>
      <c r="AL14" s="371"/>
      <c r="AM14" s="9"/>
      <c r="AO14" s="14">
        <v>44601</v>
      </c>
      <c r="AP14" s="12">
        <v>2513.4666666666672</v>
      </c>
      <c r="AQ14" s="12">
        <v>1581.3499999999997</v>
      </c>
      <c r="AR14" s="12">
        <f>C17</f>
        <v>12.85</v>
      </c>
      <c r="AS14" s="12">
        <f t="shared" ref="AS14:AS17" si="22">D17</f>
        <v>6.1059999999999999</v>
      </c>
      <c r="AT14" s="12">
        <f t="shared" si="6"/>
        <v>5.2270000000000003</v>
      </c>
      <c r="AU14" s="12">
        <f t="shared" si="7"/>
        <v>0.40677042801556423</v>
      </c>
      <c r="AV14" s="12">
        <f>E17</f>
        <v>5.7320000000000002</v>
      </c>
      <c r="AW14" s="12">
        <f t="shared" si="8"/>
        <v>5.1459999999999999</v>
      </c>
      <c r="AX14" s="12">
        <f t="shared" si="9"/>
        <v>0.40046692607003892</v>
      </c>
      <c r="AY14" s="12">
        <f>F17</f>
        <v>5.5620000000000003</v>
      </c>
      <c r="AZ14" s="12">
        <f t="shared" si="10"/>
        <v>4.976</v>
      </c>
      <c r="BA14" s="12">
        <f t="shared" si="11"/>
        <v>0.38723735408560311</v>
      </c>
      <c r="BB14" s="12">
        <f>G17</f>
        <v>5.3840000000000003</v>
      </c>
      <c r="BC14" s="12">
        <f>BB14-BE14</f>
        <v>4.798</v>
      </c>
      <c r="BD14" s="12">
        <f t="shared" si="13"/>
        <v>0.37338521400778213</v>
      </c>
      <c r="BE14" s="12">
        <f t="shared" ref="BE14:BE21" si="23">H17</f>
        <v>0.58599999999999997</v>
      </c>
      <c r="BF14" s="12">
        <f t="shared" si="14"/>
        <v>0</v>
      </c>
      <c r="BG14" s="12">
        <f t="shared" si="15"/>
        <v>5.5593333333333339</v>
      </c>
      <c r="BH14" s="12">
        <f t="shared" si="16"/>
        <v>4.9733333333333336</v>
      </c>
      <c r="BI14" s="12">
        <f t="shared" si="17"/>
        <v>0.43263294422827503</v>
      </c>
      <c r="BJ14" s="12">
        <f t="shared" si="18"/>
        <v>0.38702983138780805</v>
      </c>
      <c r="BK14" s="12">
        <f t="shared" si="19"/>
        <v>7.876666666666666</v>
      </c>
    </row>
    <row r="15" spans="1:70">
      <c r="B15" s="14">
        <v>44538</v>
      </c>
      <c r="C15">
        <v>3.7170000000000001</v>
      </c>
      <c r="D15">
        <v>2.4239999999999999</v>
      </c>
      <c r="E15">
        <v>3.544</v>
      </c>
      <c r="F15">
        <v>6.1040000000000001</v>
      </c>
      <c r="G15">
        <v>5.5940000000000003</v>
      </c>
      <c r="H15">
        <v>1.546</v>
      </c>
      <c r="AL15" s="371"/>
      <c r="AM15" s="9"/>
      <c r="AO15" s="14">
        <v>44606</v>
      </c>
      <c r="AP15" s="12">
        <v>2633.7166666666672</v>
      </c>
      <c r="AQ15" s="12">
        <v>1701.5999999999997</v>
      </c>
      <c r="AR15" s="12">
        <f t="shared" ref="AR15:AR17" si="24">C18</f>
        <v>13.28</v>
      </c>
      <c r="AS15" s="12">
        <f t="shared" si="22"/>
        <v>29.56</v>
      </c>
      <c r="AT15" s="12">
        <f t="shared" si="6"/>
        <v>29.052999999999997</v>
      </c>
      <c r="AU15" s="12">
        <f t="shared" si="7"/>
        <v>2.1877259036144578</v>
      </c>
      <c r="AV15" s="12">
        <f>E18</f>
        <v>17.350000000000001</v>
      </c>
      <c r="AW15" s="12">
        <f t="shared" si="8"/>
        <v>17.012</v>
      </c>
      <c r="AX15" s="12">
        <f t="shared" si="9"/>
        <v>1.2810240963855422</v>
      </c>
      <c r="AY15" s="12">
        <f>F18</f>
        <v>15.34</v>
      </c>
      <c r="AZ15" s="12">
        <f t="shared" si="10"/>
        <v>15.002000000000001</v>
      </c>
      <c r="BA15" s="12">
        <f t="shared" si="11"/>
        <v>1.1296686746987954</v>
      </c>
      <c r="BB15" s="12">
        <f>G18</f>
        <v>7.7789999999999999</v>
      </c>
      <c r="BC15" s="12">
        <f>BB15-BE15</f>
        <v>7.4409999999999998</v>
      </c>
      <c r="BD15" s="12">
        <f t="shared" si="13"/>
        <v>0.56031626506024101</v>
      </c>
      <c r="BE15" s="12">
        <f t="shared" si="23"/>
        <v>0.33800000000000002</v>
      </c>
      <c r="BF15" s="12">
        <f t="shared" si="14"/>
        <v>0</v>
      </c>
      <c r="BG15" s="12">
        <f t="shared" si="15"/>
        <v>13.489666666666665</v>
      </c>
      <c r="BH15" s="12">
        <f t="shared" si="16"/>
        <v>13.151666666666669</v>
      </c>
      <c r="BI15" s="12">
        <f t="shared" si="17"/>
        <v>1.0157881526104418</v>
      </c>
      <c r="BJ15" s="12">
        <f t="shared" si="18"/>
        <v>0.99033634538152637</v>
      </c>
      <c r="BK15" s="12">
        <f t="shared" si="19"/>
        <v>0.12833333333333238</v>
      </c>
    </row>
    <row r="16" spans="1:70">
      <c r="K16" t="s">
        <v>400</v>
      </c>
      <c r="L16" t="s">
        <v>255</v>
      </c>
      <c r="AL16" s="371"/>
      <c r="AM16" s="9"/>
      <c r="AO16" s="14">
        <v>44608</v>
      </c>
      <c r="AP16" s="12">
        <v>2681.2500000000005</v>
      </c>
      <c r="AQ16" s="12">
        <v>1749.133333333333</v>
      </c>
      <c r="AR16" s="12">
        <f t="shared" si="24"/>
        <v>14.22</v>
      </c>
      <c r="AS16" s="12">
        <f t="shared" si="22"/>
        <v>8.1479999999999997</v>
      </c>
      <c r="AT16" s="12">
        <f t="shared" si="6"/>
        <v>7.9710000000000001</v>
      </c>
      <c r="AU16" s="12">
        <f t="shared" si="7"/>
        <v>0.56054852320675108</v>
      </c>
      <c r="AV16" s="12">
        <f>E19</f>
        <v>8.5340000000000007</v>
      </c>
      <c r="AW16" s="12">
        <f t="shared" si="8"/>
        <v>8.4160000000000004</v>
      </c>
      <c r="AX16" s="12">
        <f t="shared" si="9"/>
        <v>0.59184247538677914</v>
      </c>
      <c r="AY16" s="12">
        <f>F19</f>
        <v>7.6029999999999998</v>
      </c>
      <c r="AZ16" s="12">
        <f t="shared" si="10"/>
        <v>7.4849999999999994</v>
      </c>
      <c r="BA16" s="12">
        <f t="shared" si="11"/>
        <v>0.52637130801687759</v>
      </c>
      <c r="BB16" s="12">
        <f>G19</f>
        <v>7.766</v>
      </c>
      <c r="BC16" s="12">
        <f>BB16-BE16</f>
        <v>7.6479999999999997</v>
      </c>
      <c r="BD16" s="12">
        <f t="shared" si="13"/>
        <v>0.53783403656821371</v>
      </c>
      <c r="BE16" s="12">
        <f t="shared" si="23"/>
        <v>0.11799999999999999</v>
      </c>
      <c r="BF16" s="12">
        <f t="shared" si="14"/>
        <v>0</v>
      </c>
      <c r="BG16" s="12">
        <f t="shared" si="15"/>
        <v>7.9676666666666662</v>
      </c>
      <c r="BH16" s="12">
        <f t="shared" si="16"/>
        <v>7.8496666666666668</v>
      </c>
      <c r="BI16" s="12">
        <f t="shared" si="17"/>
        <v>0.56031411157993427</v>
      </c>
      <c r="BJ16" s="12">
        <f t="shared" si="18"/>
        <v>0.55201593999062348</v>
      </c>
      <c r="BK16" s="12">
        <f t="shared" si="19"/>
        <v>6.3703333333333347</v>
      </c>
    </row>
    <row r="17" spans="2:63">
      <c r="B17" s="14">
        <v>44601</v>
      </c>
      <c r="C17">
        <v>12.85</v>
      </c>
      <c r="D17">
        <v>6.1059999999999999</v>
      </c>
      <c r="E17">
        <v>5.7320000000000002</v>
      </c>
      <c r="F17">
        <v>5.5620000000000003</v>
      </c>
      <c r="G17">
        <v>5.3840000000000003</v>
      </c>
      <c r="H17">
        <v>0.58599999999999997</v>
      </c>
      <c r="K17">
        <v>-0.05</v>
      </c>
      <c r="L17">
        <v>5.5519999999999996</v>
      </c>
      <c r="AL17" s="371"/>
      <c r="AM17" s="9"/>
      <c r="AO17" s="14">
        <v>44610</v>
      </c>
      <c r="AP17" s="12">
        <v>2728.7000000000003</v>
      </c>
      <c r="AQ17" s="12">
        <v>1796.583333333333</v>
      </c>
      <c r="AR17" s="12">
        <f t="shared" si="24"/>
        <v>13.76</v>
      </c>
      <c r="AS17" s="12">
        <f t="shared" si="22"/>
        <v>6.1459999999999999</v>
      </c>
      <c r="AT17" s="12">
        <f t="shared" si="6"/>
        <v>5.8639999999999999</v>
      </c>
      <c r="AU17" s="12">
        <f t="shared" si="7"/>
        <v>0.42616279069767443</v>
      </c>
      <c r="AV17" s="12">
        <f>E20</f>
        <v>6.8289999999999997</v>
      </c>
      <c r="AW17" s="12">
        <f t="shared" si="8"/>
        <v>6.641</v>
      </c>
      <c r="AX17" s="12">
        <f t="shared" si="9"/>
        <v>0.48263081395348839</v>
      </c>
      <c r="AY17" s="12">
        <f>F20</f>
        <v>4.68</v>
      </c>
      <c r="AZ17" s="12">
        <f t="shared" si="10"/>
        <v>4.492</v>
      </c>
      <c r="BA17" s="12">
        <f t="shared" si="11"/>
        <v>0.32645348837209304</v>
      </c>
      <c r="BB17" s="12">
        <f>G20</f>
        <v>5.4859999999999998</v>
      </c>
      <c r="BC17" s="12">
        <f>BB17-BE17</f>
        <v>5.298</v>
      </c>
      <c r="BD17" s="12">
        <f t="shared" si="13"/>
        <v>0.38502906976744189</v>
      </c>
      <c r="BE17" s="12">
        <f t="shared" si="23"/>
        <v>0.188</v>
      </c>
      <c r="BF17" s="12">
        <f t="shared" si="14"/>
        <v>0</v>
      </c>
      <c r="BG17" s="12">
        <f t="shared" si="15"/>
        <v>5.665</v>
      </c>
      <c r="BH17" s="12">
        <f t="shared" si="16"/>
        <v>5.4769999999999994</v>
      </c>
      <c r="BI17" s="12">
        <f t="shared" si="17"/>
        <v>0.41170058139534882</v>
      </c>
      <c r="BJ17" s="12">
        <f t="shared" si="18"/>
        <v>0.39803779069767437</v>
      </c>
      <c r="BK17" s="12">
        <f t="shared" si="19"/>
        <v>8.2829999999999995</v>
      </c>
    </row>
    <row r="18" spans="2:63">
      <c r="B18" s="14">
        <v>44606</v>
      </c>
      <c r="C18">
        <v>13.28</v>
      </c>
      <c r="D18">
        <v>29.56</v>
      </c>
      <c r="E18">
        <v>17.350000000000001</v>
      </c>
      <c r="F18">
        <v>15.34</v>
      </c>
      <c r="G18">
        <v>7.7789999999999999</v>
      </c>
      <c r="H18">
        <v>0.33800000000000002</v>
      </c>
      <c r="K18">
        <v>0.01</v>
      </c>
      <c r="L18">
        <v>5.0789999999999997</v>
      </c>
      <c r="AL18" s="371"/>
      <c r="AM18" s="9"/>
      <c r="AO18" s="14">
        <v>44613</v>
      </c>
      <c r="AQ18" s="12">
        <v>1867.3999999999999</v>
      </c>
      <c r="BE18" s="12">
        <f t="shared" si="23"/>
        <v>3.9E-2</v>
      </c>
      <c r="BF18" s="12">
        <f t="shared" si="14"/>
        <v>0</v>
      </c>
    </row>
    <row r="19" spans="2:63">
      <c r="B19" s="14">
        <v>44608</v>
      </c>
      <c r="C19">
        <v>14.22</v>
      </c>
      <c r="D19">
        <v>8.1479999999999997</v>
      </c>
      <c r="E19">
        <v>8.5340000000000007</v>
      </c>
      <c r="F19">
        <v>7.6029999999999998</v>
      </c>
      <c r="G19">
        <v>7.766</v>
      </c>
      <c r="H19">
        <v>0.11799999999999999</v>
      </c>
      <c r="AL19" s="371"/>
      <c r="AM19" s="351"/>
      <c r="AO19" s="14">
        <v>44615</v>
      </c>
      <c r="AQ19" s="12">
        <v>1916.1999999999998</v>
      </c>
      <c r="AU19" s="12">
        <f>AVERAGE(AU3:AU17)</f>
        <v>0.43556824113880072</v>
      </c>
      <c r="AX19" s="12">
        <f>AVERAGE(AX3:AX17)</f>
        <v>0.47073519285874776</v>
      </c>
      <c r="BA19" s="12">
        <f>AVERAGE(BA3:BA17)</f>
        <v>0.46877412367587229</v>
      </c>
      <c r="BD19" s="12">
        <f>AVERAGE(BD3:BD17)</f>
        <v>0.43699471534767287</v>
      </c>
      <c r="BE19" s="12">
        <f t="shared" si="23"/>
        <v>4.1000000000000002E-2</v>
      </c>
      <c r="BF19" s="12">
        <f t="shared" si="14"/>
        <v>0</v>
      </c>
      <c r="BJ19" s="12">
        <f>AVERAGE(BJ2:BJ17)</f>
        <v>0.42709527958030341</v>
      </c>
    </row>
    <row r="20" spans="2:63">
      <c r="B20" s="14">
        <v>44610</v>
      </c>
      <c r="C20">
        <v>13.76</v>
      </c>
      <c r="D20">
        <v>6.1459999999999999</v>
      </c>
      <c r="E20">
        <v>6.8289999999999997</v>
      </c>
      <c r="F20">
        <v>4.68</v>
      </c>
      <c r="G20">
        <v>5.4859999999999998</v>
      </c>
      <c r="H20">
        <v>0.188</v>
      </c>
      <c r="AL20" s="371"/>
      <c r="AM20" s="9"/>
      <c r="AO20" s="14">
        <v>44617</v>
      </c>
      <c r="AQ20" s="12">
        <v>1964.883333333333</v>
      </c>
      <c r="BE20" s="12">
        <f t="shared" si="23"/>
        <v>-0.06</v>
      </c>
      <c r="BF20" s="12">
        <f t="shared" si="14"/>
        <v>0</v>
      </c>
      <c r="BJ20">
        <f>(BJ3+BJ4+BJ5+BJ6+BJ7+BJ8+BJ9+BJ10+BJ11+BJ12+BJ14+BJ16+BJ17)/13</f>
        <v>0.37632630957037316</v>
      </c>
    </row>
    <row r="21" spans="2:63">
      <c r="B21" s="14">
        <v>44613</v>
      </c>
      <c r="C21" t="s">
        <v>1294</v>
      </c>
      <c r="D21" t="s">
        <v>1294</v>
      </c>
      <c r="E21" t="s">
        <v>1294</v>
      </c>
      <c r="F21" t="s">
        <v>1294</v>
      </c>
      <c r="G21" t="s">
        <v>1294</v>
      </c>
      <c r="H21">
        <v>3.9E-2</v>
      </c>
      <c r="AL21" s="371"/>
      <c r="AM21" s="9"/>
      <c r="AO21" s="14">
        <v>44621</v>
      </c>
      <c r="AQ21" s="12">
        <v>2060.8833333333332</v>
      </c>
      <c r="BE21" s="12">
        <f t="shared" si="23"/>
        <v>5.6000000000000001E-2</v>
      </c>
      <c r="BF21" s="12">
        <f t="shared" si="14"/>
        <v>0</v>
      </c>
    </row>
    <row r="22" spans="2:63">
      <c r="B22" s="14">
        <v>44615</v>
      </c>
      <c r="H22">
        <v>4.1000000000000002E-2</v>
      </c>
      <c r="AL22" s="371"/>
      <c r="AM22" s="9"/>
      <c r="AO22" s="14">
        <v>44636</v>
      </c>
      <c r="AQ22" s="12">
        <v>2116.3666666666668</v>
      </c>
    </row>
    <row r="23" spans="2:63">
      <c r="B23" s="14">
        <v>44617</v>
      </c>
      <c r="H23">
        <v>-0.06</v>
      </c>
      <c r="AL23" s="371"/>
      <c r="AM23" s="351"/>
      <c r="AO23" s="14">
        <v>44638</v>
      </c>
      <c r="AQ23" s="12">
        <v>2162.9499999999998</v>
      </c>
    </row>
    <row r="24" spans="2:63">
      <c r="B24" s="14">
        <v>44621</v>
      </c>
      <c r="H24">
        <v>5.6000000000000001E-2</v>
      </c>
      <c r="AL24" s="371"/>
      <c r="AM24" s="351"/>
    </row>
    <row r="25" spans="2:63">
      <c r="AL25" s="371"/>
      <c r="AM25" s="351"/>
    </row>
    <row r="26" spans="2:63">
      <c r="AL26" s="371"/>
      <c r="AM26" s="351"/>
    </row>
    <row r="27" spans="2:63">
      <c r="AL27" s="371"/>
      <c r="AM27" s="351"/>
    </row>
    <row r="28" spans="2:63">
      <c r="AL28" s="371"/>
      <c r="AM28" s="351"/>
    </row>
    <row r="29" spans="2:63">
      <c r="AL29" s="371"/>
      <c r="AM29" s="351"/>
    </row>
    <row r="30" spans="2:63">
      <c r="AL30" s="371"/>
      <c r="AM30" s="351"/>
    </row>
    <row r="31" spans="2:63">
      <c r="AL31" s="372"/>
      <c r="AM31" s="351"/>
    </row>
    <row r="32" spans="2:63">
      <c r="AL32" s="373"/>
      <c r="AM32" s="9"/>
    </row>
    <row r="33" spans="38:39">
      <c r="AL33" s="373"/>
      <c r="AM33" s="9"/>
    </row>
    <row r="34" spans="38:39">
      <c r="AL34" s="373"/>
      <c r="AM34" s="9"/>
    </row>
    <row r="35" spans="38:39">
      <c r="AL35" s="371"/>
      <c r="AM35" s="9"/>
    </row>
    <row r="36" spans="38:39">
      <c r="AL36" s="371"/>
      <c r="AM36" s="9"/>
    </row>
    <row r="37" spans="38:39">
      <c r="AL37" s="371"/>
      <c r="AM37" s="9"/>
    </row>
    <row r="38" spans="38:39">
      <c r="AL38" s="371"/>
      <c r="AM38" s="9"/>
    </row>
    <row r="39" spans="38:39">
      <c r="AL39" s="371"/>
      <c r="AM39" s="9"/>
    </row>
  </sheetData>
  <mergeCells count="8">
    <mergeCell ref="Y1:AA1"/>
    <mergeCell ref="AB1:AD1"/>
    <mergeCell ref="AE1:AG1"/>
    <mergeCell ref="A1:A2"/>
    <mergeCell ref="B1:B2"/>
    <mergeCell ref="P1:R1"/>
    <mergeCell ref="S1:U1"/>
    <mergeCell ref="V1:X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A1A85-8ACA-334D-ABA9-26E4EE5257B1}">
  <dimension ref="A1:CT18"/>
  <sheetViews>
    <sheetView workbookViewId="0">
      <pane xSplit="2" ySplit="1" topLeftCell="C2" activePane="bottomRight" state="frozen"/>
      <selection pane="topRight" activeCell="C1" sqref="C1"/>
      <selection pane="bottomLeft" activeCell="A2" sqref="A2"/>
      <selection pane="bottomRight" activeCell="AS9" sqref="AS9:AS13"/>
    </sheetView>
  </sheetViews>
  <sheetFormatPr defaultColWidth="10.6640625" defaultRowHeight="15.5"/>
  <cols>
    <col min="1" max="1" width="11.5" customWidth="1"/>
    <col min="12" max="14" width="10.83203125" style="4"/>
    <col min="15" max="17" width="10.83203125" style="1"/>
    <col min="18" max="20" width="10.83203125" style="2"/>
    <col min="21" max="23" width="10.83203125" style="194"/>
    <col min="24" max="26" width="10.83203125" style="4"/>
    <col min="27" max="29" width="10.83203125" style="1"/>
    <col min="30" max="32" width="10.83203125" style="2"/>
    <col min="33" max="35" width="10.83203125" style="378"/>
    <col min="36" max="38" width="10.83203125" style="4"/>
    <col min="39" max="41" width="10.83203125" style="1"/>
    <col min="42" max="44" width="10.83203125" style="2"/>
    <col min="45" max="47" width="10.83203125" style="127"/>
    <col min="48" max="50" width="10.83203125" style="380"/>
    <col min="71" max="71" width="10.83203125" style="33"/>
    <col min="83" max="83" width="10.83203125" style="33"/>
    <col min="98" max="98" width="10.83203125" style="33"/>
  </cols>
  <sheetData>
    <row r="1" spans="1:98">
      <c r="A1" s="690" t="s">
        <v>213</v>
      </c>
      <c r="B1" s="704" t="s">
        <v>160</v>
      </c>
      <c r="C1" s="711" t="s">
        <v>1414</v>
      </c>
      <c r="D1" s="711"/>
      <c r="E1" s="711"/>
      <c r="F1" s="707" t="s">
        <v>1413</v>
      </c>
      <c r="G1" s="707"/>
      <c r="H1" s="707"/>
      <c r="I1" s="713" t="s">
        <v>1303</v>
      </c>
      <c r="J1" s="713"/>
      <c r="K1" s="713"/>
      <c r="L1" s="692" t="s">
        <v>1472</v>
      </c>
      <c r="M1" s="692"/>
      <c r="N1" s="692"/>
      <c r="O1" s="696" t="s">
        <v>1385</v>
      </c>
      <c r="P1" s="696"/>
      <c r="Q1" s="696"/>
      <c r="R1" s="697" t="s">
        <v>1386</v>
      </c>
      <c r="S1" s="697"/>
      <c r="T1" s="697"/>
      <c r="U1" s="711" t="s">
        <v>1387</v>
      </c>
      <c r="V1" s="711"/>
      <c r="W1" s="711"/>
      <c r="X1" s="692" t="s">
        <v>1388</v>
      </c>
      <c r="Y1" s="692"/>
      <c r="Z1" s="692"/>
      <c r="AA1" s="696" t="s">
        <v>1389</v>
      </c>
      <c r="AB1" s="696"/>
      <c r="AC1" s="696"/>
      <c r="AD1" s="697" t="s">
        <v>1390</v>
      </c>
      <c r="AE1" s="697"/>
      <c r="AF1" s="697"/>
      <c r="AG1" s="707" t="s">
        <v>1391</v>
      </c>
      <c r="AH1" s="707"/>
      <c r="AI1" s="707"/>
      <c r="AJ1" s="692" t="s">
        <v>1473</v>
      </c>
      <c r="AK1" s="692"/>
      <c r="AL1" s="692"/>
      <c r="AM1" s="696" t="s">
        <v>1357</v>
      </c>
      <c r="AN1" s="696"/>
      <c r="AO1" s="696"/>
      <c r="AP1" s="697" t="s">
        <v>1356</v>
      </c>
      <c r="AQ1" s="697"/>
      <c r="AR1" s="697"/>
      <c r="AS1" s="705" t="s">
        <v>1355</v>
      </c>
      <c r="AT1" s="705"/>
      <c r="AU1" s="705"/>
      <c r="AV1" s="713" t="s">
        <v>1474</v>
      </c>
      <c r="AW1" s="713"/>
      <c r="AX1" s="713"/>
      <c r="BA1" t="s">
        <v>1475</v>
      </c>
      <c r="BH1" s="711" t="s">
        <v>1427</v>
      </c>
      <c r="BI1" s="711"/>
      <c r="BJ1" s="711"/>
      <c r="BK1" s="711"/>
      <c r="BL1" s="711"/>
      <c r="BM1" s="711"/>
      <c r="BN1" s="711"/>
      <c r="BO1" s="711"/>
      <c r="BP1" s="711"/>
      <c r="BQ1" s="711"/>
      <c r="BR1" s="711"/>
      <c r="BS1" s="712"/>
      <c r="BT1" s="706" t="s">
        <v>1428</v>
      </c>
      <c r="BU1" s="707"/>
      <c r="BV1" s="707"/>
      <c r="BW1" s="707"/>
      <c r="BX1" s="707"/>
      <c r="BY1" s="707"/>
      <c r="BZ1" s="707"/>
      <c r="CA1" s="707"/>
      <c r="CB1" s="707"/>
      <c r="CC1" s="707"/>
      <c r="CD1" s="707"/>
      <c r="CE1" s="708"/>
      <c r="CF1" s="709" t="s">
        <v>1559</v>
      </c>
      <c r="CG1" s="692"/>
      <c r="CH1" s="692"/>
      <c r="CI1" s="692"/>
      <c r="CJ1" s="692"/>
      <c r="CK1" s="692"/>
      <c r="CL1" s="692"/>
      <c r="CM1" s="692"/>
      <c r="CN1" s="692"/>
      <c r="CO1" s="692"/>
      <c r="CP1" s="692"/>
      <c r="CQ1" s="692"/>
      <c r="CR1" s="692"/>
      <c r="CS1" s="692"/>
      <c r="CT1" s="710"/>
    </row>
    <row r="2" spans="1:98" ht="62">
      <c r="A2" s="690"/>
      <c r="B2" s="704"/>
      <c r="C2" s="359" t="s">
        <v>219</v>
      </c>
      <c r="D2" s="359" t="s">
        <v>214</v>
      </c>
      <c r="E2" s="359" t="s">
        <v>215</v>
      </c>
      <c r="F2" s="377" t="s">
        <v>219</v>
      </c>
      <c r="G2" s="377" t="s">
        <v>214</v>
      </c>
      <c r="H2" s="377" t="s">
        <v>215</v>
      </c>
      <c r="I2" s="379" t="s">
        <v>219</v>
      </c>
      <c r="J2" s="379" t="s">
        <v>214</v>
      </c>
      <c r="K2" s="379" t="s">
        <v>215</v>
      </c>
      <c r="L2" s="356" t="s">
        <v>219</v>
      </c>
      <c r="M2" s="356" t="s">
        <v>214</v>
      </c>
      <c r="N2" s="356" t="s">
        <v>215</v>
      </c>
      <c r="O2" s="352" t="s">
        <v>219</v>
      </c>
      <c r="P2" s="352" t="s">
        <v>214</v>
      </c>
      <c r="Q2" s="352" t="s">
        <v>215</v>
      </c>
      <c r="R2" s="353" t="s">
        <v>219</v>
      </c>
      <c r="S2" s="353" t="s">
        <v>214</v>
      </c>
      <c r="T2" s="353" t="s">
        <v>215</v>
      </c>
      <c r="U2" s="359" t="s">
        <v>219</v>
      </c>
      <c r="V2" s="359" t="s">
        <v>214</v>
      </c>
      <c r="W2" s="359" t="s">
        <v>215</v>
      </c>
      <c r="X2" s="356" t="s">
        <v>219</v>
      </c>
      <c r="Y2" s="356" t="s">
        <v>214</v>
      </c>
      <c r="Z2" s="356" t="s">
        <v>215</v>
      </c>
      <c r="AA2" s="352" t="s">
        <v>219</v>
      </c>
      <c r="AB2" s="352" t="s">
        <v>214</v>
      </c>
      <c r="AC2" s="352" t="s">
        <v>215</v>
      </c>
      <c r="AD2" s="353" t="s">
        <v>219</v>
      </c>
      <c r="AE2" s="353" t="s">
        <v>214</v>
      </c>
      <c r="AF2" s="353" t="s">
        <v>215</v>
      </c>
      <c r="AG2" s="377" t="s">
        <v>219</v>
      </c>
      <c r="AH2" s="377" t="s">
        <v>214</v>
      </c>
      <c r="AI2" s="377" t="s">
        <v>215</v>
      </c>
      <c r="AJ2" s="356" t="s">
        <v>219</v>
      </c>
      <c r="AK2" s="356" t="s">
        <v>214</v>
      </c>
      <c r="AL2" s="356" t="s">
        <v>215</v>
      </c>
      <c r="AM2" s="352" t="s">
        <v>219</v>
      </c>
      <c r="AN2" s="352" t="s">
        <v>214</v>
      </c>
      <c r="AO2" s="352" t="s">
        <v>215</v>
      </c>
      <c r="AP2" s="353" t="s">
        <v>219</v>
      </c>
      <c r="AQ2" s="353" t="s">
        <v>214</v>
      </c>
      <c r="AR2" s="353" t="s">
        <v>215</v>
      </c>
      <c r="AS2" s="355" t="s">
        <v>219</v>
      </c>
      <c r="AT2" s="355" t="s">
        <v>214</v>
      </c>
      <c r="AU2" s="355" t="s">
        <v>215</v>
      </c>
      <c r="AV2" s="379" t="s">
        <v>219</v>
      </c>
      <c r="AW2" s="379" t="s">
        <v>214</v>
      </c>
      <c r="AX2" s="379" t="s">
        <v>215</v>
      </c>
      <c r="BA2" s="27" t="s">
        <v>1476</v>
      </c>
      <c r="BB2" s="27" t="s">
        <v>1477</v>
      </c>
      <c r="BC2" s="27" t="s">
        <v>1478</v>
      </c>
      <c r="BD2" s="27" t="s">
        <v>255</v>
      </c>
      <c r="BE2" s="27" t="s">
        <v>1479</v>
      </c>
      <c r="BH2" s="27" t="s">
        <v>1681</v>
      </c>
      <c r="BI2" s="27" t="s">
        <v>1682</v>
      </c>
      <c r="BJ2" s="27" t="s">
        <v>1692</v>
      </c>
      <c r="BK2" s="27" t="s">
        <v>1683</v>
      </c>
      <c r="BL2" s="27" t="s">
        <v>1684</v>
      </c>
      <c r="BM2" s="27" t="s">
        <v>1690</v>
      </c>
      <c r="BN2" s="27" t="s">
        <v>1685</v>
      </c>
      <c r="BO2" s="27" t="s">
        <v>1686</v>
      </c>
      <c r="BP2" s="27" t="s">
        <v>1691</v>
      </c>
      <c r="BQ2" s="27" t="s">
        <v>1687</v>
      </c>
      <c r="BR2" s="27" t="s">
        <v>1688</v>
      </c>
      <c r="BS2" s="505" t="s">
        <v>1689</v>
      </c>
      <c r="BT2" s="27" t="s">
        <v>1717</v>
      </c>
      <c r="BU2" s="27" t="s">
        <v>1693</v>
      </c>
      <c r="BV2" s="27" t="s">
        <v>1694</v>
      </c>
      <c r="BW2" s="27" t="s">
        <v>1695</v>
      </c>
      <c r="BX2" s="27" t="s">
        <v>1696</v>
      </c>
      <c r="BY2" s="27" t="s">
        <v>1697</v>
      </c>
      <c r="BZ2" s="27" t="s">
        <v>1698</v>
      </c>
      <c r="CA2" s="27" t="s">
        <v>1699</v>
      </c>
      <c r="CB2" s="27" t="s">
        <v>1700</v>
      </c>
      <c r="CC2" s="27" t="s">
        <v>1701</v>
      </c>
      <c r="CD2" s="27" t="s">
        <v>1702</v>
      </c>
      <c r="CE2" s="505" t="s">
        <v>1689</v>
      </c>
      <c r="CF2" s="506" t="s">
        <v>1703</v>
      </c>
      <c r="CG2" s="506" t="s">
        <v>1704</v>
      </c>
      <c r="CH2" s="506" t="s">
        <v>1705</v>
      </c>
      <c r="CI2" s="506" t="s">
        <v>1706</v>
      </c>
      <c r="CJ2" s="506" t="s">
        <v>1707</v>
      </c>
      <c r="CK2" s="506" t="s">
        <v>1708</v>
      </c>
      <c r="CL2" s="506" t="s">
        <v>1709</v>
      </c>
      <c r="CM2" s="506" t="s">
        <v>1710</v>
      </c>
      <c r="CN2" s="506" t="s">
        <v>1711</v>
      </c>
      <c r="CO2" s="506" t="s">
        <v>1714</v>
      </c>
      <c r="CP2" s="506" t="s">
        <v>1715</v>
      </c>
      <c r="CQ2" s="506" t="s">
        <v>1716</v>
      </c>
      <c r="CR2" s="506" t="s">
        <v>1712</v>
      </c>
      <c r="CS2" s="506" t="s">
        <v>1713</v>
      </c>
      <c r="CT2" s="507" t="s">
        <v>1689</v>
      </c>
    </row>
    <row r="3" spans="1:98">
      <c r="A3" t="s">
        <v>1480</v>
      </c>
      <c r="B3" s="14">
        <v>44638</v>
      </c>
      <c r="C3">
        <v>5.3029999999999999</v>
      </c>
      <c r="D3">
        <v>6.5529999999999999</v>
      </c>
      <c r="E3">
        <v>1.25</v>
      </c>
      <c r="F3">
        <v>3.9750000000000001</v>
      </c>
      <c r="G3">
        <v>51.07</v>
      </c>
      <c r="H3">
        <v>47.1</v>
      </c>
      <c r="L3" s="4">
        <v>2.8620000000000001</v>
      </c>
      <c r="M3" s="4">
        <v>4.2839999999999998</v>
      </c>
      <c r="N3" s="4">
        <v>1.4219999999999999</v>
      </c>
      <c r="O3" s="1">
        <v>1.548</v>
      </c>
      <c r="P3" s="1">
        <v>4.4359999999999999</v>
      </c>
      <c r="Q3" s="1">
        <v>2.8889999999999998</v>
      </c>
      <c r="R3" s="2">
        <v>1.609</v>
      </c>
      <c r="S3" s="2">
        <v>4.4580000000000002</v>
      </c>
      <c r="T3" s="2">
        <v>2.8490000000000002</v>
      </c>
      <c r="U3" s="194">
        <v>0.58250000000000002</v>
      </c>
      <c r="V3" s="194">
        <v>3.5009999999999999</v>
      </c>
      <c r="W3" s="194">
        <v>2.919</v>
      </c>
      <c r="X3" s="4">
        <v>2.2949999999999999</v>
      </c>
      <c r="Y3" s="4">
        <v>53.43</v>
      </c>
      <c r="Z3" s="4">
        <v>51.14</v>
      </c>
      <c r="AA3" s="1">
        <v>2.8250000000000002</v>
      </c>
      <c r="AB3" s="1">
        <v>49.46</v>
      </c>
      <c r="AC3" s="1">
        <v>46.64</v>
      </c>
      <c r="AD3" s="2">
        <v>1.4139999999999999</v>
      </c>
      <c r="AE3" s="2">
        <v>74.62</v>
      </c>
      <c r="AF3" s="2">
        <v>73.209999999999994</v>
      </c>
      <c r="AG3" s="378">
        <v>0.79469999999999996</v>
      </c>
      <c r="AH3" s="378">
        <v>52.58</v>
      </c>
      <c r="AI3" s="378">
        <v>51.78</v>
      </c>
      <c r="BA3">
        <v>0.49640000000000001</v>
      </c>
      <c r="BB3">
        <v>1.3109999999999999</v>
      </c>
      <c r="BC3">
        <v>0.81499999999999995</v>
      </c>
      <c r="BD3">
        <v>6.0209999999999999</v>
      </c>
      <c r="BE3">
        <v>5.8159999999999998</v>
      </c>
      <c r="BH3" s="65">
        <f>L3-(U3*(3/2))</f>
        <v>1.9882500000000001</v>
      </c>
      <c r="BI3" s="65">
        <f>BH3/C3</f>
        <v>0.37492928531020181</v>
      </c>
      <c r="BJ3" s="65">
        <f>C3-BH3</f>
        <v>3.3147500000000001</v>
      </c>
      <c r="BK3" s="65">
        <f>O3-U3</f>
        <v>0.96550000000000002</v>
      </c>
      <c r="BL3" s="65">
        <f>BK3/C3</f>
        <v>0.18206675466716954</v>
      </c>
      <c r="BM3" s="65">
        <f>C3-BK3</f>
        <v>4.3375000000000004</v>
      </c>
      <c r="BN3" s="65">
        <f>R3-U3</f>
        <v>1.0265</v>
      </c>
      <c r="BO3" s="65">
        <f>BN3/C3</f>
        <v>0.19356967754101451</v>
      </c>
      <c r="BP3" s="65">
        <f>C3-BN3</f>
        <v>4.2765000000000004</v>
      </c>
      <c r="BQ3" s="65">
        <f>(BN3+BK3)/2</f>
        <v>0.996</v>
      </c>
      <c r="BR3" s="65">
        <f>BQ3/C3</f>
        <v>0.18781821610409202</v>
      </c>
      <c r="BS3" s="509">
        <f>C3-BQ3</f>
        <v>4.3070000000000004</v>
      </c>
      <c r="BT3" s="12">
        <f>X3-(AG3*(3/2))</f>
        <v>1.1029499999999999</v>
      </c>
      <c r="BU3" s="12">
        <f>BT3/F3</f>
        <v>0.27747169811320749</v>
      </c>
      <c r="BV3" s="12">
        <f>F3-BT3</f>
        <v>2.8720500000000002</v>
      </c>
      <c r="BW3" s="12">
        <f>AA3-AG3</f>
        <v>2.0303000000000004</v>
      </c>
      <c r="BX3" s="12">
        <f>BW3/F3</f>
        <v>0.51076729559748435</v>
      </c>
      <c r="BY3" s="12">
        <f>F3-BW3</f>
        <v>1.9446999999999997</v>
      </c>
      <c r="BZ3" s="12">
        <f>AD3-AG3</f>
        <v>0.61929999999999996</v>
      </c>
      <c r="CA3" s="12">
        <f>BZ3/F3</f>
        <v>0.15579874213836475</v>
      </c>
      <c r="CB3" s="12">
        <f>F3-BZ3</f>
        <v>3.3557000000000001</v>
      </c>
      <c r="CC3" s="12">
        <f>(BW3+BZ3)/2</f>
        <v>1.3248000000000002</v>
      </c>
      <c r="CD3" s="12">
        <f>CC3/F3</f>
        <v>0.33328301886792455</v>
      </c>
      <c r="CE3" s="508">
        <f>F3-CC3</f>
        <v>2.6501999999999999</v>
      </c>
    </row>
    <row r="4" spans="1:98">
      <c r="A4" t="s">
        <v>1480</v>
      </c>
      <c r="B4" s="14">
        <v>44641</v>
      </c>
      <c r="C4">
        <v>4.01</v>
      </c>
      <c r="D4">
        <v>5.4790000000000001</v>
      </c>
      <c r="E4">
        <v>1.4690000000000001</v>
      </c>
      <c r="F4">
        <v>4.125</v>
      </c>
      <c r="G4">
        <v>51.27</v>
      </c>
      <c r="H4">
        <v>47.14</v>
      </c>
      <c r="L4" s="4">
        <v>2.3610000000000002</v>
      </c>
      <c r="M4" s="4">
        <v>4.8869999999999996</v>
      </c>
      <c r="N4" s="4">
        <v>2.5259999999999998</v>
      </c>
      <c r="O4" s="1">
        <v>0.81589999999999996</v>
      </c>
      <c r="P4" s="1">
        <v>4.1230000000000002</v>
      </c>
      <c r="Q4" s="1">
        <v>3.3069999999999999</v>
      </c>
      <c r="R4" s="2">
        <v>0.75629999999999997</v>
      </c>
      <c r="S4" s="2">
        <v>4.125</v>
      </c>
      <c r="T4" s="2">
        <v>3.3690000000000002</v>
      </c>
      <c r="U4" s="194">
        <v>0.41520000000000001</v>
      </c>
      <c r="V4" s="194">
        <v>3.2469999999999999</v>
      </c>
      <c r="W4" s="194">
        <v>2.8319999999999999</v>
      </c>
      <c r="X4" s="4">
        <v>2.7909999999999999</v>
      </c>
      <c r="Y4" s="4">
        <v>51.6</v>
      </c>
      <c r="Z4" s="4">
        <v>48.81</v>
      </c>
      <c r="AA4" s="1">
        <v>2.798</v>
      </c>
      <c r="AB4" s="1">
        <v>50.77</v>
      </c>
      <c r="AC4" s="1">
        <v>47.97</v>
      </c>
      <c r="AD4" s="2">
        <v>1.0509999999999999</v>
      </c>
      <c r="AE4" s="2">
        <v>50.99</v>
      </c>
      <c r="AF4" s="2">
        <v>49.93</v>
      </c>
      <c r="AG4" s="378">
        <v>-1.873</v>
      </c>
      <c r="AH4" s="378">
        <v>55.72</v>
      </c>
      <c r="AI4" s="378">
        <v>57.6</v>
      </c>
      <c r="BA4">
        <v>0.29699999999999999</v>
      </c>
      <c r="BB4">
        <v>1.0840000000000001</v>
      </c>
      <c r="BC4">
        <v>0.78669999999999995</v>
      </c>
      <c r="BD4">
        <v>5.9580000000000002</v>
      </c>
      <c r="BE4">
        <v>6.5730000000000004</v>
      </c>
      <c r="BH4" s="65">
        <f t="shared" ref="BH4:BH13" si="0">L4-(U4*(3/2))</f>
        <v>1.7382000000000002</v>
      </c>
      <c r="BI4" s="65">
        <f t="shared" ref="BI4:BI13" si="1">BH4/C4</f>
        <v>0.43346633416458857</v>
      </c>
      <c r="BJ4" s="65">
        <f t="shared" ref="BJ4:BJ13" si="2">C4-BH4</f>
        <v>2.2717999999999998</v>
      </c>
      <c r="BK4" s="65">
        <f t="shared" ref="BK4:BK13" si="3">O4-U4</f>
        <v>0.40069999999999995</v>
      </c>
      <c r="BL4" s="65">
        <f t="shared" ref="BL4:BL13" si="4">BK4/C4</f>
        <v>9.9925187032418941E-2</v>
      </c>
      <c r="BM4" s="65">
        <f t="shared" ref="BM4:BM13" si="5">C4-BK4</f>
        <v>3.6092999999999997</v>
      </c>
      <c r="BN4" s="65">
        <f t="shared" ref="BN4:BN13" si="6">R4-U4</f>
        <v>0.34109999999999996</v>
      </c>
      <c r="BO4" s="65">
        <f t="shared" ref="BO4:BO13" si="7">BN4/C4</f>
        <v>8.5062344139650872E-2</v>
      </c>
      <c r="BP4" s="65">
        <f t="shared" ref="BP4:BP13" si="8">C4-BN4</f>
        <v>3.6688999999999998</v>
      </c>
      <c r="BQ4" s="65">
        <f t="shared" ref="BQ4:BQ13" si="9">(BN4+BK4)/2</f>
        <v>0.37089999999999995</v>
      </c>
      <c r="BR4" s="65">
        <f t="shared" ref="BR4:BR13" si="10">BQ4/C4</f>
        <v>9.2493765586034907E-2</v>
      </c>
      <c r="BS4" s="509">
        <f t="shared" ref="BS4:BS13" si="11">C4-BQ4</f>
        <v>3.6391</v>
      </c>
      <c r="BT4" s="12">
        <f>X4</f>
        <v>2.7909999999999999</v>
      </c>
      <c r="BU4" s="12">
        <f t="shared" ref="BU4:BU13" si="12">BT4/F4</f>
        <v>0.67660606060606054</v>
      </c>
      <c r="BV4" s="12">
        <f t="shared" ref="BV4:BV13" si="13">F4-BT4</f>
        <v>1.3340000000000001</v>
      </c>
      <c r="BW4" s="12">
        <f>AA4</f>
        <v>2.798</v>
      </c>
      <c r="BX4" s="12">
        <f t="shared" ref="BX4:BX13" si="14">BW4/F4</f>
        <v>0.6783030303030303</v>
      </c>
      <c r="BY4" s="12">
        <f t="shared" ref="BY4:BY13" si="15">F4-BW4</f>
        <v>1.327</v>
      </c>
      <c r="BZ4" s="12">
        <f>AD4</f>
        <v>1.0509999999999999</v>
      </c>
      <c r="CA4" s="12">
        <f t="shared" ref="CA4:CA13" si="16">BZ4/F4</f>
        <v>0.25478787878787879</v>
      </c>
      <c r="CB4" s="12">
        <f t="shared" ref="CB4:CB13" si="17">F4-BZ4</f>
        <v>3.0739999999999998</v>
      </c>
      <c r="CC4" s="12">
        <f t="shared" ref="CC4:CC13" si="18">(BW4+BZ4)/2</f>
        <v>1.9245000000000001</v>
      </c>
      <c r="CD4" s="12">
        <f t="shared" ref="CD4:CD13" si="19">CC4/F4</f>
        <v>0.4665454545454546</v>
      </c>
      <c r="CE4" s="508">
        <f t="shared" ref="CE4:CE13" si="20">F4-CC4</f>
        <v>2.2004999999999999</v>
      </c>
    </row>
    <row r="5" spans="1:98">
      <c r="A5" t="s">
        <v>1480</v>
      </c>
      <c r="B5" s="14">
        <v>44644</v>
      </c>
      <c r="C5">
        <v>4.1909999999999998</v>
      </c>
      <c r="D5">
        <v>5.681</v>
      </c>
      <c r="E5">
        <v>1.4910000000000001</v>
      </c>
      <c r="F5">
        <v>2.6269999999999998</v>
      </c>
      <c r="G5">
        <v>49.93</v>
      </c>
      <c r="H5">
        <v>47.3</v>
      </c>
      <c r="L5" s="4">
        <v>2.238</v>
      </c>
      <c r="M5" s="4">
        <v>5.18</v>
      </c>
      <c r="N5" s="4">
        <v>2.9420000000000002</v>
      </c>
      <c r="O5" s="1">
        <v>0.59699999999999998</v>
      </c>
      <c r="P5" s="1">
        <v>4.4450000000000003</v>
      </c>
      <c r="Q5" s="1">
        <v>3.8479999999999999</v>
      </c>
      <c r="R5" s="2">
        <v>0.5524</v>
      </c>
      <c r="S5" s="2">
        <v>4.2480000000000002</v>
      </c>
      <c r="T5" s="2">
        <v>3.6960000000000002</v>
      </c>
      <c r="U5" s="194">
        <v>0.38869999999999999</v>
      </c>
      <c r="V5" s="194">
        <v>3.262</v>
      </c>
      <c r="W5" s="194">
        <v>2.8730000000000002</v>
      </c>
      <c r="X5" s="4">
        <v>0.57679999999999998</v>
      </c>
      <c r="Y5" s="4">
        <v>50.53</v>
      </c>
      <c r="Z5" s="4">
        <v>49.95</v>
      </c>
      <c r="AA5" s="1">
        <v>1.306</v>
      </c>
      <c r="AB5" s="1">
        <v>49.9</v>
      </c>
      <c r="AC5" s="1">
        <v>48.59</v>
      </c>
      <c r="AD5" s="2">
        <v>0.72030000000000005</v>
      </c>
      <c r="AE5" s="2">
        <v>49.95</v>
      </c>
      <c r="AF5" s="2">
        <v>49.23</v>
      </c>
      <c r="AG5" s="378">
        <v>-1.022</v>
      </c>
      <c r="AH5" s="378">
        <v>61.66</v>
      </c>
      <c r="AI5" s="378">
        <v>62.68</v>
      </c>
      <c r="BD5">
        <v>5.9119999999999999</v>
      </c>
      <c r="BE5">
        <v>7.6719999999999997</v>
      </c>
      <c r="BH5" s="65">
        <f t="shared" si="0"/>
        <v>1.6549499999999999</v>
      </c>
      <c r="BI5" s="65">
        <f t="shared" si="1"/>
        <v>0.39488188976377953</v>
      </c>
      <c r="BJ5" s="65">
        <f t="shared" si="2"/>
        <v>2.5360499999999999</v>
      </c>
      <c r="BK5" s="65">
        <f t="shared" si="3"/>
        <v>0.20829999999999999</v>
      </c>
      <c r="BL5" s="65">
        <f t="shared" si="4"/>
        <v>4.9701741827726076E-2</v>
      </c>
      <c r="BM5" s="65">
        <f t="shared" si="5"/>
        <v>3.9826999999999999</v>
      </c>
      <c r="BN5" s="65">
        <f t="shared" si="6"/>
        <v>0.16370000000000001</v>
      </c>
      <c r="BO5" s="65">
        <f t="shared" si="7"/>
        <v>3.9059890240992608E-2</v>
      </c>
      <c r="BP5" s="65">
        <f t="shared" si="8"/>
        <v>4.0272999999999994</v>
      </c>
      <c r="BQ5" s="65">
        <f t="shared" si="9"/>
        <v>0.186</v>
      </c>
      <c r="BR5" s="65">
        <f t="shared" si="10"/>
        <v>4.4380816034359345E-2</v>
      </c>
      <c r="BS5" s="509">
        <f t="shared" si="11"/>
        <v>4.0049999999999999</v>
      </c>
      <c r="BT5" s="12">
        <f t="shared" ref="BT5:BT7" si="21">X5</f>
        <v>0.57679999999999998</v>
      </c>
      <c r="BU5" s="12">
        <f t="shared" si="12"/>
        <v>0.21956604491815759</v>
      </c>
      <c r="BV5" s="12">
        <f t="shared" si="13"/>
        <v>2.0501999999999998</v>
      </c>
      <c r="BW5" s="12">
        <f t="shared" ref="BW5:BW7" si="22">AA5</f>
        <v>1.306</v>
      </c>
      <c r="BX5" s="12">
        <f t="shared" si="14"/>
        <v>0.49714503235630003</v>
      </c>
      <c r="BY5" s="12">
        <f t="shared" si="15"/>
        <v>1.3209999999999997</v>
      </c>
      <c r="BZ5" s="12">
        <f t="shared" ref="BZ5:BZ7" si="23">AD5</f>
        <v>0.72030000000000005</v>
      </c>
      <c r="CA5" s="12">
        <f t="shared" si="16"/>
        <v>0.27419109250095169</v>
      </c>
      <c r="CB5" s="12">
        <f t="shared" si="17"/>
        <v>1.9066999999999998</v>
      </c>
      <c r="CC5" s="12">
        <f t="shared" si="18"/>
        <v>1.01315</v>
      </c>
      <c r="CD5" s="12">
        <f t="shared" si="19"/>
        <v>0.38566806242862584</v>
      </c>
      <c r="CE5" s="508">
        <f t="shared" si="20"/>
        <v>1.6138499999999998</v>
      </c>
    </row>
    <row r="6" spans="1:98">
      <c r="A6" t="s">
        <v>1480</v>
      </c>
      <c r="B6" s="14">
        <v>44648</v>
      </c>
      <c r="C6">
        <v>12.62</v>
      </c>
      <c r="D6">
        <v>14.53</v>
      </c>
      <c r="E6">
        <v>1.903</v>
      </c>
      <c r="F6">
        <v>10.89</v>
      </c>
      <c r="G6">
        <v>56.67</v>
      </c>
      <c r="H6">
        <v>45.78</v>
      </c>
      <c r="L6" s="4">
        <v>7.2969999999999997</v>
      </c>
      <c r="M6" s="4">
        <v>13.27</v>
      </c>
      <c r="N6" s="4">
        <v>5.9779999999999998</v>
      </c>
      <c r="O6" s="1">
        <v>3.9239999999999999</v>
      </c>
      <c r="P6" s="1">
        <v>11.29</v>
      </c>
      <c r="Q6" s="1">
        <v>7.3650000000000002</v>
      </c>
      <c r="R6" s="2">
        <v>3.7650000000000001</v>
      </c>
      <c r="S6" s="2">
        <v>10.57</v>
      </c>
      <c r="T6" s="2">
        <v>6.8</v>
      </c>
      <c r="U6" s="194">
        <v>0.78269999999999995</v>
      </c>
      <c r="V6" s="194">
        <v>3.7589999999999999</v>
      </c>
      <c r="W6" s="194">
        <v>2.9769999999999999</v>
      </c>
      <c r="X6" s="4">
        <v>10.7</v>
      </c>
      <c r="Y6" s="4">
        <v>57.23</v>
      </c>
      <c r="Z6" s="4">
        <v>46.53</v>
      </c>
      <c r="AA6" s="1">
        <v>5.9539999999999997</v>
      </c>
      <c r="AB6" s="1">
        <v>55.8</v>
      </c>
      <c r="AC6" s="1">
        <v>49.84</v>
      </c>
      <c r="AD6" s="2">
        <v>7.1020000000000003</v>
      </c>
      <c r="AE6" s="2">
        <v>55.74</v>
      </c>
      <c r="AF6" s="2">
        <v>48.64</v>
      </c>
      <c r="AG6" s="378">
        <v>1.1040000000000001</v>
      </c>
      <c r="AH6" s="378">
        <v>55.35</v>
      </c>
      <c r="AI6" s="378">
        <v>54.24</v>
      </c>
      <c r="BH6" s="65">
        <f t="shared" si="0"/>
        <v>6.1229499999999994</v>
      </c>
      <c r="BI6" s="65">
        <f t="shared" si="1"/>
        <v>0.48517828843106181</v>
      </c>
      <c r="BJ6" s="65">
        <f t="shared" si="2"/>
        <v>6.4970499999999998</v>
      </c>
      <c r="BK6" s="65">
        <f t="shared" si="3"/>
        <v>3.1413000000000002</v>
      </c>
      <c r="BL6" s="65">
        <f t="shared" si="4"/>
        <v>0.24891442155309038</v>
      </c>
      <c r="BM6" s="65">
        <f t="shared" si="5"/>
        <v>9.4786999999999999</v>
      </c>
      <c r="BN6" s="65">
        <f t="shared" si="6"/>
        <v>2.9823000000000004</v>
      </c>
      <c r="BO6" s="65">
        <f t="shared" si="7"/>
        <v>0.2363153724247227</v>
      </c>
      <c r="BP6" s="65">
        <f t="shared" si="8"/>
        <v>9.6376999999999988</v>
      </c>
      <c r="BQ6" s="65">
        <f t="shared" si="9"/>
        <v>3.0618000000000003</v>
      </c>
      <c r="BR6" s="65">
        <f t="shared" si="10"/>
        <v>0.24261489698890654</v>
      </c>
      <c r="BS6" s="509">
        <f t="shared" si="11"/>
        <v>9.5581999999999994</v>
      </c>
      <c r="BT6" s="12">
        <f t="shared" si="21"/>
        <v>10.7</v>
      </c>
      <c r="BU6" s="12">
        <f t="shared" si="12"/>
        <v>0.98255280073461881</v>
      </c>
      <c r="BV6" s="12">
        <f t="shared" si="13"/>
        <v>0.19000000000000128</v>
      </c>
      <c r="BW6" s="12">
        <f t="shared" si="22"/>
        <v>5.9539999999999997</v>
      </c>
      <c r="BX6" s="12">
        <f t="shared" si="14"/>
        <v>0.54674012855831033</v>
      </c>
      <c r="BY6" s="12">
        <f t="shared" si="15"/>
        <v>4.9360000000000008</v>
      </c>
      <c r="BZ6" s="12">
        <f t="shared" si="23"/>
        <v>7.1020000000000003</v>
      </c>
      <c r="CA6" s="12">
        <f t="shared" si="16"/>
        <v>0.65215794306703401</v>
      </c>
      <c r="CB6" s="12">
        <f t="shared" si="17"/>
        <v>3.7880000000000003</v>
      </c>
      <c r="CC6" s="12">
        <f t="shared" si="18"/>
        <v>6.5280000000000005</v>
      </c>
      <c r="CD6" s="12">
        <f t="shared" si="19"/>
        <v>0.59944903581267217</v>
      </c>
      <c r="CE6" s="508">
        <f t="shared" si="20"/>
        <v>4.3620000000000001</v>
      </c>
    </row>
    <row r="7" spans="1:98">
      <c r="A7" t="s">
        <v>1480</v>
      </c>
      <c r="B7" s="14">
        <v>44650</v>
      </c>
      <c r="C7">
        <v>13.73</v>
      </c>
      <c r="D7">
        <v>15.55</v>
      </c>
      <c r="E7">
        <v>1.8240000000000001</v>
      </c>
      <c r="F7">
        <v>11.83</v>
      </c>
      <c r="G7">
        <v>61.36</v>
      </c>
      <c r="H7">
        <v>49.53</v>
      </c>
      <c r="L7" s="4">
        <v>8.8290000000000006</v>
      </c>
      <c r="M7" s="4">
        <v>14.4</v>
      </c>
      <c r="N7" s="4">
        <v>5.5670000000000002</v>
      </c>
      <c r="O7" s="1">
        <v>6.5839999999999996</v>
      </c>
      <c r="P7" s="1">
        <v>12.92</v>
      </c>
      <c r="Q7" s="1">
        <v>6.335</v>
      </c>
      <c r="R7" s="2">
        <v>6.4139999999999997</v>
      </c>
      <c r="S7" s="2">
        <v>12.53</v>
      </c>
      <c r="T7" s="2">
        <v>6.1159999999999997</v>
      </c>
      <c r="U7" s="194">
        <v>0.34589999999999999</v>
      </c>
      <c r="V7" s="194">
        <v>2.976</v>
      </c>
      <c r="W7" s="194">
        <v>2.63</v>
      </c>
      <c r="X7" s="4">
        <v>10.97</v>
      </c>
      <c r="Y7" s="4">
        <v>60.93</v>
      </c>
      <c r="Z7" s="4">
        <v>49.96</v>
      </c>
      <c r="AA7" s="1">
        <v>7.8339999999999996</v>
      </c>
      <c r="AB7" s="1">
        <v>60.04</v>
      </c>
      <c r="AC7" s="1">
        <v>52.21</v>
      </c>
      <c r="AD7" s="2">
        <v>6.9989999999999997</v>
      </c>
      <c r="AE7" s="2">
        <v>60.31</v>
      </c>
      <c r="AF7" s="2">
        <v>53.31</v>
      </c>
      <c r="AG7" s="378">
        <v>-0.80600000000000005</v>
      </c>
      <c r="AH7" s="378">
        <v>50.42</v>
      </c>
      <c r="AI7" s="378">
        <v>51.23</v>
      </c>
      <c r="BA7" t="s">
        <v>1651</v>
      </c>
      <c r="BH7" s="65">
        <f t="shared" si="0"/>
        <v>8.3101500000000001</v>
      </c>
      <c r="BI7" s="65">
        <f t="shared" si="1"/>
        <v>0.60525491624180627</v>
      </c>
      <c r="BJ7" s="65">
        <f t="shared" si="2"/>
        <v>5.4198500000000003</v>
      </c>
      <c r="BK7" s="65">
        <f t="shared" si="3"/>
        <v>6.2380999999999993</v>
      </c>
      <c r="BL7" s="65">
        <f t="shared" si="4"/>
        <v>0.45434085943190089</v>
      </c>
      <c r="BM7" s="65">
        <f t="shared" si="5"/>
        <v>7.4919000000000011</v>
      </c>
      <c r="BN7" s="65">
        <f t="shared" si="6"/>
        <v>6.0680999999999994</v>
      </c>
      <c r="BO7" s="65">
        <f t="shared" si="7"/>
        <v>0.44195921340131095</v>
      </c>
      <c r="BP7" s="65">
        <f t="shared" si="8"/>
        <v>7.661900000000001</v>
      </c>
      <c r="BQ7" s="65">
        <f t="shared" si="9"/>
        <v>6.1530999999999993</v>
      </c>
      <c r="BR7" s="65">
        <f t="shared" si="10"/>
        <v>0.44815003641660589</v>
      </c>
      <c r="BS7" s="509">
        <f t="shared" si="11"/>
        <v>7.5769000000000011</v>
      </c>
      <c r="BT7" s="12">
        <f t="shared" si="21"/>
        <v>10.97</v>
      </c>
      <c r="BU7" s="12">
        <f t="shared" si="12"/>
        <v>0.92730346576500422</v>
      </c>
      <c r="BV7" s="12">
        <f t="shared" si="13"/>
        <v>0.85999999999999943</v>
      </c>
      <c r="BW7" s="12">
        <f t="shared" si="22"/>
        <v>7.8339999999999996</v>
      </c>
      <c r="BX7" s="12">
        <f t="shared" si="14"/>
        <v>0.66221470836855445</v>
      </c>
      <c r="BY7" s="12">
        <f t="shared" si="15"/>
        <v>3.9960000000000004</v>
      </c>
      <c r="BZ7" s="12">
        <f t="shared" si="23"/>
        <v>6.9989999999999997</v>
      </c>
      <c r="CA7" s="12">
        <f t="shared" si="16"/>
        <v>0.59163144547759927</v>
      </c>
      <c r="CB7" s="12">
        <f t="shared" si="17"/>
        <v>4.8310000000000004</v>
      </c>
      <c r="CC7" s="12">
        <f t="shared" si="18"/>
        <v>7.4164999999999992</v>
      </c>
      <c r="CD7" s="12">
        <f t="shared" si="19"/>
        <v>0.62692307692307681</v>
      </c>
      <c r="CE7" s="508">
        <f t="shared" si="20"/>
        <v>4.4135000000000009</v>
      </c>
    </row>
    <row r="8" spans="1:98">
      <c r="A8" t="s">
        <v>1480</v>
      </c>
      <c r="B8" s="14">
        <v>44652</v>
      </c>
      <c r="C8">
        <v>13.1</v>
      </c>
      <c r="D8">
        <v>15.1</v>
      </c>
      <c r="E8">
        <v>1.996</v>
      </c>
      <c r="F8">
        <v>13.55</v>
      </c>
      <c r="G8">
        <v>60.81</v>
      </c>
      <c r="H8">
        <v>47.26</v>
      </c>
      <c r="L8" s="4">
        <v>10.65</v>
      </c>
      <c r="M8" s="4">
        <v>16.010000000000002</v>
      </c>
      <c r="N8" s="4">
        <v>5.3639999999999999</v>
      </c>
      <c r="O8" s="1">
        <v>6.0289999999999999</v>
      </c>
      <c r="P8" s="1">
        <v>12.9</v>
      </c>
      <c r="Q8" s="1">
        <v>6.8689999999999998</v>
      </c>
      <c r="R8" s="2">
        <v>6.8470000000000004</v>
      </c>
      <c r="S8" s="2">
        <v>13.51</v>
      </c>
      <c r="T8" s="2">
        <v>6.665</v>
      </c>
      <c r="U8" s="194">
        <v>1.157</v>
      </c>
      <c r="V8" s="194">
        <v>4.1710000000000003</v>
      </c>
      <c r="W8" s="194">
        <v>3.0129999999999999</v>
      </c>
      <c r="X8" s="4">
        <v>11.02</v>
      </c>
      <c r="Y8" s="4">
        <v>61.74</v>
      </c>
      <c r="Z8" s="4">
        <v>50.72</v>
      </c>
      <c r="AA8" s="1">
        <v>9.032</v>
      </c>
      <c r="AB8" s="1">
        <v>60.51</v>
      </c>
      <c r="AC8" s="1">
        <v>51.48</v>
      </c>
      <c r="AD8" s="2">
        <v>10.46</v>
      </c>
      <c r="AE8" s="2">
        <v>64.58</v>
      </c>
      <c r="AF8" s="2">
        <v>54.12</v>
      </c>
      <c r="AG8" s="378">
        <v>0.21609999999999999</v>
      </c>
      <c r="AH8" s="378">
        <v>51.24</v>
      </c>
      <c r="AI8" s="378">
        <v>51.02</v>
      </c>
      <c r="BA8" s="27" t="s">
        <v>1476</v>
      </c>
      <c r="BB8" s="27" t="s">
        <v>1477</v>
      </c>
      <c r="BC8" s="27" t="s">
        <v>1478</v>
      </c>
      <c r="BD8" s="27" t="s">
        <v>255</v>
      </c>
      <c r="BE8" s="27" t="s">
        <v>1479</v>
      </c>
      <c r="BH8" s="65">
        <f t="shared" si="0"/>
        <v>8.9145000000000003</v>
      </c>
      <c r="BI8" s="65">
        <f t="shared" si="1"/>
        <v>0.68049618320610694</v>
      </c>
      <c r="BJ8" s="65">
        <f t="shared" si="2"/>
        <v>4.1854999999999993</v>
      </c>
      <c r="BK8" s="65">
        <f t="shared" si="3"/>
        <v>4.8719999999999999</v>
      </c>
      <c r="BL8" s="65">
        <f t="shared" si="4"/>
        <v>0.37190839694656491</v>
      </c>
      <c r="BM8" s="65">
        <f t="shared" si="5"/>
        <v>8.2279999999999998</v>
      </c>
      <c r="BN8" s="65">
        <f t="shared" si="6"/>
        <v>5.69</v>
      </c>
      <c r="BO8" s="65">
        <f t="shared" si="7"/>
        <v>0.43435114503816796</v>
      </c>
      <c r="BP8" s="65">
        <f t="shared" si="8"/>
        <v>7.4099999999999993</v>
      </c>
      <c r="BQ8" s="65">
        <f t="shared" si="9"/>
        <v>5.2810000000000006</v>
      </c>
      <c r="BR8" s="65">
        <f t="shared" si="10"/>
        <v>0.40312977099236647</v>
      </c>
      <c r="BS8" s="509">
        <f t="shared" si="11"/>
        <v>7.8189999999999991</v>
      </c>
      <c r="BT8" s="12">
        <f>X8-(AG8*(3/2))</f>
        <v>10.69585</v>
      </c>
      <c r="BU8" s="12">
        <f t="shared" si="12"/>
        <v>0.78936162361623607</v>
      </c>
      <c r="BV8" s="12">
        <f t="shared" si="13"/>
        <v>2.8541500000000006</v>
      </c>
      <c r="BW8" s="12">
        <f>AA8-AG8</f>
        <v>8.8158999999999992</v>
      </c>
      <c r="BX8" s="12">
        <f t="shared" si="14"/>
        <v>0.6506199261992619</v>
      </c>
      <c r="BY8" s="12">
        <f t="shared" si="15"/>
        <v>4.7341000000000015</v>
      </c>
      <c r="BZ8" s="12">
        <f>AD8-AG8</f>
        <v>10.2439</v>
      </c>
      <c r="CA8" s="12">
        <f t="shared" si="16"/>
        <v>0.75600738007380075</v>
      </c>
      <c r="CB8" s="12">
        <f t="shared" si="17"/>
        <v>3.3061000000000007</v>
      </c>
      <c r="CC8" s="12">
        <f t="shared" si="18"/>
        <v>9.5298999999999996</v>
      </c>
      <c r="CD8" s="12">
        <f t="shared" si="19"/>
        <v>0.70331365313653127</v>
      </c>
      <c r="CE8" s="508">
        <f t="shared" si="20"/>
        <v>4.0201000000000011</v>
      </c>
    </row>
    <row r="9" spans="1:98">
      <c r="A9" t="s">
        <v>1480</v>
      </c>
      <c r="B9" s="14">
        <v>44655</v>
      </c>
      <c r="C9">
        <v>13.55</v>
      </c>
      <c r="D9">
        <v>15.5</v>
      </c>
      <c r="E9">
        <v>1.948</v>
      </c>
      <c r="F9">
        <v>12.45</v>
      </c>
      <c r="G9">
        <v>61.29</v>
      </c>
      <c r="H9">
        <v>48.84</v>
      </c>
      <c r="I9">
        <v>14.94</v>
      </c>
      <c r="J9">
        <v>16.79</v>
      </c>
      <c r="K9">
        <v>1.849</v>
      </c>
      <c r="L9" s="4">
        <v>9.1620000000000008</v>
      </c>
      <c r="M9" s="4">
        <v>14.59</v>
      </c>
      <c r="N9" s="4">
        <v>5.4290000000000003</v>
      </c>
      <c r="O9" s="1">
        <v>5.4039999999999999</v>
      </c>
      <c r="P9" s="1">
        <v>12.98</v>
      </c>
      <c r="Q9" s="1">
        <v>7.58</v>
      </c>
      <c r="R9" s="2">
        <v>5.44</v>
      </c>
      <c r="S9" s="2">
        <v>12.97</v>
      </c>
      <c r="T9" s="2">
        <v>7.5279999999999996</v>
      </c>
      <c r="U9" s="194">
        <v>0.78100000000000003</v>
      </c>
      <c r="V9" s="194">
        <v>3.585</v>
      </c>
      <c r="W9" s="194">
        <v>2.8039999999999998</v>
      </c>
      <c r="X9" s="4">
        <v>10.99</v>
      </c>
      <c r="Y9" s="4">
        <v>60.9</v>
      </c>
      <c r="Z9" s="4">
        <v>49.9</v>
      </c>
      <c r="AA9" s="1">
        <v>6.734</v>
      </c>
      <c r="AB9" s="1">
        <v>59.99</v>
      </c>
      <c r="AC9" s="1">
        <v>53.26</v>
      </c>
      <c r="AD9" s="2">
        <v>6.1929999999999996</v>
      </c>
      <c r="AE9" s="2">
        <v>60.11</v>
      </c>
      <c r="AF9" s="2">
        <v>53.92</v>
      </c>
      <c r="AG9" s="378">
        <v>-1.3069999999999999</v>
      </c>
      <c r="AH9" s="378">
        <v>48.86</v>
      </c>
      <c r="AI9" s="378">
        <v>50.16</v>
      </c>
      <c r="AJ9" s="4">
        <v>10</v>
      </c>
      <c r="AK9" s="4">
        <v>14.26</v>
      </c>
      <c r="AL9" s="4">
        <v>4.2629999999999999</v>
      </c>
      <c r="AM9" s="1">
        <v>7.93</v>
      </c>
      <c r="AN9" s="1">
        <v>13.17</v>
      </c>
      <c r="AO9" s="1">
        <v>5.2389999999999999</v>
      </c>
      <c r="AP9" s="2">
        <v>7.01</v>
      </c>
      <c r="AQ9" s="2">
        <v>13.1</v>
      </c>
      <c r="AR9" s="2">
        <v>6.0919999999999996</v>
      </c>
      <c r="AS9" s="127">
        <v>7.5170000000000003</v>
      </c>
      <c r="AT9" s="127">
        <v>13.38</v>
      </c>
      <c r="AU9" s="127">
        <v>5.859</v>
      </c>
      <c r="AV9" s="380">
        <v>0.26279999999999998</v>
      </c>
      <c r="AW9" s="380">
        <v>3.2509999999999999</v>
      </c>
      <c r="AX9" s="380">
        <v>2.988</v>
      </c>
      <c r="BA9" s="9">
        <v>2.5049999999999999</v>
      </c>
      <c r="BB9" s="9">
        <v>1.2450000000000001</v>
      </c>
      <c r="BC9" s="9">
        <v>-1.26</v>
      </c>
      <c r="BD9" s="9">
        <v>5.7990000000000004</v>
      </c>
      <c r="BE9" s="9">
        <v>4.3730000000000002</v>
      </c>
      <c r="BH9" s="65">
        <f t="shared" si="0"/>
        <v>7.9905000000000008</v>
      </c>
      <c r="BI9" s="65">
        <f t="shared" si="1"/>
        <v>0.58970479704797052</v>
      </c>
      <c r="BJ9" s="65">
        <f t="shared" si="2"/>
        <v>5.5594999999999999</v>
      </c>
      <c r="BK9" s="65">
        <f t="shared" si="3"/>
        <v>4.6230000000000002</v>
      </c>
      <c r="BL9" s="65">
        <f t="shared" si="4"/>
        <v>0.3411808118081181</v>
      </c>
      <c r="BM9" s="65">
        <f t="shared" si="5"/>
        <v>8.9269999999999996</v>
      </c>
      <c r="BN9" s="65">
        <f t="shared" si="6"/>
        <v>4.6590000000000007</v>
      </c>
      <c r="BO9" s="65">
        <f t="shared" si="7"/>
        <v>0.34383763837638381</v>
      </c>
      <c r="BP9" s="65">
        <f t="shared" si="8"/>
        <v>8.891</v>
      </c>
      <c r="BQ9" s="65">
        <f t="shared" si="9"/>
        <v>4.641</v>
      </c>
      <c r="BR9" s="65">
        <f t="shared" si="10"/>
        <v>0.3425092250922509</v>
      </c>
      <c r="BS9" s="509">
        <f t="shared" si="11"/>
        <v>8.9090000000000007</v>
      </c>
      <c r="BT9" s="12">
        <f t="shared" ref="BT9:BT13" si="24">X9</f>
        <v>10.99</v>
      </c>
      <c r="BU9" s="12">
        <f t="shared" si="12"/>
        <v>0.88273092369477923</v>
      </c>
      <c r="BV9" s="12">
        <f t="shared" si="13"/>
        <v>1.4599999999999991</v>
      </c>
      <c r="BW9" s="12">
        <f t="shared" ref="BW9:BW13" si="25">AA9</f>
        <v>6.734</v>
      </c>
      <c r="BX9" s="12">
        <f t="shared" si="14"/>
        <v>0.54088353413654622</v>
      </c>
      <c r="BY9" s="12">
        <f t="shared" si="15"/>
        <v>5.7159999999999993</v>
      </c>
      <c r="BZ9" s="12">
        <f t="shared" ref="BZ9:BZ13" si="26">AD9</f>
        <v>6.1929999999999996</v>
      </c>
      <c r="CA9" s="12">
        <f t="shared" si="16"/>
        <v>0.49742971887550202</v>
      </c>
      <c r="CB9" s="12">
        <f t="shared" si="17"/>
        <v>6.2569999999999997</v>
      </c>
      <c r="CC9" s="12">
        <f t="shared" si="18"/>
        <v>6.4634999999999998</v>
      </c>
      <c r="CD9" s="12">
        <f t="shared" si="19"/>
        <v>0.51915662650602412</v>
      </c>
      <c r="CE9" s="508">
        <f t="shared" si="20"/>
        <v>5.9864999999999995</v>
      </c>
      <c r="CF9" s="12">
        <f>AJ9-(AV9*(3/2))</f>
        <v>9.6058000000000003</v>
      </c>
      <c r="CG9" s="12">
        <f>CF9/I9</f>
        <v>0.64295850066934412</v>
      </c>
      <c r="CH9" s="12">
        <f>I9-CF9</f>
        <v>5.3341999999999992</v>
      </c>
      <c r="CI9" s="12">
        <f>AM9-AV9</f>
        <v>7.6671999999999993</v>
      </c>
      <c r="CJ9" s="12">
        <f>CI9/I9</f>
        <v>0.51319946452476572</v>
      </c>
      <c r="CK9" s="12">
        <f>I9-CI9</f>
        <v>7.2728000000000002</v>
      </c>
      <c r="CL9" s="12">
        <f>AP9-AV9</f>
        <v>6.7471999999999994</v>
      </c>
      <c r="CM9" s="12">
        <f>CL9/I9</f>
        <v>0.45161981258366796</v>
      </c>
      <c r="CN9" s="12">
        <f>I9-CL9</f>
        <v>8.1928000000000001</v>
      </c>
      <c r="CO9" s="12">
        <f>AS9-AV9</f>
        <v>7.2542</v>
      </c>
      <c r="CP9" s="12">
        <f>CO9/I9</f>
        <v>0.48555555555555557</v>
      </c>
      <c r="CQ9" s="12">
        <f>I9-CO9</f>
        <v>7.6857999999999995</v>
      </c>
      <c r="CR9" s="12">
        <f>(CO9+CL9+CI9)/3</f>
        <v>7.2228666666666657</v>
      </c>
      <c r="CS9" s="12">
        <f>CR9/I9</f>
        <v>0.48345827755466303</v>
      </c>
      <c r="CT9" s="508">
        <f>I9-CR9</f>
        <v>7.7171333333333338</v>
      </c>
    </row>
    <row r="10" spans="1:98">
      <c r="A10" t="s">
        <v>1650</v>
      </c>
      <c r="B10" s="14">
        <v>44657</v>
      </c>
      <c r="C10">
        <v>15.55</v>
      </c>
      <c r="D10">
        <v>15.65</v>
      </c>
      <c r="E10">
        <v>0.1042</v>
      </c>
      <c r="F10">
        <v>8.4960000000000004</v>
      </c>
      <c r="G10">
        <v>61.16</v>
      </c>
      <c r="H10">
        <v>52.66</v>
      </c>
      <c r="I10">
        <v>16.670000000000002</v>
      </c>
      <c r="J10">
        <v>16.260000000000002</v>
      </c>
      <c r="K10">
        <v>-0.40579999999999999</v>
      </c>
      <c r="L10" s="4">
        <v>9.7799999999999994</v>
      </c>
      <c r="M10" s="4">
        <v>14.59</v>
      </c>
      <c r="N10" s="4">
        <v>4.8090000000000002</v>
      </c>
      <c r="O10" s="1">
        <v>6.9039999999999999</v>
      </c>
      <c r="P10" s="1">
        <v>13.05</v>
      </c>
      <c r="Q10" s="1">
        <v>6.1479999999999997</v>
      </c>
      <c r="R10" s="2">
        <v>6.9939999999999998</v>
      </c>
      <c r="S10" s="2">
        <v>12.87</v>
      </c>
      <c r="T10" s="2">
        <v>5.8789999999999996</v>
      </c>
      <c r="U10" s="194">
        <v>2.21</v>
      </c>
      <c r="V10" s="194">
        <v>2.855</v>
      </c>
      <c r="W10" s="194">
        <v>0.64580000000000004</v>
      </c>
      <c r="X10" s="4">
        <v>10.210000000000001</v>
      </c>
      <c r="Y10" s="4">
        <v>62.08</v>
      </c>
      <c r="Z10" s="4">
        <v>51.86</v>
      </c>
      <c r="AA10" s="1">
        <v>5.7750000000000004</v>
      </c>
      <c r="AB10" s="1">
        <v>62.23</v>
      </c>
      <c r="AC10" s="1">
        <v>6.45</v>
      </c>
      <c r="AD10" s="2">
        <v>5.2969999999999997</v>
      </c>
      <c r="AE10" s="2">
        <v>61.84</v>
      </c>
      <c r="AF10" s="2">
        <v>56.54</v>
      </c>
      <c r="AG10" s="378">
        <v>-3.964</v>
      </c>
      <c r="AH10" s="378">
        <v>52.12</v>
      </c>
      <c r="AI10" s="378">
        <v>56.08</v>
      </c>
      <c r="AJ10" s="4">
        <v>8.7940000000000005</v>
      </c>
      <c r="AK10" s="4">
        <v>14.7</v>
      </c>
      <c r="AL10" s="4">
        <v>5.9020000000000001</v>
      </c>
      <c r="AM10" s="1">
        <v>7.234</v>
      </c>
      <c r="AN10" s="1">
        <v>14.19</v>
      </c>
      <c r="AO10" s="1">
        <v>6.9509999999999996</v>
      </c>
      <c r="AP10" s="2">
        <v>7.4489999999999998</v>
      </c>
      <c r="AQ10" s="2">
        <v>14.35</v>
      </c>
      <c r="AR10" s="2">
        <v>6.9039999999999999</v>
      </c>
      <c r="AS10" s="127">
        <v>8.4260000000000002</v>
      </c>
      <c r="AT10" s="127">
        <v>14.48</v>
      </c>
      <c r="AU10" s="127">
        <v>6.0529999999999999</v>
      </c>
      <c r="AV10" s="380">
        <v>2.2650000000000001</v>
      </c>
      <c r="AW10" s="380">
        <v>3.085</v>
      </c>
      <c r="AX10" s="380">
        <v>0.81969999999999998</v>
      </c>
      <c r="BA10" s="9">
        <v>2.2989999999999999</v>
      </c>
      <c r="BB10" s="9">
        <v>1.167</v>
      </c>
      <c r="BC10" s="9">
        <v>-1.1319999999999999</v>
      </c>
      <c r="BD10" s="9">
        <v>5.8310000000000004</v>
      </c>
      <c r="BE10" s="9">
        <v>5.7850000000000001</v>
      </c>
      <c r="BH10" s="65">
        <f t="shared" si="0"/>
        <v>6.4649999999999999</v>
      </c>
      <c r="BI10" s="65">
        <f t="shared" si="1"/>
        <v>0.4157556270096463</v>
      </c>
      <c r="BJ10" s="65">
        <f t="shared" si="2"/>
        <v>9.0850000000000009</v>
      </c>
      <c r="BK10" s="65">
        <f t="shared" si="3"/>
        <v>4.694</v>
      </c>
      <c r="BL10" s="65">
        <f t="shared" si="4"/>
        <v>0.30186495176848871</v>
      </c>
      <c r="BM10" s="65">
        <f t="shared" si="5"/>
        <v>10.856000000000002</v>
      </c>
      <c r="BN10" s="65">
        <f t="shared" si="6"/>
        <v>4.7839999999999998</v>
      </c>
      <c r="BO10" s="65">
        <f t="shared" si="7"/>
        <v>0.30765273311897101</v>
      </c>
      <c r="BP10" s="65">
        <f t="shared" si="8"/>
        <v>10.766000000000002</v>
      </c>
      <c r="BQ10" s="65">
        <f t="shared" si="9"/>
        <v>4.7389999999999999</v>
      </c>
      <c r="BR10" s="65">
        <f t="shared" si="10"/>
        <v>0.30475884244372986</v>
      </c>
      <c r="BS10" s="509">
        <f t="shared" si="11"/>
        <v>10.811</v>
      </c>
      <c r="BT10" s="12">
        <f t="shared" si="24"/>
        <v>10.210000000000001</v>
      </c>
      <c r="BU10" s="12">
        <f t="shared" si="12"/>
        <v>1.2017419962335216</v>
      </c>
      <c r="BV10" s="12">
        <f t="shared" si="13"/>
        <v>-1.7140000000000004</v>
      </c>
      <c r="BW10" s="12">
        <f t="shared" si="25"/>
        <v>5.7750000000000004</v>
      </c>
      <c r="BX10" s="12">
        <f t="shared" si="14"/>
        <v>0.67973163841807915</v>
      </c>
      <c r="BY10" s="12">
        <f t="shared" si="15"/>
        <v>2.7210000000000001</v>
      </c>
      <c r="BZ10" s="12">
        <f t="shared" si="26"/>
        <v>5.2969999999999997</v>
      </c>
      <c r="CA10" s="12">
        <f t="shared" si="16"/>
        <v>0.62346986817325789</v>
      </c>
      <c r="CB10" s="12">
        <f t="shared" si="17"/>
        <v>3.1990000000000007</v>
      </c>
      <c r="CC10" s="12">
        <f t="shared" si="18"/>
        <v>5.5359999999999996</v>
      </c>
      <c r="CD10" s="12">
        <f t="shared" si="19"/>
        <v>0.65160075329566847</v>
      </c>
      <c r="CE10" s="508">
        <f t="shared" si="20"/>
        <v>2.9600000000000009</v>
      </c>
      <c r="CF10" s="12">
        <f t="shared" ref="CF10:CF13" si="27">AJ10-(AV10*(3/2))</f>
        <v>5.3965000000000005</v>
      </c>
      <c r="CG10" s="12">
        <f t="shared" ref="CG10:CG13" si="28">CF10/I10</f>
        <v>0.32372525494901022</v>
      </c>
      <c r="CH10" s="12">
        <f t="shared" ref="CH10:CH13" si="29">I10-CF10</f>
        <v>11.273500000000002</v>
      </c>
      <c r="CI10" s="12">
        <f t="shared" ref="CI10:CI13" si="30">AM10-AV10</f>
        <v>4.9689999999999994</v>
      </c>
      <c r="CJ10" s="12">
        <f t="shared" ref="CJ10:CJ13" si="31">CI10/I10</f>
        <v>0.29808038392321529</v>
      </c>
      <c r="CK10" s="12">
        <f t="shared" ref="CK10:CK13" si="32">I10-CI10</f>
        <v>11.701000000000002</v>
      </c>
      <c r="CL10" s="12">
        <f t="shared" ref="CL10:CL13" si="33">AP10-AV10</f>
        <v>5.1839999999999993</v>
      </c>
      <c r="CM10" s="12">
        <f t="shared" ref="CM10:CM13" si="34">CL10/I10</f>
        <v>0.3109778044391121</v>
      </c>
      <c r="CN10" s="12">
        <f t="shared" ref="CN10:CN13" si="35">I10-CL10</f>
        <v>11.486000000000002</v>
      </c>
      <c r="CO10" s="12">
        <f t="shared" ref="CO10:CO13" si="36">AS10-AV10</f>
        <v>6.1609999999999996</v>
      </c>
      <c r="CP10" s="12">
        <f t="shared" ref="CP10:CP13" si="37">CO10/I10</f>
        <v>0.36958608278344324</v>
      </c>
      <c r="CQ10" s="12">
        <f t="shared" ref="CQ10:CQ13" si="38">I10-CO10</f>
        <v>10.509000000000002</v>
      </c>
      <c r="CR10" s="12">
        <f t="shared" ref="CR10:CR13" si="39">(CO10+CL10+CI10)/3</f>
        <v>5.4379999999999997</v>
      </c>
      <c r="CS10" s="12">
        <f t="shared" ref="CS10:CS13" si="40">CR10/I10</f>
        <v>0.32621475704859021</v>
      </c>
      <c r="CT10" s="508">
        <f t="shared" ref="CT10:CT13" si="41">I10-CR10</f>
        <v>11.232000000000003</v>
      </c>
    </row>
    <row r="11" spans="1:98">
      <c r="A11" t="s">
        <v>1650</v>
      </c>
      <c r="B11" s="14">
        <v>44662</v>
      </c>
      <c r="C11">
        <v>16.170000000000002</v>
      </c>
      <c r="D11">
        <v>16.41</v>
      </c>
      <c r="E11">
        <v>0.23760000000000001</v>
      </c>
      <c r="F11">
        <v>11.96</v>
      </c>
      <c r="G11">
        <v>61.14</v>
      </c>
      <c r="H11">
        <v>49.19</v>
      </c>
      <c r="I11">
        <v>15.83</v>
      </c>
      <c r="J11">
        <v>15.6</v>
      </c>
      <c r="K11">
        <v>-0.2334</v>
      </c>
      <c r="L11" s="4">
        <v>14.19</v>
      </c>
      <c r="M11" s="4">
        <v>17.190000000000001</v>
      </c>
      <c r="N11" s="4">
        <v>3.004</v>
      </c>
      <c r="O11" s="1">
        <v>8.2140000000000004</v>
      </c>
      <c r="P11" s="1">
        <v>14.75</v>
      </c>
      <c r="Q11" s="1">
        <v>6.54</v>
      </c>
      <c r="R11" s="2">
        <v>9.609</v>
      </c>
      <c r="S11" s="2">
        <v>15.4</v>
      </c>
      <c r="T11" s="2">
        <v>5.7939999999999996</v>
      </c>
      <c r="U11" s="194">
        <v>2.125</v>
      </c>
      <c r="V11" s="194">
        <v>3.052</v>
      </c>
      <c r="W11" s="194">
        <v>0.92649999999999999</v>
      </c>
      <c r="X11" s="4">
        <v>9.8970000000000002</v>
      </c>
      <c r="Y11" s="4">
        <v>61.45</v>
      </c>
      <c r="Z11" s="4">
        <v>51.55</v>
      </c>
      <c r="AA11" s="1">
        <v>6.883</v>
      </c>
      <c r="AB11" s="1">
        <v>61.69</v>
      </c>
      <c r="AC11" s="1">
        <v>54.81</v>
      </c>
      <c r="AD11" s="2">
        <v>5.6609999999999996</v>
      </c>
      <c r="AE11" s="2">
        <v>60.86</v>
      </c>
      <c r="AF11" s="2">
        <v>55.2</v>
      </c>
      <c r="AG11" s="378">
        <v>-2.484</v>
      </c>
      <c r="AH11" s="378">
        <v>45.63</v>
      </c>
      <c r="AI11" s="378">
        <v>48.12</v>
      </c>
      <c r="AJ11" s="4">
        <v>9.9469999999999992</v>
      </c>
      <c r="AK11" s="4">
        <v>13.56</v>
      </c>
      <c r="AL11" s="4">
        <v>3.6160000000000001</v>
      </c>
      <c r="AM11" s="1">
        <v>8.82</v>
      </c>
      <c r="AN11" s="1">
        <v>14.59</v>
      </c>
      <c r="AO11" s="1">
        <v>5.7729999999999997</v>
      </c>
      <c r="AP11" s="2">
        <v>9.0009999999999994</v>
      </c>
      <c r="AQ11" s="2">
        <v>15.11</v>
      </c>
      <c r="AR11" s="2">
        <v>6.109</v>
      </c>
      <c r="AS11" s="127">
        <v>11.17</v>
      </c>
      <c r="AT11" s="127">
        <v>15.71</v>
      </c>
      <c r="AU11" s="127">
        <v>4.5449999999999999</v>
      </c>
      <c r="AV11" s="380">
        <v>2.1840000000000002</v>
      </c>
      <c r="AW11" s="380">
        <v>3.4870000000000001</v>
      </c>
      <c r="AX11" s="380">
        <v>1.304</v>
      </c>
      <c r="BH11" s="65">
        <f t="shared" si="0"/>
        <v>11.0025</v>
      </c>
      <c r="BI11" s="65">
        <f t="shared" si="1"/>
        <v>0.6804267161410017</v>
      </c>
      <c r="BJ11" s="65">
        <f t="shared" si="2"/>
        <v>5.1675000000000022</v>
      </c>
      <c r="BK11" s="65">
        <f t="shared" si="3"/>
        <v>6.0890000000000004</v>
      </c>
      <c r="BL11" s="65">
        <f t="shared" si="4"/>
        <v>0.37656153370439083</v>
      </c>
      <c r="BM11" s="65">
        <f t="shared" si="5"/>
        <v>10.081000000000001</v>
      </c>
      <c r="BN11" s="65">
        <f t="shared" si="6"/>
        <v>7.484</v>
      </c>
      <c r="BO11" s="65">
        <f t="shared" si="7"/>
        <v>0.46283240568954848</v>
      </c>
      <c r="BP11" s="65">
        <f t="shared" si="8"/>
        <v>8.6860000000000017</v>
      </c>
      <c r="BQ11" s="65">
        <f t="shared" si="9"/>
        <v>6.7865000000000002</v>
      </c>
      <c r="BR11" s="65">
        <f t="shared" si="10"/>
        <v>0.41969696969696968</v>
      </c>
      <c r="BS11" s="509">
        <f t="shared" si="11"/>
        <v>9.3835000000000015</v>
      </c>
      <c r="BT11" s="12">
        <f t="shared" si="24"/>
        <v>9.8970000000000002</v>
      </c>
      <c r="BU11" s="12">
        <f t="shared" si="12"/>
        <v>0.82750836120401339</v>
      </c>
      <c r="BV11" s="12">
        <f t="shared" si="13"/>
        <v>2.0630000000000006</v>
      </c>
      <c r="BW11" s="12">
        <f t="shared" si="25"/>
        <v>6.883</v>
      </c>
      <c r="BX11" s="12">
        <f t="shared" si="14"/>
        <v>0.57550167224080262</v>
      </c>
      <c r="BY11" s="12">
        <f t="shared" si="15"/>
        <v>5.0770000000000008</v>
      </c>
      <c r="BZ11" s="12">
        <f t="shared" si="26"/>
        <v>5.6609999999999996</v>
      </c>
      <c r="CA11" s="12">
        <f t="shared" si="16"/>
        <v>0.47332775919732434</v>
      </c>
      <c r="CB11" s="12">
        <f t="shared" si="17"/>
        <v>6.2990000000000013</v>
      </c>
      <c r="CC11" s="12">
        <f t="shared" si="18"/>
        <v>6.2720000000000002</v>
      </c>
      <c r="CD11" s="12">
        <f t="shared" si="19"/>
        <v>0.52441471571906351</v>
      </c>
      <c r="CE11" s="508">
        <f t="shared" si="20"/>
        <v>5.6880000000000006</v>
      </c>
      <c r="CF11" s="12">
        <f t="shared" si="27"/>
        <v>6.6709999999999994</v>
      </c>
      <c r="CG11" s="12">
        <f t="shared" si="28"/>
        <v>0.42141503474415665</v>
      </c>
      <c r="CH11" s="12">
        <f t="shared" si="29"/>
        <v>9.1590000000000007</v>
      </c>
      <c r="CI11" s="12">
        <f t="shared" si="30"/>
        <v>6.6360000000000001</v>
      </c>
      <c r="CJ11" s="12">
        <f t="shared" si="31"/>
        <v>0.41920404295641189</v>
      </c>
      <c r="CK11" s="12">
        <f t="shared" si="32"/>
        <v>9.1939999999999991</v>
      </c>
      <c r="CL11" s="12">
        <f t="shared" si="33"/>
        <v>6.8169999999999993</v>
      </c>
      <c r="CM11" s="12">
        <f t="shared" si="34"/>
        <v>0.43063802905874915</v>
      </c>
      <c r="CN11" s="12">
        <f t="shared" si="35"/>
        <v>9.0130000000000017</v>
      </c>
      <c r="CO11" s="12">
        <f t="shared" si="36"/>
        <v>8.9860000000000007</v>
      </c>
      <c r="CP11" s="12">
        <f t="shared" si="37"/>
        <v>0.5676563487049906</v>
      </c>
      <c r="CQ11" s="12">
        <f t="shared" si="38"/>
        <v>6.8439999999999994</v>
      </c>
      <c r="CR11" s="12">
        <f t="shared" si="39"/>
        <v>7.4796666666666667</v>
      </c>
      <c r="CS11" s="12">
        <f t="shared" si="40"/>
        <v>0.47249947357338384</v>
      </c>
      <c r="CT11" s="508">
        <f t="shared" si="41"/>
        <v>8.3503333333333334</v>
      </c>
    </row>
    <row r="12" spans="1:98">
      <c r="A12" t="s">
        <v>1650</v>
      </c>
      <c r="B12" s="14">
        <v>44666</v>
      </c>
      <c r="C12">
        <v>16.07</v>
      </c>
      <c r="D12">
        <v>16.350000000000001</v>
      </c>
      <c r="E12">
        <v>0.27129999999999999</v>
      </c>
      <c r="F12">
        <v>12.43</v>
      </c>
      <c r="G12">
        <v>63.03</v>
      </c>
      <c r="H12">
        <v>50.6</v>
      </c>
      <c r="I12">
        <v>14.69</v>
      </c>
      <c r="J12">
        <v>14.5</v>
      </c>
      <c r="K12">
        <v>-0.19750000000000001</v>
      </c>
      <c r="L12" s="4">
        <v>12.99</v>
      </c>
      <c r="M12" s="4">
        <v>15.95</v>
      </c>
      <c r="N12" s="4">
        <v>2.96</v>
      </c>
      <c r="O12" s="1">
        <v>10.78</v>
      </c>
      <c r="P12" s="1">
        <v>16.28</v>
      </c>
      <c r="Q12" s="1">
        <v>5.5069999999999997</v>
      </c>
      <c r="R12" s="2">
        <v>0.47699999999999998</v>
      </c>
      <c r="S12" s="2">
        <v>15.69</v>
      </c>
      <c r="T12" s="2">
        <v>6.218</v>
      </c>
      <c r="U12" s="194">
        <v>2.1030000000000002</v>
      </c>
      <c r="V12" s="194">
        <v>3.0619999999999998</v>
      </c>
      <c r="W12" s="194">
        <v>0.95960000000000001</v>
      </c>
      <c r="X12" s="4">
        <v>11.14</v>
      </c>
      <c r="Y12" s="4">
        <v>62.43</v>
      </c>
      <c r="Z12" s="4">
        <v>51.29</v>
      </c>
      <c r="AA12" s="1">
        <v>6.4390000000000001</v>
      </c>
      <c r="AB12" s="1">
        <v>62.18</v>
      </c>
      <c r="AC12" s="1">
        <v>55.74</v>
      </c>
      <c r="AD12" s="2">
        <v>8.8819999999999997</v>
      </c>
      <c r="AE12" s="2">
        <v>61.94</v>
      </c>
      <c r="AF12" s="2">
        <v>53.06</v>
      </c>
      <c r="AG12" s="378">
        <v>-3.145</v>
      </c>
      <c r="AH12" s="378">
        <v>48.64</v>
      </c>
      <c r="AI12" s="378">
        <v>51.79</v>
      </c>
      <c r="AJ12" s="4">
        <v>9.3810000000000002</v>
      </c>
      <c r="AK12" s="4">
        <v>13.68</v>
      </c>
      <c r="AL12" s="4">
        <v>4.2939999999999996</v>
      </c>
      <c r="AM12" s="1">
        <v>7.843</v>
      </c>
      <c r="AN12" s="1">
        <v>13.91</v>
      </c>
      <c r="AO12" s="1">
        <v>6.07</v>
      </c>
      <c r="AP12" s="2">
        <v>8.7029999999999994</v>
      </c>
      <c r="AQ12" s="2">
        <v>14.51</v>
      </c>
      <c r="AR12" s="2">
        <v>5.806</v>
      </c>
      <c r="AS12" s="127">
        <v>8.1129999999999995</v>
      </c>
      <c r="AT12" s="127">
        <v>14.14</v>
      </c>
      <c r="AU12" s="127">
        <v>6.0279999999999996</v>
      </c>
      <c r="AV12" s="380">
        <v>2.1709999999999998</v>
      </c>
      <c r="AW12" s="380">
        <v>3.2949999999999999</v>
      </c>
      <c r="AX12" s="380">
        <v>1.1240000000000001</v>
      </c>
      <c r="BH12" s="65">
        <f t="shared" si="0"/>
        <v>9.8354999999999997</v>
      </c>
      <c r="BI12" s="65">
        <f t="shared" si="1"/>
        <v>0.61204107031736155</v>
      </c>
      <c r="BJ12" s="65">
        <f t="shared" si="2"/>
        <v>6.2345000000000006</v>
      </c>
      <c r="BK12" s="65">
        <f t="shared" si="3"/>
        <v>8.6769999999999996</v>
      </c>
      <c r="BL12" s="65">
        <f t="shared" si="4"/>
        <v>0.53995021779713748</v>
      </c>
      <c r="BM12" s="65">
        <f t="shared" si="5"/>
        <v>7.3930000000000007</v>
      </c>
      <c r="BN12" s="65">
        <f t="shared" si="6"/>
        <v>-1.6260000000000003</v>
      </c>
      <c r="BO12" s="65">
        <f t="shared" si="7"/>
        <v>-0.10118232731798384</v>
      </c>
      <c r="BP12" s="65">
        <f t="shared" si="8"/>
        <v>17.696000000000002</v>
      </c>
      <c r="BQ12" s="65">
        <f t="shared" si="9"/>
        <v>3.5254999999999996</v>
      </c>
      <c r="BR12" s="65">
        <f t="shared" si="10"/>
        <v>0.21938394523957683</v>
      </c>
      <c r="BS12" s="509">
        <f t="shared" si="11"/>
        <v>12.544500000000001</v>
      </c>
      <c r="BT12" s="12">
        <f t="shared" si="24"/>
        <v>11.14</v>
      </c>
      <c r="BU12" s="12">
        <f t="shared" si="12"/>
        <v>0.89621882542236531</v>
      </c>
      <c r="BV12" s="12">
        <f t="shared" si="13"/>
        <v>1.2899999999999991</v>
      </c>
      <c r="BW12" s="12">
        <f t="shared" si="25"/>
        <v>6.4390000000000001</v>
      </c>
      <c r="BX12" s="12">
        <f t="shared" si="14"/>
        <v>0.51802091713596143</v>
      </c>
      <c r="BY12" s="12">
        <f t="shared" si="15"/>
        <v>5.9909999999999997</v>
      </c>
      <c r="BZ12" s="12">
        <f t="shared" si="26"/>
        <v>8.8819999999999997</v>
      </c>
      <c r="CA12" s="12">
        <f t="shared" si="16"/>
        <v>0.71456154465004018</v>
      </c>
      <c r="CB12" s="12">
        <f t="shared" si="17"/>
        <v>3.548</v>
      </c>
      <c r="CC12" s="12">
        <f t="shared" si="18"/>
        <v>7.6604999999999999</v>
      </c>
      <c r="CD12" s="12">
        <f t="shared" si="19"/>
        <v>0.61629123089300086</v>
      </c>
      <c r="CE12" s="508">
        <f t="shared" si="20"/>
        <v>4.7694999999999999</v>
      </c>
      <c r="CF12" s="12">
        <f t="shared" si="27"/>
        <v>6.1245000000000003</v>
      </c>
      <c r="CG12" s="12">
        <f t="shared" si="28"/>
        <v>0.41691626957113687</v>
      </c>
      <c r="CH12" s="12">
        <f t="shared" si="29"/>
        <v>8.5655000000000001</v>
      </c>
      <c r="CI12" s="12">
        <f t="shared" si="30"/>
        <v>5.6720000000000006</v>
      </c>
      <c r="CJ12" s="12">
        <f t="shared" si="31"/>
        <v>0.38611300204220561</v>
      </c>
      <c r="CK12" s="12">
        <f t="shared" si="32"/>
        <v>9.0179999999999989</v>
      </c>
      <c r="CL12" s="12">
        <f t="shared" si="33"/>
        <v>6.532</v>
      </c>
      <c r="CM12" s="12">
        <f t="shared" si="34"/>
        <v>0.4446562287270252</v>
      </c>
      <c r="CN12" s="12">
        <f t="shared" si="35"/>
        <v>8.1579999999999995</v>
      </c>
      <c r="CO12" s="12">
        <f t="shared" si="36"/>
        <v>5.9420000000000002</v>
      </c>
      <c r="CP12" s="12">
        <f t="shared" si="37"/>
        <v>0.40449285228046294</v>
      </c>
      <c r="CQ12" s="12">
        <f t="shared" si="38"/>
        <v>8.7479999999999993</v>
      </c>
      <c r="CR12" s="12">
        <f t="shared" si="39"/>
        <v>6.0486666666666666</v>
      </c>
      <c r="CS12" s="12">
        <f t="shared" si="40"/>
        <v>0.41175402768323122</v>
      </c>
      <c r="CT12" s="508">
        <f t="shared" si="41"/>
        <v>8.641333333333332</v>
      </c>
    </row>
    <row r="13" spans="1:98">
      <c r="A13" t="s">
        <v>1650</v>
      </c>
      <c r="B13" s="14">
        <v>44671</v>
      </c>
      <c r="C13">
        <v>14.54</v>
      </c>
      <c r="D13">
        <v>15.34</v>
      </c>
      <c r="E13">
        <v>0.79869999999999997</v>
      </c>
      <c r="F13">
        <v>14.05</v>
      </c>
      <c r="G13">
        <v>63.27</v>
      </c>
      <c r="H13">
        <v>49.22</v>
      </c>
      <c r="I13">
        <v>14.82</v>
      </c>
      <c r="J13">
        <v>14.89</v>
      </c>
      <c r="K13">
        <v>7.2900000000000006E-2</v>
      </c>
      <c r="L13" s="4">
        <v>11.07</v>
      </c>
      <c r="M13" s="4">
        <v>14.69</v>
      </c>
      <c r="N13" s="4">
        <v>3.6150000000000002</v>
      </c>
      <c r="O13" s="1">
        <v>38.56</v>
      </c>
      <c r="P13" s="1">
        <v>47.69</v>
      </c>
      <c r="Q13" s="1">
        <v>9.1280000000000001</v>
      </c>
      <c r="R13" s="2">
        <v>8.1920000000000002</v>
      </c>
      <c r="S13" s="2">
        <v>13.97</v>
      </c>
      <c r="T13" s="2">
        <v>5.7809999999999997</v>
      </c>
      <c r="U13" s="194">
        <v>2.3439999999999999</v>
      </c>
      <c r="V13" s="194">
        <v>3.0779999999999998</v>
      </c>
      <c r="W13" s="194">
        <v>0.7339</v>
      </c>
      <c r="X13" s="4">
        <v>10.62</v>
      </c>
      <c r="Y13" s="4">
        <v>62.93</v>
      </c>
      <c r="Z13" s="4">
        <v>52.31</v>
      </c>
      <c r="AA13" s="1">
        <v>5.3760000000000003</v>
      </c>
      <c r="AB13" s="1">
        <v>61.64</v>
      </c>
      <c r="AC13" s="1">
        <v>56.26</v>
      </c>
      <c r="AD13" s="2">
        <v>9.3490000000000002</v>
      </c>
      <c r="AE13" s="2">
        <v>62.43</v>
      </c>
      <c r="AF13" s="2">
        <v>53.08</v>
      </c>
      <c r="AG13" s="378">
        <v>-3.2130000000000001</v>
      </c>
      <c r="AH13" s="378">
        <v>46.47</v>
      </c>
      <c r="AI13" s="378">
        <v>49.68</v>
      </c>
      <c r="AJ13" s="4">
        <v>13.07</v>
      </c>
      <c r="AK13" s="4">
        <v>18.27</v>
      </c>
      <c r="AL13" s="4">
        <v>5.202</v>
      </c>
      <c r="AM13" s="1">
        <v>9.2289999999999992</v>
      </c>
      <c r="AN13" s="1">
        <v>14.66</v>
      </c>
      <c r="AO13" s="1">
        <v>5.4340000000000002</v>
      </c>
      <c r="AP13" s="2">
        <v>8.4269999999999996</v>
      </c>
      <c r="AQ13" s="2">
        <v>13.76</v>
      </c>
      <c r="AR13" s="2">
        <v>5.335</v>
      </c>
      <c r="AS13" s="127">
        <v>10.32</v>
      </c>
      <c r="AT13" s="127">
        <v>14.37</v>
      </c>
      <c r="AU13" s="127">
        <v>4.0419999999999998</v>
      </c>
      <c r="AV13" s="380">
        <v>2.0329999999999999</v>
      </c>
      <c r="AW13" s="380">
        <v>3.0179999999999998</v>
      </c>
      <c r="AX13" s="380">
        <v>0.98440000000000005</v>
      </c>
      <c r="BH13" s="65">
        <f t="shared" si="0"/>
        <v>7.5540000000000003</v>
      </c>
      <c r="BI13" s="65">
        <f t="shared" si="1"/>
        <v>0.51953232462173315</v>
      </c>
      <c r="BJ13" s="65">
        <f t="shared" si="2"/>
        <v>6.9859999999999989</v>
      </c>
      <c r="BK13" s="65">
        <f t="shared" si="3"/>
        <v>36.216000000000001</v>
      </c>
      <c r="BL13" s="65">
        <f t="shared" si="4"/>
        <v>2.4907840440165065</v>
      </c>
      <c r="BM13" s="65">
        <f t="shared" si="5"/>
        <v>-21.676000000000002</v>
      </c>
      <c r="BN13" s="65">
        <f t="shared" si="6"/>
        <v>5.8480000000000008</v>
      </c>
      <c r="BO13" s="65">
        <f t="shared" si="7"/>
        <v>0.40220082530949114</v>
      </c>
      <c r="BP13" s="65">
        <f t="shared" si="8"/>
        <v>8.6919999999999984</v>
      </c>
      <c r="BQ13" s="65">
        <f t="shared" si="9"/>
        <v>21.032</v>
      </c>
      <c r="BR13" s="65">
        <f t="shared" si="10"/>
        <v>1.4464924346629988</v>
      </c>
      <c r="BS13" s="509">
        <f t="shared" si="11"/>
        <v>-6.4920000000000009</v>
      </c>
      <c r="BT13" s="12">
        <f t="shared" si="24"/>
        <v>10.62</v>
      </c>
      <c r="BU13" s="12">
        <f t="shared" si="12"/>
        <v>0.75587188612099632</v>
      </c>
      <c r="BV13" s="12">
        <f t="shared" si="13"/>
        <v>3.4300000000000015</v>
      </c>
      <c r="BW13" s="12">
        <f t="shared" si="25"/>
        <v>5.3760000000000003</v>
      </c>
      <c r="BX13" s="12">
        <f t="shared" si="14"/>
        <v>0.38263345195729537</v>
      </c>
      <c r="BY13" s="12">
        <f t="shared" si="15"/>
        <v>8.6739999999999995</v>
      </c>
      <c r="BZ13" s="12">
        <f t="shared" si="26"/>
        <v>9.3490000000000002</v>
      </c>
      <c r="CA13" s="12">
        <f t="shared" si="16"/>
        <v>0.66540925266903916</v>
      </c>
      <c r="CB13" s="12">
        <f t="shared" si="17"/>
        <v>4.7010000000000005</v>
      </c>
      <c r="CC13" s="12">
        <f t="shared" si="18"/>
        <v>7.3625000000000007</v>
      </c>
      <c r="CD13" s="12">
        <f t="shared" si="19"/>
        <v>0.52402135231316727</v>
      </c>
      <c r="CE13" s="508">
        <f t="shared" si="20"/>
        <v>6.6875</v>
      </c>
      <c r="CF13" s="12">
        <f t="shared" si="27"/>
        <v>10.0205</v>
      </c>
      <c r="CG13" s="12">
        <f t="shared" si="28"/>
        <v>0.67614709851551957</v>
      </c>
      <c r="CH13" s="12">
        <f t="shared" si="29"/>
        <v>4.7995000000000001</v>
      </c>
      <c r="CI13" s="12">
        <f t="shared" si="30"/>
        <v>7.1959999999999997</v>
      </c>
      <c r="CJ13" s="12">
        <f t="shared" si="31"/>
        <v>0.48556005398110658</v>
      </c>
      <c r="CK13" s="12">
        <f t="shared" si="32"/>
        <v>7.6240000000000006</v>
      </c>
      <c r="CL13" s="12">
        <f t="shared" si="33"/>
        <v>6.3940000000000001</v>
      </c>
      <c r="CM13" s="12">
        <f t="shared" si="34"/>
        <v>0.43144399460188931</v>
      </c>
      <c r="CN13" s="12">
        <f t="shared" si="35"/>
        <v>8.4260000000000002</v>
      </c>
      <c r="CO13" s="12">
        <f t="shared" si="36"/>
        <v>8.2870000000000008</v>
      </c>
      <c r="CP13" s="12">
        <f t="shared" si="37"/>
        <v>0.55917678812415661</v>
      </c>
      <c r="CQ13" s="12">
        <f t="shared" si="38"/>
        <v>6.5329999999999995</v>
      </c>
      <c r="CR13" s="12">
        <f t="shared" si="39"/>
        <v>7.2923333333333344</v>
      </c>
      <c r="CS13" s="12">
        <f t="shared" si="40"/>
        <v>0.49206027890238424</v>
      </c>
      <c r="CT13" s="508">
        <f t="shared" si="41"/>
        <v>7.5276666666666658</v>
      </c>
    </row>
    <row r="15" spans="1:98">
      <c r="BH15" t="s">
        <v>227</v>
      </c>
      <c r="BI15" s="12">
        <f>AVERAGE(BI3:BI13)</f>
        <v>0.52651522111411431</v>
      </c>
      <c r="BL15" s="12">
        <f>AVERAGE(BL3:BL12)</f>
        <v>0.29664148765370058</v>
      </c>
      <c r="BO15" s="12">
        <f>AVERAGE(BO3:BO13)</f>
        <v>0.25869626526929729</v>
      </c>
      <c r="BR15" s="12">
        <f>AVERAGE(BR3:BR11)</f>
        <v>0.27617250437281293</v>
      </c>
      <c r="BT15" t="s">
        <v>227</v>
      </c>
      <c r="BU15" s="12">
        <f>AVERAGE(BU3:BU13)</f>
        <v>0.76699397149354176</v>
      </c>
      <c r="BX15" s="12">
        <f>AVERAGE(BX3:BX13)</f>
        <v>0.56750557593378415</v>
      </c>
      <c r="CA15" s="510">
        <v>0.78</v>
      </c>
      <c r="CD15" s="12">
        <f>AVERAGE(CD3:CD12)</f>
        <v>0.54266456281280429</v>
      </c>
      <c r="CF15" t="s">
        <v>227</v>
      </c>
      <c r="CG15" s="12">
        <f>AVERAGE(CG9:CG13)</f>
        <v>0.49623243168983339</v>
      </c>
      <c r="CJ15" s="12">
        <f>AVERAGE(CJ9:CJ13)</f>
        <v>0.42043138948554104</v>
      </c>
      <c r="CM15" s="12">
        <f>AVERAGE(CM9:CM13)</f>
        <v>0.41386717388208877</v>
      </c>
      <c r="CP15" s="12">
        <f>AVERAGE(CP9:CP13)</f>
        <v>0.47729352548972176</v>
      </c>
      <c r="CS15" s="12">
        <f>AVERAGE(CS9:CS13)</f>
        <v>0.43719736295245049</v>
      </c>
    </row>
    <row r="16" spans="1:98">
      <c r="BU16" s="12">
        <f>MEDIAN(BU3:BU13)</f>
        <v>0.82750836120401339</v>
      </c>
      <c r="CA16" s="12">
        <f>MEDIAN(CA3:CA13)</f>
        <v>0.59163144547759927</v>
      </c>
      <c r="CD16" s="12">
        <f>MEDIAN(CD3:CD13)</f>
        <v>0.52441471571906351</v>
      </c>
    </row>
    <row r="18" spans="61:61">
      <c r="BI18" t="s">
        <v>1875</v>
      </c>
    </row>
  </sheetData>
  <mergeCells count="21">
    <mergeCell ref="A1:A2"/>
    <mergeCell ref="B1:B2"/>
    <mergeCell ref="AP1:AR1"/>
    <mergeCell ref="I1:K1"/>
    <mergeCell ref="C1:E1"/>
    <mergeCell ref="F1:H1"/>
    <mergeCell ref="L1:N1"/>
    <mergeCell ref="O1:Q1"/>
    <mergeCell ref="AJ1:AL1"/>
    <mergeCell ref="AM1:AO1"/>
    <mergeCell ref="X1:Z1"/>
    <mergeCell ref="AA1:AC1"/>
    <mergeCell ref="AD1:AF1"/>
    <mergeCell ref="AG1:AI1"/>
    <mergeCell ref="BT1:CE1"/>
    <mergeCell ref="CF1:CT1"/>
    <mergeCell ref="BH1:BS1"/>
    <mergeCell ref="R1:T1"/>
    <mergeCell ref="U1:W1"/>
    <mergeCell ref="AS1:AU1"/>
    <mergeCell ref="AV1:AX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7228B-CA6F-8149-8906-0BAABF068D49}">
  <dimension ref="A1:DA9"/>
  <sheetViews>
    <sheetView workbookViewId="0">
      <pane xSplit="2" topLeftCell="C1" activePane="topRight" state="frozen"/>
      <selection pane="topRight" activeCell="R3" sqref="R3:R7"/>
    </sheetView>
  </sheetViews>
  <sheetFormatPr defaultColWidth="10.6640625" defaultRowHeight="15.5"/>
  <cols>
    <col min="73" max="73" width="10.83203125" style="33"/>
    <col min="82" max="82" width="10.83203125" style="33"/>
    <col min="91" max="91" width="10.83203125" style="33"/>
    <col min="98" max="98" width="10.83203125" style="33"/>
    <col min="105" max="105" width="10.83203125" style="33"/>
  </cols>
  <sheetData>
    <row r="1" spans="1:105">
      <c r="C1" t="s">
        <v>177</v>
      </c>
      <c r="F1" t="s">
        <v>178</v>
      </c>
      <c r="I1" t="s">
        <v>135</v>
      </c>
      <c r="L1" t="s">
        <v>1593</v>
      </c>
      <c r="O1" t="s">
        <v>1594</v>
      </c>
      <c r="R1" t="s">
        <v>1595</v>
      </c>
      <c r="U1" t="s">
        <v>1596</v>
      </c>
      <c r="X1" t="s">
        <v>1597</v>
      </c>
      <c r="AA1" t="s">
        <v>1652</v>
      </c>
      <c r="AD1" t="s">
        <v>1599</v>
      </c>
      <c r="AG1" t="s">
        <v>1600</v>
      </c>
      <c r="AJ1" t="s">
        <v>1601</v>
      </c>
      <c r="AM1" t="s">
        <v>1653</v>
      </c>
      <c r="AP1" t="s">
        <v>1603</v>
      </c>
      <c r="AS1" t="s">
        <v>1604</v>
      </c>
      <c r="AV1" t="s">
        <v>1605</v>
      </c>
      <c r="AY1" t="s">
        <v>1606</v>
      </c>
      <c r="BD1" t="s">
        <v>1655</v>
      </c>
      <c r="BK1" s="719" t="s">
        <v>1759</v>
      </c>
      <c r="BL1" s="719"/>
      <c r="BM1" s="719"/>
      <c r="BN1" s="719"/>
      <c r="BO1" s="719"/>
      <c r="BP1" s="719"/>
      <c r="BQ1" s="719"/>
      <c r="BR1" s="719"/>
      <c r="BS1" s="719"/>
      <c r="BT1" s="719"/>
      <c r="BU1" s="720"/>
      <c r="BV1" s="706" t="s">
        <v>1760</v>
      </c>
      <c r="BW1" s="707"/>
      <c r="BX1" s="707"/>
      <c r="BY1" s="707"/>
      <c r="BZ1" s="707"/>
      <c r="CA1" s="707"/>
      <c r="CB1" s="707"/>
      <c r="CC1" s="707"/>
      <c r="CD1" s="708"/>
      <c r="CE1" s="716" t="s">
        <v>1761</v>
      </c>
      <c r="CF1" s="717"/>
      <c r="CG1" s="717"/>
      <c r="CH1" s="717"/>
      <c r="CI1" s="717"/>
      <c r="CJ1" s="717"/>
      <c r="CK1" s="717"/>
      <c r="CL1" s="717"/>
      <c r="CM1" s="718"/>
      <c r="CN1" s="709" t="s">
        <v>1762</v>
      </c>
      <c r="CO1" s="692"/>
      <c r="CP1" s="692"/>
      <c r="CQ1" s="692"/>
      <c r="CR1" s="692"/>
      <c r="CS1" s="692"/>
      <c r="CT1" s="710"/>
      <c r="CU1" s="714" t="s">
        <v>1763</v>
      </c>
      <c r="CV1" s="695"/>
      <c r="CW1" s="695"/>
      <c r="CX1" s="695"/>
      <c r="CY1" s="695"/>
      <c r="CZ1" s="695"/>
      <c r="DA1" s="715"/>
    </row>
    <row r="2" spans="1:105" ht="62">
      <c r="A2" t="s">
        <v>213</v>
      </c>
      <c r="B2" t="s">
        <v>160</v>
      </c>
      <c r="C2" s="481" t="s">
        <v>219</v>
      </c>
      <c r="D2" s="481" t="s">
        <v>214</v>
      </c>
      <c r="E2" s="481" t="s">
        <v>215</v>
      </c>
      <c r="F2" s="485" t="s">
        <v>219</v>
      </c>
      <c r="G2" s="485" t="s">
        <v>214</v>
      </c>
      <c r="H2" s="485" t="s">
        <v>215</v>
      </c>
      <c r="I2" s="482" t="s">
        <v>219</v>
      </c>
      <c r="J2" s="482" t="s">
        <v>214</v>
      </c>
      <c r="K2" s="482" t="s">
        <v>215</v>
      </c>
      <c r="L2" s="483" t="s">
        <v>219</v>
      </c>
      <c r="M2" s="483" t="s">
        <v>214</v>
      </c>
      <c r="N2" s="483" t="s">
        <v>215</v>
      </c>
      <c r="O2" s="456" t="s">
        <v>219</v>
      </c>
      <c r="P2" s="456" t="s">
        <v>214</v>
      </c>
      <c r="Q2" s="456" t="s">
        <v>215</v>
      </c>
      <c r="R2" s="486" t="s">
        <v>219</v>
      </c>
      <c r="S2" s="486" t="s">
        <v>214</v>
      </c>
      <c r="T2" s="486" t="s">
        <v>215</v>
      </c>
      <c r="U2" s="494" t="s">
        <v>219</v>
      </c>
      <c r="V2" s="494" t="s">
        <v>214</v>
      </c>
      <c r="W2" s="494" t="s">
        <v>215</v>
      </c>
      <c r="X2" s="495" t="s">
        <v>219</v>
      </c>
      <c r="Y2" s="495" t="s">
        <v>214</v>
      </c>
      <c r="Z2" s="495" t="s">
        <v>215</v>
      </c>
      <c r="AA2" s="490" t="s">
        <v>219</v>
      </c>
      <c r="AB2" s="490" t="s">
        <v>214</v>
      </c>
      <c r="AC2" s="490" t="s">
        <v>215</v>
      </c>
      <c r="AD2" s="491" t="s">
        <v>219</v>
      </c>
      <c r="AE2" s="491" t="s">
        <v>214</v>
      </c>
      <c r="AF2" s="491" t="s">
        <v>215</v>
      </c>
      <c r="AG2" s="492" t="s">
        <v>219</v>
      </c>
      <c r="AH2" s="492" t="s">
        <v>214</v>
      </c>
      <c r="AI2" s="492" t="s">
        <v>215</v>
      </c>
      <c r="AJ2" s="493" t="s">
        <v>219</v>
      </c>
      <c r="AK2" s="493" t="s">
        <v>214</v>
      </c>
      <c r="AL2" s="493" t="s">
        <v>215</v>
      </c>
      <c r="AM2" s="487" t="s">
        <v>219</v>
      </c>
      <c r="AN2" s="487" t="s">
        <v>214</v>
      </c>
      <c r="AO2" s="487" t="s">
        <v>215</v>
      </c>
      <c r="AP2" s="488" t="s">
        <v>219</v>
      </c>
      <c r="AQ2" s="488" t="s">
        <v>214</v>
      </c>
      <c r="AR2" s="488" t="s">
        <v>215</v>
      </c>
      <c r="AS2" s="489" t="s">
        <v>219</v>
      </c>
      <c r="AT2" s="489" t="s">
        <v>214</v>
      </c>
      <c r="AU2" s="489" t="s">
        <v>215</v>
      </c>
      <c r="AV2" s="483" t="s">
        <v>219</v>
      </c>
      <c r="AW2" s="483" t="s">
        <v>214</v>
      </c>
      <c r="AX2" s="483" t="s">
        <v>215</v>
      </c>
      <c r="AY2" s="484" t="s">
        <v>219</v>
      </c>
      <c r="AZ2" s="484" t="s">
        <v>214</v>
      </c>
      <c r="BA2" s="484" t="s">
        <v>215</v>
      </c>
      <c r="BD2" s="27" t="s">
        <v>1476</v>
      </c>
      <c r="BE2" s="27" t="s">
        <v>1477</v>
      </c>
      <c r="BF2" s="27" t="s">
        <v>1478</v>
      </c>
      <c r="BG2" s="27" t="s">
        <v>255</v>
      </c>
      <c r="BH2" s="27" t="s">
        <v>1479</v>
      </c>
      <c r="BJ2" s="506"/>
      <c r="BK2" s="506" t="s">
        <v>1718</v>
      </c>
      <c r="BL2" s="506" t="s">
        <v>1719</v>
      </c>
      <c r="BM2" s="506" t="s">
        <v>1720</v>
      </c>
      <c r="BN2" s="506" t="s">
        <v>1721</v>
      </c>
      <c r="BO2" s="506" t="s">
        <v>1722</v>
      </c>
      <c r="BP2" s="506" t="s">
        <v>1723</v>
      </c>
      <c r="BQ2" s="506" t="s">
        <v>1724</v>
      </c>
      <c r="BR2" s="506" t="s">
        <v>1725</v>
      </c>
      <c r="BS2" s="506" t="s">
        <v>1726</v>
      </c>
      <c r="BT2" s="506" t="s">
        <v>1727</v>
      </c>
      <c r="BU2" s="507" t="s">
        <v>1689</v>
      </c>
      <c r="BV2" s="27" t="s">
        <v>1728</v>
      </c>
      <c r="BW2" s="27" t="s">
        <v>1729</v>
      </c>
      <c r="BX2" s="27" t="s">
        <v>1730</v>
      </c>
      <c r="BY2" s="27" t="s">
        <v>1731</v>
      </c>
      <c r="BZ2" s="27" t="s">
        <v>1732</v>
      </c>
      <c r="CA2" s="27" t="s">
        <v>1733</v>
      </c>
      <c r="CB2" s="27" t="s">
        <v>1734</v>
      </c>
      <c r="CC2" s="27" t="s">
        <v>1735</v>
      </c>
      <c r="CD2" s="505" t="s">
        <v>1689</v>
      </c>
      <c r="CE2" s="511" t="s">
        <v>1736</v>
      </c>
      <c r="CF2" s="511" t="s">
        <v>1737</v>
      </c>
      <c r="CG2" s="511" t="s">
        <v>1744</v>
      </c>
      <c r="CH2" s="511" t="s">
        <v>1745</v>
      </c>
      <c r="CI2" s="511" t="s">
        <v>1746</v>
      </c>
      <c r="CJ2" s="511" t="s">
        <v>1747</v>
      </c>
      <c r="CK2" s="511" t="s">
        <v>1748</v>
      </c>
      <c r="CL2" s="511" t="s">
        <v>1738</v>
      </c>
      <c r="CM2" s="505" t="s">
        <v>1739</v>
      </c>
      <c r="CN2" s="511" t="s">
        <v>1740</v>
      </c>
      <c r="CO2" s="511" t="s">
        <v>1741</v>
      </c>
      <c r="CP2" s="511" t="s">
        <v>1742</v>
      </c>
      <c r="CQ2" s="511" t="s">
        <v>1743</v>
      </c>
      <c r="CR2" s="511" t="s">
        <v>1749</v>
      </c>
      <c r="CS2" s="511" t="s">
        <v>1750</v>
      </c>
      <c r="CT2" s="505" t="s">
        <v>1751</v>
      </c>
      <c r="CU2" s="511" t="s">
        <v>1752</v>
      </c>
      <c r="CV2" s="511" t="s">
        <v>1753</v>
      </c>
      <c r="CW2" s="511" t="s">
        <v>1754</v>
      </c>
      <c r="CX2" s="511" t="s">
        <v>1755</v>
      </c>
      <c r="CY2" s="511" t="s">
        <v>1756</v>
      </c>
      <c r="CZ2" s="511" t="s">
        <v>1757</v>
      </c>
      <c r="DA2" s="505" t="s">
        <v>1758</v>
      </c>
    </row>
    <row r="3" spans="1:105">
      <c r="A3" t="s">
        <v>1654</v>
      </c>
      <c r="B3" s="14">
        <v>44694</v>
      </c>
      <c r="C3">
        <v>16.739999999999998</v>
      </c>
      <c r="D3">
        <v>16.420000000000002</v>
      </c>
      <c r="E3">
        <v>-0.32090000000000002</v>
      </c>
      <c r="F3">
        <v>17.239999999999998</v>
      </c>
      <c r="G3">
        <v>16.989999999999998</v>
      </c>
      <c r="H3">
        <v>-0.25109999999999999</v>
      </c>
      <c r="I3">
        <v>12.76</v>
      </c>
      <c r="J3">
        <v>66.569999999999993</v>
      </c>
      <c r="K3">
        <v>53.8</v>
      </c>
      <c r="L3">
        <v>6.0270000000000001</v>
      </c>
      <c r="M3">
        <v>65.16</v>
      </c>
      <c r="N3">
        <v>59.13</v>
      </c>
      <c r="O3">
        <v>2.9129999999999998</v>
      </c>
      <c r="P3">
        <v>63.83</v>
      </c>
      <c r="Q3">
        <v>60.91</v>
      </c>
      <c r="R3">
        <v>5.45</v>
      </c>
      <c r="S3">
        <v>63.89</v>
      </c>
      <c r="T3">
        <v>58.44</v>
      </c>
      <c r="U3">
        <v>6.6360000000000001</v>
      </c>
      <c r="V3">
        <v>65.489999999999995</v>
      </c>
      <c r="W3">
        <v>58.85</v>
      </c>
      <c r="X3">
        <v>4.5990000000000002</v>
      </c>
      <c r="Y3">
        <v>65.63</v>
      </c>
      <c r="Z3">
        <v>61.03</v>
      </c>
      <c r="AA3">
        <v>8.7590000000000003</v>
      </c>
      <c r="AB3">
        <v>14.79</v>
      </c>
      <c r="AC3">
        <v>6.0350000000000001</v>
      </c>
      <c r="AD3">
        <v>7.3150000000000004</v>
      </c>
      <c r="AE3">
        <v>13.91</v>
      </c>
      <c r="AF3">
        <v>6.5970000000000004</v>
      </c>
      <c r="AG3">
        <v>8.0960000000000001</v>
      </c>
      <c r="AH3">
        <v>14.47</v>
      </c>
      <c r="AI3">
        <v>6.3710000000000004</v>
      </c>
      <c r="AJ3">
        <v>6.7869999999999999</v>
      </c>
      <c r="AK3">
        <v>14.05</v>
      </c>
      <c r="AL3">
        <v>7.2679999999999998</v>
      </c>
      <c r="AM3">
        <v>8.6340000000000003</v>
      </c>
      <c r="AN3">
        <v>15.79</v>
      </c>
      <c r="AO3">
        <v>7.1550000000000002</v>
      </c>
      <c r="AP3">
        <v>8.0660000000000007</v>
      </c>
      <c r="AQ3">
        <v>15.6</v>
      </c>
      <c r="AR3">
        <v>7.5380000000000003</v>
      </c>
      <c r="AS3">
        <v>7.6719999999999997</v>
      </c>
      <c r="AT3">
        <v>13.46</v>
      </c>
      <c r="AU3">
        <v>5.7859999999999996</v>
      </c>
      <c r="AV3">
        <v>5.9370000000000003</v>
      </c>
      <c r="AW3">
        <v>12.82</v>
      </c>
      <c r="AX3">
        <v>6.8879999999999999</v>
      </c>
      <c r="AY3">
        <v>6.6619999999999999</v>
      </c>
      <c r="AZ3">
        <v>14</v>
      </c>
      <c r="BA3">
        <v>7.34</v>
      </c>
      <c r="BD3">
        <v>4.0250000000000004</v>
      </c>
      <c r="BE3">
        <v>2.71</v>
      </c>
      <c r="BF3">
        <v>-1.31</v>
      </c>
      <c r="BG3">
        <v>5.6559999999999997</v>
      </c>
      <c r="BH3">
        <v>4.2149999999999999</v>
      </c>
      <c r="BK3" s="12">
        <f>AA3/F3</f>
        <v>0.50806264501160103</v>
      </c>
      <c r="BL3" s="12">
        <f>F3-AA3</f>
        <v>8.4809999999999981</v>
      </c>
      <c r="BM3" s="12">
        <f>AD3/F3</f>
        <v>0.4243039443155453</v>
      </c>
      <c r="BN3" s="12">
        <f>F3-AD3</f>
        <v>9.9249999999999972</v>
      </c>
      <c r="BO3" s="12">
        <f>AG3/F3</f>
        <v>0.46960556844547569</v>
      </c>
      <c r="BP3" s="12">
        <f>F3-AG3</f>
        <v>9.1439999999999984</v>
      </c>
      <c r="BQ3" s="12">
        <f>AJ3/F3</f>
        <v>0.39367749419953602</v>
      </c>
      <c r="BR3" s="12">
        <f>F3-AJ3</f>
        <v>10.452999999999999</v>
      </c>
      <c r="BS3" s="12">
        <f>(AD3+AG3+AJ3)/3</f>
        <v>7.3993333333333338</v>
      </c>
      <c r="BT3" s="12">
        <f>BS3/F3</f>
        <v>0.42919566898685235</v>
      </c>
      <c r="BU3" s="508">
        <f>F3-BS3</f>
        <v>9.8406666666666638</v>
      </c>
      <c r="BV3" s="12">
        <f>AM3/I3</f>
        <v>0.67664576802507836</v>
      </c>
      <c r="BW3" s="12">
        <f>I3-AM3</f>
        <v>4.1259999999999994</v>
      </c>
      <c r="BX3" s="12">
        <f>AP3/I3</f>
        <v>0.63213166144200639</v>
      </c>
      <c r="BY3" s="12">
        <f>I3-AP3</f>
        <v>4.6939999999999991</v>
      </c>
      <c r="BZ3" s="12">
        <f>AS3/I3</f>
        <v>0.60125391849529775</v>
      </c>
      <c r="CA3" s="12">
        <f>I3-AS3</f>
        <v>5.0880000000000001</v>
      </c>
      <c r="CB3" s="12">
        <f>(AP3+AS3)/2</f>
        <v>7.8689999999999998</v>
      </c>
      <c r="CC3" s="12">
        <f>CB3/I3</f>
        <v>0.61669278996865207</v>
      </c>
      <c r="CD3" s="508">
        <f>I3-CB3</f>
        <v>4.891</v>
      </c>
      <c r="CE3" s="12">
        <f>L3/C3</f>
        <v>0.36003584229390684</v>
      </c>
      <c r="CF3" s="12">
        <f>C3-L3</f>
        <v>10.712999999999997</v>
      </c>
      <c r="CG3" s="12">
        <f>O3/C3</f>
        <v>0.17401433691756274</v>
      </c>
      <c r="CH3" s="12">
        <f>C3-O3</f>
        <v>13.826999999999998</v>
      </c>
      <c r="CI3" s="12">
        <f>R3/C3</f>
        <v>0.32556750298685788</v>
      </c>
      <c r="CJ3" s="12">
        <f>C3-R3</f>
        <v>11.29</v>
      </c>
      <c r="CK3" s="12">
        <f>(L3+O3+R3)/3</f>
        <v>4.7966666666666669</v>
      </c>
      <c r="CL3" s="12">
        <f>CK3/C3</f>
        <v>0.28653922739944249</v>
      </c>
      <c r="CM3" s="508">
        <f>C3-CK3</f>
        <v>11.943333333333332</v>
      </c>
      <c r="CN3" s="12">
        <f>AV3/I3</f>
        <v>0.46528213166144206</v>
      </c>
      <c r="CO3" s="12">
        <f>I3-AV3</f>
        <v>6.8229999999999995</v>
      </c>
      <c r="CP3" s="12">
        <f>AY3/I3</f>
        <v>0.52210031347962382</v>
      </c>
      <c r="CQ3" s="12">
        <f>I3-AY3</f>
        <v>6.0979999999999999</v>
      </c>
      <c r="CR3" s="12">
        <f>(AV3+AY3)/2</f>
        <v>6.2995000000000001</v>
      </c>
      <c r="CS3" s="12">
        <f>CR3/I3</f>
        <v>0.49369122257053294</v>
      </c>
      <c r="CT3" s="508">
        <f>I3-CR3</f>
        <v>6.4604999999999997</v>
      </c>
      <c r="CU3" s="12">
        <f>U3/C3</f>
        <v>0.39641577060931904</v>
      </c>
      <c r="CV3" s="12">
        <f>C3-U3</f>
        <v>10.103999999999999</v>
      </c>
      <c r="CW3" s="12">
        <f>X3/C3</f>
        <v>0.27473118279569897</v>
      </c>
      <c r="CX3" s="12">
        <f>C3-X3</f>
        <v>12.140999999999998</v>
      </c>
      <c r="CY3" s="12">
        <f>(U3+X3)/2</f>
        <v>5.6174999999999997</v>
      </c>
      <c r="CZ3" s="12">
        <f>CY3/C3</f>
        <v>0.33557347670250898</v>
      </c>
      <c r="DA3" s="508">
        <f>C3-CY3</f>
        <v>11.122499999999999</v>
      </c>
    </row>
    <row r="4" spans="1:105">
      <c r="A4" t="s">
        <v>1654</v>
      </c>
      <c r="B4" s="14">
        <v>44697</v>
      </c>
      <c r="C4">
        <v>15.86</v>
      </c>
      <c r="D4">
        <v>15.53</v>
      </c>
      <c r="E4">
        <v>-0.32829999999999998</v>
      </c>
      <c r="F4">
        <v>16.32</v>
      </c>
      <c r="G4">
        <v>15.91</v>
      </c>
      <c r="H4">
        <v>-0.41339999999999999</v>
      </c>
      <c r="I4">
        <v>15.41</v>
      </c>
      <c r="J4">
        <v>64.67</v>
      </c>
      <c r="K4">
        <v>49.26</v>
      </c>
      <c r="L4">
        <v>7.0419999999999998</v>
      </c>
      <c r="M4">
        <v>63.52</v>
      </c>
      <c r="N4">
        <v>56.48</v>
      </c>
      <c r="O4">
        <v>6.2560000000000002</v>
      </c>
      <c r="P4">
        <v>63.3</v>
      </c>
      <c r="Q4">
        <v>57.04</v>
      </c>
      <c r="R4">
        <v>3.8239999999999998</v>
      </c>
      <c r="S4">
        <v>62.28</v>
      </c>
      <c r="T4">
        <v>58.46</v>
      </c>
      <c r="U4">
        <v>4.0830000000000002</v>
      </c>
      <c r="V4">
        <v>62.99</v>
      </c>
      <c r="W4">
        <v>58.91</v>
      </c>
      <c r="X4">
        <v>4.82</v>
      </c>
      <c r="Y4">
        <v>62.94</v>
      </c>
      <c r="Z4">
        <v>58.12</v>
      </c>
      <c r="AA4">
        <v>9.843</v>
      </c>
      <c r="AB4">
        <v>15.97</v>
      </c>
      <c r="AC4">
        <v>6.1219999999999999</v>
      </c>
      <c r="AD4">
        <v>11.58</v>
      </c>
      <c r="AE4">
        <v>17.32</v>
      </c>
      <c r="AF4">
        <v>5.7389999999999999</v>
      </c>
      <c r="AG4">
        <v>12.4</v>
      </c>
      <c r="AH4">
        <v>17.34</v>
      </c>
      <c r="AI4">
        <v>4.9400000000000004</v>
      </c>
      <c r="AJ4">
        <v>1.74</v>
      </c>
      <c r="AK4">
        <v>18.11</v>
      </c>
      <c r="AL4">
        <v>6.3659999999999997</v>
      </c>
      <c r="AM4">
        <v>8</v>
      </c>
      <c r="AN4">
        <v>15.88</v>
      </c>
      <c r="AO4">
        <v>7.8769999999999998</v>
      </c>
      <c r="AP4">
        <v>7.0629999999999997</v>
      </c>
      <c r="AQ4">
        <v>13.52</v>
      </c>
      <c r="AR4">
        <v>6.4610000000000003</v>
      </c>
      <c r="AS4">
        <v>7.1</v>
      </c>
      <c r="AT4">
        <v>13.59</v>
      </c>
      <c r="AU4">
        <v>6.4859999999999998</v>
      </c>
      <c r="AV4">
        <v>6.0430000000000001</v>
      </c>
      <c r="AW4">
        <v>13.05</v>
      </c>
      <c r="AX4">
        <v>7.0069999999999997</v>
      </c>
      <c r="AY4">
        <v>6.8979999999999997</v>
      </c>
      <c r="AZ4">
        <v>13.36</v>
      </c>
      <c r="BA4">
        <v>6.4569999999999999</v>
      </c>
      <c r="BD4">
        <v>2.4239999999999999</v>
      </c>
      <c r="BE4">
        <v>2.2589999999999999</v>
      </c>
      <c r="BF4">
        <v>-1.2649999999999999</v>
      </c>
      <c r="BG4">
        <v>5.4009999999999998</v>
      </c>
      <c r="BH4">
        <v>6.391</v>
      </c>
      <c r="BK4" s="12">
        <f t="shared" ref="BK4:BK7" si="0">AA4/F4</f>
        <v>0.60312500000000002</v>
      </c>
      <c r="BL4" s="12">
        <f t="shared" ref="BL4:BL7" si="1">F4-AA4</f>
        <v>6.4770000000000003</v>
      </c>
      <c r="BM4" s="12">
        <f t="shared" ref="BM4:BM7" si="2">AD4/F4</f>
        <v>0.7095588235294118</v>
      </c>
      <c r="BN4" s="12">
        <f t="shared" ref="BN4:BN7" si="3">F4-AD4</f>
        <v>4.74</v>
      </c>
      <c r="BO4" s="12">
        <f t="shared" ref="BO4:BO7" si="4">AG4/F4</f>
        <v>0.75980392156862742</v>
      </c>
      <c r="BP4" s="12">
        <f t="shared" ref="BP4:BP7" si="5">F4-AG4</f>
        <v>3.92</v>
      </c>
      <c r="BQ4" s="12">
        <f t="shared" ref="BQ4:BQ7" si="6">AJ4/F4</f>
        <v>0.10661764705882353</v>
      </c>
      <c r="BR4" s="12">
        <f t="shared" ref="BR4:BR7" si="7">F4-AJ4</f>
        <v>14.58</v>
      </c>
      <c r="BS4" s="12">
        <f t="shared" ref="BS4:BS7" si="8">(AD4+AG4+AJ4)/3</f>
        <v>8.5733333333333324</v>
      </c>
      <c r="BT4" s="12">
        <f t="shared" ref="BT4:BT7" si="9">BS4/F4</f>
        <v>0.52532679738562083</v>
      </c>
      <c r="BU4" s="508">
        <f t="shared" ref="BU4:BU7" si="10">F4-BS4</f>
        <v>7.7466666666666679</v>
      </c>
      <c r="BV4" s="12">
        <f t="shared" ref="BV4:BV7" si="11">AM4/I4</f>
        <v>0.5191434133679429</v>
      </c>
      <c r="BW4" s="12">
        <f t="shared" ref="BW4:BW7" si="12">I4-AM4</f>
        <v>7.41</v>
      </c>
      <c r="BX4" s="12">
        <f t="shared" ref="BX4:BX7" si="13">AP4/I4</f>
        <v>0.45833874107722256</v>
      </c>
      <c r="BY4" s="12">
        <f t="shared" ref="BY4:BY7" si="14">I4-AP4</f>
        <v>8.3470000000000013</v>
      </c>
      <c r="BZ4" s="12">
        <f t="shared" ref="BZ4:BZ7" si="15">AS4/I4</f>
        <v>0.46073977936404931</v>
      </c>
      <c r="CA4" s="12">
        <f t="shared" ref="CA4:CA7" si="16">I4-AS4</f>
        <v>8.31</v>
      </c>
      <c r="CB4" s="12">
        <f t="shared" ref="CB4:CB7" si="17">(AP4+AS4)/2</f>
        <v>7.0815000000000001</v>
      </c>
      <c r="CC4" s="12">
        <f t="shared" ref="CC4:CC7" si="18">CB4/I4</f>
        <v>0.45953926022063596</v>
      </c>
      <c r="CD4" s="508">
        <f t="shared" ref="CD4:CD7" si="19">I4-CB4</f>
        <v>8.3285</v>
      </c>
      <c r="CE4" s="12">
        <f t="shared" ref="CE4:CE7" si="20">L4/C4</f>
        <v>0.44401008827238336</v>
      </c>
      <c r="CF4" s="12">
        <f t="shared" ref="CF4:CF7" si="21">C4-L4</f>
        <v>8.8179999999999996</v>
      </c>
      <c r="CG4" s="12">
        <f t="shared" ref="CG4:CG7" si="22">O4/C4</f>
        <v>0.39445145018915512</v>
      </c>
      <c r="CH4" s="12">
        <f t="shared" ref="CH4:CH7" si="23">C4-O4</f>
        <v>9.6039999999999992</v>
      </c>
      <c r="CI4" s="12">
        <f t="shared" ref="CI4:CI7" si="24">R4/C4</f>
        <v>0.24110970996216899</v>
      </c>
      <c r="CJ4" s="12">
        <f t="shared" ref="CJ4:CJ7" si="25">C4-R4</f>
        <v>12.036</v>
      </c>
      <c r="CK4" s="12">
        <f t="shared" ref="CK4:CK7" si="26">(L4+O4+R4)/3</f>
        <v>5.7073333333333336</v>
      </c>
      <c r="CL4" s="12">
        <f t="shared" ref="CL4:CL7" si="27">CK4/C4</f>
        <v>0.35985708280790252</v>
      </c>
      <c r="CM4" s="508">
        <f t="shared" ref="CM4:CM7" si="28">C4-CK4</f>
        <v>10.152666666666665</v>
      </c>
      <c r="CN4" s="12">
        <f t="shared" ref="CN4:CN7" si="29">AV4/I4</f>
        <v>0.39214795587280987</v>
      </c>
      <c r="CO4" s="12">
        <f t="shared" ref="CO4:CO7" si="30">I4-AV4</f>
        <v>9.3670000000000009</v>
      </c>
      <c r="CP4" s="12">
        <f t="shared" ref="CP4:CP7" si="31">AY4/I4</f>
        <v>0.44763140817650876</v>
      </c>
      <c r="CQ4" s="12">
        <f t="shared" ref="CQ4:CQ7" si="32">I4-AY4</f>
        <v>8.5120000000000005</v>
      </c>
      <c r="CR4" s="12">
        <f t="shared" ref="CR4:CR7" si="33">(AV4+AY4)/2</f>
        <v>6.4704999999999995</v>
      </c>
      <c r="CS4" s="12">
        <f t="shared" ref="CS4:CS7" si="34">CR4/I4</f>
        <v>0.41988968202465926</v>
      </c>
      <c r="CT4" s="508">
        <f t="shared" ref="CT4:CT7" si="35">I4-CR4</f>
        <v>8.9395000000000007</v>
      </c>
      <c r="CU4" s="12">
        <f t="shared" ref="CU4:CU7" si="36">U4/C4</f>
        <v>0.25744010088272384</v>
      </c>
      <c r="CV4" s="12">
        <f t="shared" ref="CV4:CV7" si="37">C4-U4</f>
        <v>11.776999999999999</v>
      </c>
      <c r="CW4" s="12">
        <f t="shared" ref="CW4:CW7" si="38">X4/C4</f>
        <v>0.30390920554854983</v>
      </c>
      <c r="CX4" s="12">
        <f t="shared" ref="CX4:CX7" si="39">C4-X4</f>
        <v>11.04</v>
      </c>
      <c r="CY4" s="12">
        <f t="shared" ref="CY4:CY7" si="40">(U4+X4)/2</f>
        <v>4.4515000000000002</v>
      </c>
      <c r="CZ4" s="12">
        <f t="shared" ref="CZ4:CZ7" si="41">CY4/C4</f>
        <v>0.28067465321563684</v>
      </c>
      <c r="DA4" s="508">
        <f t="shared" ref="DA4:DA7" si="42">C4-CY4</f>
        <v>11.4085</v>
      </c>
    </row>
    <row r="5" spans="1:105">
      <c r="A5" t="s">
        <v>1654</v>
      </c>
      <c r="B5" s="14">
        <v>44700</v>
      </c>
      <c r="C5">
        <v>14.82</v>
      </c>
      <c r="D5">
        <v>14.59</v>
      </c>
      <c r="E5">
        <v>-0.22989999999999999</v>
      </c>
      <c r="F5">
        <v>15.43</v>
      </c>
      <c r="G5">
        <v>15.06</v>
      </c>
      <c r="H5">
        <v>-0.3649</v>
      </c>
      <c r="I5">
        <v>11.11</v>
      </c>
      <c r="J5">
        <v>60.04</v>
      </c>
      <c r="K5">
        <v>48.93</v>
      </c>
      <c r="L5">
        <v>7.4960000000000004</v>
      </c>
      <c r="M5">
        <v>59.9</v>
      </c>
      <c r="N5">
        <v>52.4</v>
      </c>
      <c r="O5">
        <v>6.2649999999999997</v>
      </c>
      <c r="P5">
        <v>59.43</v>
      </c>
      <c r="Q5">
        <v>53.17</v>
      </c>
      <c r="R5">
        <v>3.03</v>
      </c>
      <c r="S5">
        <v>58.95</v>
      </c>
      <c r="T5">
        <v>55.92</v>
      </c>
      <c r="U5">
        <v>4.5279999999999996</v>
      </c>
      <c r="V5">
        <v>60.52</v>
      </c>
      <c r="W5">
        <v>55.99</v>
      </c>
      <c r="X5">
        <v>4.1459999999999999</v>
      </c>
      <c r="Y5">
        <v>60.34</v>
      </c>
      <c r="Z5">
        <v>56.19</v>
      </c>
      <c r="AA5">
        <v>8.83</v>
      </c>
      <c r="AB5">
        <v>13.26</v>
      </c>
      <c r="AC5">
        <v>4.4290000000000003</v>
      </c>
      <c r="AD5">
        <v>9.0909999999999993</v>
      </c>
      <c r="AE5">
        <v>13.97</v>
      </c>
      <c r="AF5">
        <v>4.875</v>
      </c>
      <c r="AG5">
        <v>9.1440000000000001</v>
      </c>
      <c r="AH5">
        <v>13.47</v>
      </c>
      <c r="AI5">
        <v>4.327</v>
      </c>
      <c r="AJ5">
        <v>9.8940000000000001</v>
      </c>
      <c r="AK5">
        <v>14</v>
      </c>
      <c r="AL5">
        <v>4.109</v>
      </c>
      <c r="AM5">
        <v>8.2189999999999994</v>
      </c>
      <c r="AN5">
        <v>15.41</v>
      </c>
      <c r="AO5">
        <v>7.1870000000000003</v>
      </c>
      <c r="AP5">
        <v>6.9550000000000001</v>
      </c>
      <c r="AQ5">
        <v>13.46</v>
      </c>
      <c r="AR5">
        <v>6.5090000000000003</v>
      </c>
      <c r="AS5">
        <v>7.9960000000000004</v>
      </c>
      <c r="AT5">
        <v>14.28</v>
      </c>
      <c r="AU5">
        <v>6.2869999999999999</v>
      </c>
      <c r="AV5">
        <v>5.5339999999999998</v>
      </c>
      <c r="AW5">
        <v>12.77</v>
      </c>
      <c r="AX5">
        <v>7.2409999999999997</v>
      </c>
      <c r="AY5">
        <v>7.2279999999999998</v>
      </c>
      <c r="AZ5">
        <v>13.93</v>
      </c>
      <c r="BA5">
        <v>6.7050000000000001</v>
      </c>
      <c r="BK5" s="12">
        <f t="shared" si="0"/>
        <v>0.57226182760855482</v>
      </c>
      <c r="BL5" s="12">
        <f t="shared" si="1"/>
        <v>6.6</v>
      </c>
      <c r="BM5" s="12">
        <f t="shared" si="2"/>
        <v>0.58917692806221644</v>
      </c>
      <c r="BN5" s="12">
        <f t="shared" si="3"/>
        <v>6.3390000000000004</v>
      </c>
      <c r="BO5" s="12">
        <f t="shared" si="4"/>
        <v>0.59261179520414775</v>
      </c>
      <c r="BP5" s="12">
        <f t="shared" si="5"/>
        <v>6.2859999999999996</v>
      </c>
      <c r="BQ5" s="12">
        <f t="shared" si="6"/>
        <v>0.64121840570317568</v>
      </c>
      <c r="BR5" s="12">
        <f t="shared" si="7"/>
        <v>5.5359999999999996</v>
      </c>
      <c r="BS5" s="12">
        <f t="shared" si="8"/>
        <v>9.3763333333333332</v>
      </c>
      <c r="BT5" s="12">
        <f t="shared" si="9"/>
        <v>0.60766904298984659</v>
      </c>
      <c r="BU5" s="508">
        <f t="shared" si="10"/>
        <v>6.0536666666666665</v>
      </c>
      <c r="BV5" s="12">
        <f t="shared" si="11"/>
        <v>0.73978397839783971</v>
      </c>
      <c r="BW5" s="12">
        <f t="shared" si="12"/>
        <v>2.891</v>
      </c>
      <c r="BX5" s="12">
        <f t="shared" si="13"/>
        <v>0.62601260126012603</v>
      </c>
      <c r="BY5" s="12">
        <f t="shared" si="14"/>
        <v>4.1549999999999994</v>
      </c>
      <c r="BZ5" s="12">
        <f t="shared" si="15"/>
        <v>0.71971197119711983</v>
      </c>
      <c r="CA5" s="12">
        <f t="shared" si="16"/>
        <v>3.113999999999999</v>
      </c>
      <c r="CB5" s="12">
        <f t="shared" si="17"/>
        <v>7.4755000000000003</v>
      </c>
      <c r="CC5" s="12">
        <f t="shared" si="18"/>
        <v>0.67286228622862287</v>
      </c>
      <c r="CD5" s="508">
        <f t="shared" si="19"/>
        <v>3.6344999999999992</v>
      </c>
      <c r="CE5" s="12">
        <f t="shared" si="20"/>
        <v>0.50580296896086374</v>
      </c>
      <c r="CF5" s="12">
        <f t="shared" si="21"/>
        <v>7.3239999999999998</v>
      </c>
      <c r="CG5" s="12">
        <f t="shared" si="22"/>
        <v>0.42273954116059376</v>
      </c>
      <c r="CH5" s="12">
        <f t="shared" si="23"/>
        <v>8.5549999999999997</v>
      </c>
      <c r="CI5" s="12">
        <f t="shared" si="24"/>
        <v>0.20445344129554655</v>
      </c>
      <c r="CJ5" s="12">
        <f t="shared" si="25"/>
        <v>11.790000000000001</v>
      </c>
      <c r="CK5" s="12">
        <f t="shared" si="26"/>
        <v>5.5970000000000004</v>
      </c>
      <c r="CL5" s="12">
        <f t="shared" si="27"/>
        <v>0.37766531713900137</v>
      </c>
      <c r="CM5" s="508">
        <f t="shared" si="28"/>
        <v>9.222999999999999</v>
      </c>
      <c r="CN5" s="12">
        <f t="shared" si="29"/>
        <v>0.49810981098109813</v>
      </c>
      <c r="CO5" s="12">
        <f t="shared" si="30"/>
        <v>5.5759999999999996</v>
      </c>
      <c r="CP5" s="12">
        <f t="shared" si="31"/>
        <v>0.65058505850585058</v>
      </c>
      <c r="CQ5" s="12">
        <f t="shared" si="32"/>
        <v>3.8819999999999997</v>
      </c>
      <c r="CR5" s="12">
        <f t="shared" si="33"/>
        <v>6.3810000000000002</v>
      </c>
      <c r="CS5" s="12">
        <f t="shared" si="34"/>
        <v>0.57434743474347438</v>
      </c>
      <c r="CT5" s="508">
        <f t="shared" si="35"/>
        <v>4.7289999999999992</v>
      </c>
      <c r="CU5" s="12">
        <f t="shared" si="36"/>
        <v>0.30553306342780023</v>
      </c>
      <c r="CV5" s="12">
        <f t="shared" si="37"/>
        <v>10.292000000000002</v>
      </c>
      <c r="CW5" s="12">
        <f t="shared" si="38"/>
        <v>0.27975708502024288</v>
      </c>
      <c r="CX5" s="12">
        <f t="shared" si="39"/>
        <v>10.673999999999999</v>
      </c>
      <c r="CY5" s="12">
        <f t="shared" si="40"/>
        <v>4.3369999999999997</v>
      </c>
      <c r="CZ5" s="12">
        <f t="shared" si="41"/>
        <v>0.29264507422402158</v>
      </c>
      <c r="DA5" s="508">
        <f t="shared" si="42"/>
        <v>10.483000000000001</v>
      </c>
    </row>
    <row r="6" spans="1:105">
      <c r="A6" t="s">
        <v>1654</v>
      </c>
      <c r="B6" s="14">
        <v>44704</v>
      </c>
      <c r="C6">
        <v>15.35</v>
      </c>
      <c r="D6">
        <v>15.29</v>
      </c>
      <c r="E6">
        <v>-5.91E-2</v>
      </c>
      <c r="F6">
        <v>15.42</v>
      </c>
      <c r="G6">
        <v>15.45</v>
      </c>
      <c r="H6">
        <v>2.9569999999999999E-2</v>
      </c>
      <c r="I6">
        <v>14.7</v>
      </c>
      <c r="J6">
        <v>64.77</v>
      </c>
      <c r="K6">
        <v>50.07</v>
      </c>
      <c r="L6">
        <v>9.5719999999999992</v>
      </c>
      <c r="M6">
        <v>64.66</v>
      </c>
      <c r="N6">
        <v>55.09</v>
      </c>
      <c r="O6">
        <v>8.9619999999999997</v>
      </c>
      <c r="P6">
        <v>64.010000000000005</v>
      </c>
      <c r="Q6">
        <v>55.05</v>
      </c>
      <c r="R6">
        <v>9.4640000000000004</v>
      </c>
      <c r="S6">
        <v>64.55</v>
      </c>
      <c r="T6">
        <v>55.08</v>
      </c>
      <c r="U6">
        <v>6.5140000000000002</v>
      </c>
      <c r="V6">
        <v>64.8</v>
      </c>
      <c r="W6">
        <v>58.28</v>
      </c>
      <c r="X6">
        <v>6.0549999999999997</v>
      </c>
      <c r="Y6">
        <v>64.37</v>
      </c>
      <c r="Z6">
        <v>58.31</v>
      </c>
      <c r="AA6">
        <v>9.1820000000000004</v>
      </c>
      <c r="AB6">
        <v>14.15</v>
      </c>
      <c r="AC6">
        <v>4.968</v>
      </c>
      <c r="AD6">
        <v>11.36</v>
      </c>
      <c r="AE6">
        <v>15.73</v>
      </c>
      <c r="AF6">
        <v>4.3730000000000002</v>
      </c>
      <c r="AG6">
        <v>12.19</v>
      </c>
      <c r="AH6">
        <v>16.11</v>
      </c>
      <c r="AI6">
        <v>3.9209999999999998</v>
      </c>
      <c r="AJ6">
        <v>10.54</v>
      </c>
      <c r="AK6">
        <v>15.58</v>
      </c>
      <c r="AL6">
        <v>5.0380000000000003</v>
      </c>
      <c r="AM6">
        <v>10.06</v>
      </c>
      <c r="AN6">
        <v>17.149999999999999</v>
      </c>
      <c r="AO6">
        <v>7.0869999999999997</v>
      </c>
      <c r="AP6">
        <v>9.15</v>
      </c>
      <c r="AQ6">
        <v>16.059999999999999</v>
      </c>
      <c r="AR6">
        <v>6.9089999999999998</v>
      </c>
      <c r="AS6">
        <v>9.49</v>
      </c>
      <c r="AT6">
        <v>15.86</v>
      </c>
      <c r="AU6">
        <v>6.3719999999999999</v>
      </c>
      <c r="AV6">
        <v>7.9089999999999998</v>
      </c>
      <c r="AW6">
        <v>14.6</v>
      </c>
      <c r="AX6">
        <v>6.6870000000000003</v>
      </c>
      <c r="AY6">
        <v>8.3710000000000004</v>
      </c>
      <c r="AZ6">
        <v>15.55</v>
      </c>
      <c r="BA6">
        <v>7.18</v>
      </c>
      <c r="BK6" s="12">
        <f t="shared" si="0"/>
        <v>0.59546044098573281</v>
      </c>
      <c r="BL6" s="12">
        <f t="shared" si="1"/>
        <v>6.2379999999999995</v>
      </c>
      <c r="BM6" s="12">
        <f t="shared" si="2"/>
        <v>0.73670557717250318</v>
      </c>
      <c r="BN6" s="12">
        <f t="shared" si="3"/>
        <v>4.0600000000000005</v>
      </c>
      <c r="BO6" s="12">
        <f t="shared" si="4"/>
        <v>0.79053177691309984</v>
      </c>
      <c r="BP6" s="12">
        <f t="shared" si="5"/>
        <v>3.2300000000000004</v>
      </c>
      <c r="BQ6" s="12">
        <f t="shared" si="6"/>
        <v>0.68352788586251612</v>
      </c>
      <c r="BR6" s="12">
        <f t="shared" si="7"/>
        <v>4.8800000000000008</v>
      </c>
      <c r="BS6" s="12">
        <f t="shared" si="8"/>
        <v>11.363333333333332</v>
      </c>
      <c r="BT6" s="12">
        <f t="shared" si="9"/>
        <v>0.73692174664937304</v>
      </c>
      <c r="BU6" s="508">
        <f t="shared" si="10"/>
        <v>4.0566666666666684</v>
      </c>
      <c r="BV6" s="12">
        <f t="shared" si="11"/>
        <v>0.68435374149659867</v>
      </c>
      <c r="BW6" s="12">
        <f t="shared" si="12"/>
        <v>4.6399999999999988</v>
      </c>
      <c r="BX6" s="12">
        <f t="shared" si="13"/>
        <v>0.62244897959183676</v>
      </c>
      <c r="BY6" s="12">
        <f t="shared" si="14"/>
        <v>5.5499999999999989</v>
      </c>
      <c r="BZ6" s="12">
        <f t="shared" si="15"/>
        <v>0.64557823129251701</v>
      </c>
      <c r="CA6" s="12">
        <f t="shared" si="16"/>
        <v>5.2099999999999991</v>
      </c>
      <c r="CB6" s="12">
        <f t="shared" si="17"/>
        <v>9.32</v>
      </c>
      <c r="CC6" s="12">
        <f t="shared" si="18"/>
        <v>0.63401360544217689</v>
      </c>
      <c r="CD6" s="508">
        <f t="shared" si="19"/>
        <v>5.379999999999999</v>
      </c>
      <c r="CE6" s="12">
        <f t="shared" si="20"/>
        <v>0.62358306188925072</v>
      </c>
      <c r="CF6" s="12">
        <f t="shared" si="21"/>
        <v>5.7780000000000005</v>
      </c>
      <c r="CG6" s="12">
        <f t="shared" si="22"/>
        <v>0.58384364820846901</v>
      </c>
      <c r="CH6" s="12">
        <f t="shared" si="23"/>
        <v>6.3879999999999999</v>
      </c>
      <c r="CI6" s="12">
        <f t="shared" si="24"/>
        <v>0.61654723127035838</v>
      </c>
      <c r="CJ6" s="12">
        <f t="shared" si="25"/>
        <v>5.8859999999999992</v>
      </c>
      <c r="CK6" s="12">
        <f t="shared" si="26"/>
        <v>9.3326666666666664</v>
      </c>
      <c r="CL6" s="12">
        <f t="shared" si="27"/>
        <v>0.60799131378935944</v>
      </c>
      <c r="CM6" s="508">
        <f t="shared" si="28"/>
        <v>6.0173333333333332</v>
      </c>
      <c r="CN6" s="12">
        <f t="shared" si="29"/>
        <v>0.53802721088435379</v>
      </c>
      <c r="CO6" s="12">
        <f t="shared" si="30"/>
        <v>6.7909999999999995</v>
      </c>
      <c r="CP6" s="12">
        <f t="shared" si="31"/>
        <v>0.56945578231292526</v>
      </c>
      <c r="CQ6" s="12">
        <f t="shared" si="32"/>
        <v>6.3289999999999988</v>
      </c>
      <c r="CR6" s="12">
        <f t="shared" si="33"/>
        <v>8.14</v>
      </c>
      <c r="CS6" s="12">
        <f t="shared" si="34"/>
        <v>0.55374149659863947</v>
      </c>
      <c r="CT6" s="508">
        <f t="shared" si="35"/>
        <v>6.5599999999999987</v>
      </c>
      <c r="CU6" s="12">
        <f t="shared" si="36"/>
        <v>0.42436482084690558</v>
      </c>
      <c r="CV6" s="12">
        <f t="shared" si="37"/>
        <v>8.8359999999999985</v>
      </c>
      <c r="CW6" s="12">
        <f t="shared" si="38"/>
        <v>0.39446254071661235</v>
      </c>
      <c r="CX6" s="12">
        <f t="shared" si="39"/>
        <v>9.2949999999999999</v>
      </c>
      <c r="CY6" s="12">
        <f t="shared" si="40"/>
        <v>6.2844999999999995</v>
      </c>
      <c r="CZ6" s="12">
        <f t="shared" si="41"/>
        <v>0.40941368078175894</v>
      </c>
      <c r="DA6" s="508">
        <f t="shared" si="42"/>
        <v>9.0655000000000001</v>
      </c>
    </row>
    <row r="7" spans="1:105">
      <c r="A7" t="s">
        <v>1654</v>
      </c>
      <c r="B7" s="14">
        <v>44706</v>
      </c>
      <c r="C7">
        <v>15.6</v>
      </c>
      <c r="D7">
        <v>15.61</v>
      </c>
      <c r="E7">
        <v>6.3899999999999998E-3</v>
      </c>
      <c r="F7">
        <v>15.35</v>
      </c>
      <c r="G7">
        <v>15.29</v>
      </c>
      <c r="H7">
        <v>-5.6349999999999997E-2</v>
      </c>
      <c r="I7">
        <v>15.06</v>
      </c>
      <c r="J7">
        <v>64.64</v>
      </c>
      <c r="K7">
        <v>49.58</v>
      </c>
      <c r="L7">
        <v>6.4580000000000002</v>
      </c>
      <c r="M7">
        <v>62.53</v>
      </c>
      <c r="N7">
        <v>56.08</v>
      </c>
      <c r="O7">
        <v>7.32</v>
      </c>
      <c r="P7">
        <v>62.63</v>
      </c>
      <c r="Q7">
        <v>55.31</v>
      </c>
      <c r="R7">
        <v>6.4640000000000004</v>
      </c>
      <c r="S7">
        <v>62.29</v>
      </c>
      <c r="T7">
        <v>55.83</v>
      </c>
      <c r="U7">
        <v>5.6079999999999997</v>
      </c>
      <c r="V7">
        <v>63.29</v>
      </c>
      <c r="W7">
        <v>57.85</v>
      </c>
      <c r="X7">
        <v>6.8719999999999999</v>
      </c>
      <c r="Y7">
        <v>62.94</v>
      </c>
      <c r="Z7">
        <v>56.07</v>
      </c>
      <c r="AA7">
        <v>8.8420000000000005</v>
      </c>
      <c r="AB7">
        <v>13.73</v>
      </c>
      <c r="AC7">
        <v>4.891</v>
      </c>
      <c r="AD7">
        <v>10.32</v>
      </c>
      <c r="AE7">
        <v>14.38</v>
      </c>
      <c r="AF7">
        <v>4.0629999999999997</v>
      </c>
      <c r="AG7">
        <v>11.53</v>
      </c>
      <c r="AH7">
        <v>14.63</v>
      </c>
      <c r="AI7">
        <v>3.1019999999999999</v>
      </c>
      <c r="AJ7">
        <v>10.76</v>
      </c>
      <c r="AK7">
        <v>14.7</v>
      </c>
      <c r="AL7">
        <v>3.9390000000000001</v>
      </c>
      <c r="AM7">
        <v>9.9719999999999995</v>
      </c>
      <c r="AN7">
        <v>16.12</v>
      </c>
      <c r="AO7">
        <v>6.1520000000000001</v>
      </c>
      <c r="AP7">
        <v>8.9169999999999998</v>
      </c>
      <c r="AQ7">
        <v>16.61</v>
      </c>
      <c r="AR7">
        <v>7.6970000000000001</v>
      </c>
      <c r="AS7">
        <v>9.6890000000000001</v>
      </c>
      <c r="AT7">
        <v>17.43</v>
      </c>
      <c r="AU7">
        <v>7.74</v>
      </c>
      <c r="AV7">
        <v>7.9539999999999997</v>
      </c>
      <c r="AW7">
        <v>14.85</v>
      </c>
      <c r="AX7">
        <v>6.8949999999999996</v>
      </c>
      <c r="AY7">
        <v>7.9189999999999996</v>
      </c>
      <c r="AZ7">
        <v>15.24</v>
      </c>
      <c r="BA7">
        <v>7.3170000000000002</v>
      </c>
      <c r="BK7" s="12">
        <f t="shared" si="0"/>
        <v>0.57602605863192191</v>
      </c>
      <c r="BL7" s="12">
        <f t="shared" si="1"/>
        <v>6.5079999999999991</v>
      </c>
      <c r="BM7" s="12">
        <f t="shared" si="2"/>
        <v>0.67231270358306194</v>
      </c>
      <c r="BN7" s="12">
        <f t="shared" si="3"/>
        <v>5.0299999999999994</v>
      </c>
      <c r="BO7" s="12">
        <f t="shared" si="4"/>
        <v>0.75114006514657983</v>
      </c>
      <c r="BP7" s="12">
        <f t="shared" si="5"/>
        <v>3.8200000000000003</v>
      </c>
      <c r="BQ7" s="12">
        <f t="shared" si="6"/>
        <v>0.70097719869706843</v>
      </c>
      <c r="BR7" s="12">
        <f t="shared" si="7"/>
        <v>4.59</v>
      </c>
      <c r="BS7" s="12">
        <f t="shared" si="8"/>
        <v>10.87</v>
      </c>
      <c r="BT7" s="12">
        <f t="shared" si="9"/>
        <v>0.70814332247556999</v>
      </c>
      <c r="BU7" s="508">
        <f t="shared" si="10"/>
        <v>4.4800000000000004</v>
      </c>
      <c r="BV7" s="12">
        <f t="shared" si="11"/>
        <v>0.66215139442231075</v>
      </c>
      <c r="BW7" s="12">
        <f t="shared" si="12"/>
        <v>5.088000000000001</v>
      </c>
      <c r="BX7" s="12">
        <f t="shared" si="13"/>
        <v>0.5920982735723771</v>
      </c>
      <c r="BY7" s="12">
        <f t="shared" si="14"/>
        <v>6.1430000000000007</v>
      </c>
      <c r="BZ7" s="12">
        <f t="shared" si="15"/>
        <v>0.64335989375830016</v>
      </c>
      <c r="CA7" s="12">
        <f t="shared" si="16"/>
        <v>5.3710000000000004</v>
      </c>
      <c r="CB7" s="12">
        <f t="shared" si="17"/>
        <v>9.3030000000000008</v>
      </c>
      <c r="CC7" s="12">
        <f t="shared" si="18"/>
        <v>0.61772908366533863</v>
      </c>
      <c r="CD7" s="508">
        <f t="shared" si="19"/>
        <v>5.7569999999999997</v>
      </c>
      <c r="CE7" s="12">
        <f t="shared" si="20"/>
        <v>0.41397435897435897</v>
      </c>
      <c r="CF7" s="12">
        <f t="shared" si="21"/>
        <v>9.1419999999999995</v>
      </c>
      <c r="CG7" s="12">
        <f t="shared" si="22"/>
        <v>0.46923076923076928</v>
      </c>
      <c r="CH7" s="12">
        <f t="shared" si="23"/>
        <v>8.2799999999999994</v>
      </c>
      <c r="CI7" s="12">
        <f t="shared" si="24"/>
        <v>0.4143589743589744</v>
      </c>
      <c r="CJ7" s="12">
        <f t="shared" si="25"/>
        <v>9.1359999999999992</v>
      </c>
      <c r="CK7" s="12">
        <f t="shared" si="26"/>
        <v>6.7473333333333336</v>
      </c>
      <c r="CL7" s="12">
        <f t="shared" si="27"/>
        <v>0.43252136752136755</v>
      </c>
      <c r="CM7" s="508">
        <f t="shared" si="28"/>
        <v>8.852666666666666</v>
      </c>
      <c r="CN7" s="12">
        <f t="shared" si="29"/>
        <v>0.52815405046480746</v>
      </c>
      <c r="CO7" s="12">
        <f t="shared" si="30"/>
        <v>7.1060000000000008</v>
      </c>
      <c r="CP7" s="12">
        <f t="shared" si="31"/>
        <v>0.52583001328021239</v>
      </c>
      <c r="CQ7" s="12">
        <f t="shared" si="32"/>
        <v>7.1410000000000009</v>
      </c>
      <c r="CR7" s="12">
        <f t="shared" si="33"/>
        <v>7.9364999999999997</v>
      </c>
      <c r="CS7" s="12">
        <f t="shared" si="34"/>
        <v>0.52699203187250987</v>
      </c>
      <c r="CT7" s="508">
        <f t="shared" si="35"/>
        <v>7.1235000000000008</v>
      </c>
      <c r="CU7" s="12">
        <f t="shared" si="36"/>
        <v>0.35948717948717945</v>
      </c>
      <c r="CV7" s="12">
        <f t="shared" si="37"/>
        <v>9.9920000000000009</v>
      </c>
      <c r="CW7" s="12">
        <f t="shared" si="38"/>
        <v>0.44051282051282054</v>
      </c>
      <c r="CX7" s="12">
        <f t="shared" si="39"/>
        <v>8.7279999999999998</v>
      </c>
      <c r="CY7" s="12">
        <f t="shared" si="40"/>
        <v>6.24</v>
      </c>
      <c r="CZ7" s="12">
        <f t="shared" si="41"/>
        <v>0.4</v>
      </c>
      <c r="DA7" s="508">
        <f t="shared" si="42"/>
        <v>9.36</v>
      </c>
    </row>
    <row r="8" spans="1:105">
      <c r="B8" s="14"/>
    </row>
    <row r="9" spans="1:105">
      <c r="BJ9" t="s">
        <v>1443</v>
      </c>
      <c r="BK9" s="12">
        <f>AVERAGE(BK3:BK7)</f>
        <v>0.57098719444756207</v>
      </c>
      <c r="BM9" s="12">
        <f>AVERAGE(BM3:BM7)</f>
        <v>0.62641159533254775</v>
      </c>
      <c r="BO9" s="12">
        <f>AVERAGE(BO3:BO7)</f>
        <v>0.67273862545558605</v>
      </c>
      <c r="BQ9" s="12">
        <f>AVERAGE(BQ3:BQ7)</f>
        <v>0.50520372630422394</v>
      </c>
      <c r="BT9" s="12">
        <f>AVERAGE(BT3:BT7)</f>
        <v>0.60145131569745258</v>
      </c>
      <c r="BV9" s="12">
        <f>AVERAGE(BV3:BV7)</f>
        <v>0.6564156591419541</v>
      </c>
      <c r="BX9" s="12">
        <f>AVERAGE(BX3:BX7)</f>
        <v>0.58620605138871373</v>
      </c>
      <c r="BZ9" s="12">
        <f>AVERAGE(BZ3:BZ7)</f>
        <v>0.61412875882145679</v>
      </c>
      <c r="CC9" s="12">
        <f>AVERAGE(CC3:CC7)</f>
        <v>0.60016740510508515</v>
      </c>
      <c r="CE9" s="12">
        <f>AVERAGE(CE3:CE7)</f>
        <v>0.4694812640781526</v>
      </c>
      <c r="CG9" s="12">
        <f>AVERAGE(CG3:CG7)</f>
        <v>0.40885594914130996</v>
      </c>
      <c r="CI9" s="12">
        <f>AVERAGE(CI3:CI7)</f>
        <v>0.36040737197478123</v>
      </c>
      <c r="CL9" s="12">
        <f>AVERAGE(CL3:CL7)</f>
        <v>0.41291486173141462</v>
      </c>
      <c r="CN9" s="12">
        <f>AVERAGE(CN3:CN7)</f>
        <v>0.48434423197290233</v>
      </c>
      <c r="CP9" s="12">
        <f>AVERAGE(CP3:CP7)</f>
        <v>0.54312051515102422</v>
      </c>
      <c r="CS9" s="12">
        <f>AVERAGE(CS3:CS7)</f>
        <v>0.51373237356196322</v>
      </c>
      <c r="CU9" s="12">
        <f>AVERAGE(CU3:CU7)</f>
        <v>0.3486481870507856</v>
      </c>
      <c r="CW9" s="12">
        <f>AVERAGE(CW3:CW7)</f>
        <v>0.33867456691878489</v>
      </c>
      <c r="CZ9" s="12">
        <f>AVERAGE(CZ3:CZ7)</f>
        <v>0.34366137698478527</v>
      </c>
    </row>
  </sheetData>
  <mergeCells count="5">
    <mergeCell ref="CU1:DA1"/>
    <mergeCell ref="CN1:CT1"/>
    <mergeCell ref="CE1:CM1"/>
    <mergeCell ref="BV1:CD1"/>
    <mergeCell ref="BK1:BU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6067-AF78-2642-BDDB-8D2746D707D4}">
  <dimension ref="A1:HF80"/>
  <sheetViews>
    <sheetView zoomScale="94" zoomScaleNormal="94" workbookViewId="0">
      <pane xSplit="3" topLeftCell="D1" activePane="topRight" state="frozen"/>
      <selection pane="topRight" activeCell="GI81" sqref="GI81"/>
    </sheetView>
  </sheetViews>
  <sheetFormatPr defaultColWidth="10.6640625" defaultRowHeight="15.5"/>
  <cols>
    <col min="2" max="2" width="13.5" customWidth="1"/>
    <col min="4" max="9" width="10.83203125" style="5"/>
    <col min="10" max="12" width="10.83203125" style="192"/>
    <col min="13" max="15" width="10.83203125" style="5"/>
    <col min="16" max="16" width="11.6640625" style="17" bestFit="1" customWidth="1"/>
    <col min="17" max="19" width="10.83203125" style="5"/>
    <col min="20" max="25" width="10.83203125" style="6"/>
    <col min="26" max="28" width="10.83203125" style="193"/>
    <col min="29" max="31" width="10.83203125" style="6"/>
    <col min="32" max="32" width="10.83203125" style="269"/>
    <col min="33" max="35" width="10.83203125" style="6"/>
    <col min="36" max="47" width="10.83203125" style="270"/>
    <col min="48" max="48" width="11.6640625" style="270" bestFit="1" customWidth="1"/>
    <col min="49" max="51" width="10.83203125" style="270"/>
    <col min="52" max="63" width="10.83203125" style="271"/>
    <col min="64" max="64" width="11.6640625" style="17" bestFit="1" customWidth="1"/>
    <col min="65" max="67" width="10.83203125" style="271"/>
    <col min="68" max="73" width="10.83203125" style="7"/>
    <col min="74" max="76" width="10.83203125" style="200"/>
    <col min="77" max="79" width="10.83203125" style="7"/>
    <col min="80" max="80" width="10.83203125" style="15"/>
    <col min="81" max="83" width="10.83203125" style="7"/>
    <col min="84" max="84" width="10.83203125" style="202"/>
    <col min="161" max="169" width="10.83203125" customWidth="1"/>
  </cols>
  <sheetData>
    <row r="1" spans="1:187" ht="31">
      <c r="B1" s="10" t="s">
        <v>741</v>
      </c>
      <c r="D1" s="678" t="s">
        <v>5</v>
      </c>
      <c r="E1" s="678"/>
      <c r="F1" s="678"/>
      <c r="G1" s="678"/>
      <c r="H1" s="678"/>
      <c r="I1" s="678"/>
      <c r="J1" s="678"/>
      <c r="K1" s="678"/>
      <c r="L1" s="678"/>
      <c r="M1" s="678"/>
      <c r="N1" s="678"/>
      <c r="O1" s="678"/>
      <c r="P1" s="678"/>
      <c r="Q1" s="678"/>
      <c r="R1" s="678"/>
      <c r="S1" s="678"/>
      <c r="T1" s="675" t="s">
        <v>6</v>
      </c>
      <c r="U1" s="675"/>
      <c r="V1" s="675"/>
      <c r="W1" s="675"/>
      <c r="X1" s="675"/>
      <c r="Y1" s="675"/>
      <c r="Z1" s="675"/>
      <c r="AA1" s="675"/>
      <c r="AB1" s="675"/>
      <c r="AC1" s="675"/>
      <c r="AD1" s="675"/>
      <c r="AE1" s="675"/>
      <c r="AF1" s="675"/>
      <c r="AG1" s="675"/>
      <c r="AH1" s="675"/>
      <c r="AI1" s="675"/>
      <c r="AJ1" s="676" t="s">
        <v>9</v>
      </c>
      <c r="AK1" s="676"/>
      <c r="AL1" s="676"/>
      <c r="AM1" s="676"/>
      <c r="AN1" s="676"/>
      <c r="AO1" s="676"/>
      <c r="AP1" s="676"/>
      <c r="AQ1" s="676"/>
      <c r="AR1" s="676"/>
      <c r="AS1" s="676"/>
      <c r="AT1" s="676"/>
      <c r="AU1" s="676"/>
      <c r="AV1" s="676"/>
      <c r="AW1" s="676"/>
      <c r="AX1" s="676"/>
      <c r="AY1" s="676"/>
      <c r="AZ1" s="678" t="s">
        <v>8</v>
      </c>
      <c r="BA1" s="678"/>
      <c r="BB1" s="678"/>
      <c r="BC1" s="678"/>
      <c r="BD1" s="678"/>
      <c r="BE1" s="678"/>
      <c r="BF1" s="678"/>
      <c r="BG1" s="678"/>
      <c r="BH1" s="678"/>
      <c r="BI1" s="678"/>
      <c r="BJ1" s="678"/>
      <c r="BK1" s="678"/>
      <c r="BL1" s="678"/>
      <c r="BM1" s="678"/>
      <c r="BN1" s="678"/>
      <c r="BO1" s="678"/>
      <c r="BP1" s="677" t="s">
        <v>7</v>
      </c>
      <c r="BQ1" s="677"/>
      <c r="BR1" s="677"/>
      <c r="BS1" s="677"/>
      <c r="BT1" s="677"/>
      <c r="BU1" s="677"/>
      <c r="BV1" s="677"/>
      <c r="BW1" s="677"/>
      <c r="BX1" s="677"/>
      <c r="BY1" s="677"/>
      <c r="BZ1" s="677"/>
      <c r="CA1" s="677"/>
      <c r="CB1" s="677"/>
      <c r="CC1" s="677"/>
      <c r="CD1" s="677"/>
      <c r="CE1" s="677"/>
      <c r="CF1" s="677" t="s">
        <v>217</v>
      </c>
      <c r="CG1" s="677"/>
      <c r="CH1" s="677"/>
      <c r="CI1" s="677"/>
      <c r="CJ1" s="677"/>
      <c r="CK1" s="677"/>
      <c r="CL1" s="677"/>
      <c r="CM1" s="677"/>
      <c r="CN1" s="677"/>
      <c r="CO1" s="677"/>
      <c r="CP1" s="677"/>
      <c r="CQ1" s="677"/>
      <c r="CR1" s="677"/>
      <c r="CS1" s="677"/>
      <c r="CT1" s="677"/>
      <c r="CU1" s="677"/>
      <c r="CV1" s="675" t="s">
        <v>12</v>
      </c>
      <c r="CW1" s="675"/>
      <c r="CX1" s="675"/>
      <c r="CY1" s="675"/>
      <c r="CZ1" s="675"/>
      <c r="DA1" s="675"/>
      <c r="DB1" s="675"/>
      <c r="DC1" s="675"/>
      <c r="DD1" s="675"/>
      <c r="DE1" s="675"/>
      <c r="DF1" s="675"/>
      <c r="DG1" s="675"/>
      <c r="DH1" s="675"/>
      <c r="DI1" s="675"/>
      <c r="DJ1" s="675"/>
      <c r="DK1" s="675"/>
      <c r="DL1" s="676" t="s">
        <v>13</v>
      </c>
      <c r="DM1" s="676"/>
      <c r="DN1" s="676"/>
      <c r="DO1" s="676"/>
      <c r="DP1" s="676"/>
      <c r="DQ1" s="676"/>
      <c r="DR1" s="676"/>
      <c r="DS1" s="676"/>
      <c r="DT1" s="676"/>
      <c r="DU1" s="676"/>
      <c r="DV1" s="676"/>
      <c r="DW1" s="676"/>
      <c r="DX1" s="676"/>
      <c r="DY1" s="676"/>
      <c r="DZ1" s="676"/>
      <c r="EA1" s="676"/>
      <c r="EB1" s="679" t="s">
        <v>14</v>
      </c>
      <c r="EC1" s="679"/>
      <c r="ED1" s="679"/>
      <c r="EE1" s="679"/>
      <c r="EF1" s="679"/>
      <c r="EG1" s="679"/>
      <c r="EH1" s="679"/>
      <c r="EI1" s="679"/>
      <c r="EJ1" s="679"/>
      <c r="EK1" s="679"/>
      <c r="EL1" s="679"/>
      <c r="EM1" s="679"/>
      <c r="EN1" s="679"/>
      <c r="EO1" s="679"/>
      <c r="EP1" s="679"/>
      <c r="EQ1" s="679"/>
      <c r="ER1" s="27"/>
      <c r="ES1" s="27"/>
      <c r="ET1" s="27"/>
      <c r="EU1" s="27"/>
      <c r="EV1" s="27"/>
      <c r="EW1" s="27"/>
      <c r="EX1" s="27"/>
      <c r="EY1" s="27"/>
      <c r="EZ1" s="27"/>
      <c r="FA1" s="27"/>
      <c r="FB1" s="27"/>
      <c r="FC1" s="27"/>
      <c r="FD1" s="27"/>
      <c r="FE1" s="27"/>
      <c r="FF1" s="27"/>
      <c r="FG1" s="27"/>
    </row>
    <row r="2" spans="1:187" ht="31">
      <c r="A2" s="11" t="s">
        <v>10</v>
      </c>
      <c r="B2" s="11" t="s">
        <v>0</v>
      </c>
      <c r="C2" s="11" t="s">
        <v>39</v>
      </c>
      <c r="D2" s="5" t="s">
        <v>2</v>
      </c>
      <c r="E2" s="5" t="s">
        <v>4</v>
      </c>
      <c r="F2" s="5" t="s">
        <v>3</v>
      </c>
      <c r="G2" s="5" t="s">
        <v>2</v>
      </c>
      <c r="H2" s="5" t="s">
        <v>4</v>
      </c>
      <c r="I2" s="5" t="s">
        <v>3</v>
      </c>
      <c r="J2" s="192" t="s">
        <v>2</v>
      </c>
      <c r="K2" s="192" t="s">
        <v>4</v>
      </c>
      <c r="L2" s="192" t="s">
        <v>3</v>
      </c>
      <c r="M2" s="5" t="s">
        <v>2</v>
      </c>
      <c r="N2" s="5" t="s">
        <v>4</v>
      </c>
      <c r="O2" s="5" t="s">
        <v>3</v>
      </c>
      <c r="P2" s="17" t="s">
        <v>85</v>
      </c>
      <c r="Q2" s="5" t="s">
        <v>2</v>
      </c>
      <c r="R2" s="5" t="s">
        <v>4</v>
      </c>
      <c r="S2" s="5" t="s">
        <v>3</v>
      </c>
      <c r="T2" s="6" t="s">
        <v>2</v>
      </c>
      <c r="U2" s="6" t="s">
        <v>4</v>
      </c>
      <c r="V2" s="6" t="s">
        <v>3</v>
      </c>
      <c r="W2" s="6" t="s">
        <v>2</v>
      </c>
      <c r="X2" s="6" t="s">
        <v>4</v>
      </c>
      <c r="Y2" s="6" t="s">
        <v>3</v>
      </c>
      <c r="Z2" s="193" t="s">
        <v>2</v>
      </c>
      <c r="AA2" s="193" t="s">
        <v>4</v>
      </c>
      <c r="AB2" s="193" t="s">
        <v>3</v>
      </c>
      <c r="AC2" s="6" t="s">
        <v>2</v>
      </c>
      <c r="AD2" s="6" t="s">
        <v>4</v>
      </c>
      <c r="AE2" s="6" t="s">
        <v>3</v>
      </c>
      <c r="AF2" s="269" t="s">
        <v>85</v>
      </c>
      <c r="AG2" s="6" t="s">
        <v>2</v>
      </c>
      <c r="AH2" s="6" t="s">
        <v>4</v>
      </c>
      <c r="AI2" s="6" t="s">
        <v>3</v>
      </c>
      <c r="AJ2" s="270" t="s">
        <v>2</v>
      </c>
      <c r="AK2" s="270" t="s">
        <v>4</v>
      </c>
      <c r="AL2" s="270" t="s">
        <v>3</v>
      </c>
      <c r="AM2" s="270" t="s">
        <v>2</v>
      </c>
      <c r="AN2" s="270" t="s">
        <v>4</v>
      </c>
      <c r="AO2" s="270" t="s">
        <v>3</v>
      </c>
      <c r="AP2" s="270" t="s">
        <v>2</v>
      </c>
      <c r="AQ2" s="270" t="s">
        <v>4</v>
      </c>
      <c r="AR2" s="270" t="s">
        <v>3</v>
      </c>
      <c r="AS2" s="270" t="s">
        <v>2</v>
      </c>
      <c r="AT2" s="270" t="s">
        <v>4</v>
      </c>
      <c r="AU2" s="270" t="s">
        <v>3</v>
      </c>
      <c r="AV2" s="270" t="s">
        <v>85</v>
      </c>
      <c r="AW2" s="270" t="s">
        <v>2</v>
      </c>
      <c r="AX2" s="270" t="s">
        <v>4</v>
      </c>
      <c r="AY2" s="270" t="s">
        <v>3</v>
      </c>
      <c r="AZ2" s="271" t="s">
        <v>2</v>
      </c>
      <c r="BA2" s="271" t="s">
        <v>4</v>
      </c>
      <c r="BB2" s="271" t="s">
        <v>3</v>
      </c>
      <c r="BC2" s="271" t="s">
        <v>2</v>
      </c>
      <c r="BD2" s="271" t="s">
        <v>4</v>
      </c>
      <c r="BE2" s="271" t="s">
        <v>3</v>
      </c>
      <c r="BI2" s="271" t="s">
        <v>2</v>
      </c>
      <c r="BJ2" s="271" t="s">
        <v>4</v>
      </c>
      <c r="BK2" s="271" t="s">
        <v>3</v>
      </c>
      <c r="BL2" s="17" t="s">
        <v>85</v>
      </c>
      <c r="BM2" s="271" t="s">
        <v>2</v>
      </c>
      <c r="BN2" s="271" t="s">
        <v>4</v>
      </c>
      <c r="BO2" s="271" t="s">
        <v>3</v>
      </c>
      <c r="BP2" s="7" t="s">
        <v>2</v>
      </c>
      <c r="BQ2" s="7" t="s">
        <v>4</v>
      </c>
      <c r="BR2" s="7" t="s">
        <v>3</v>
      </c>
      <c r="BS2" s="7" t="s">
        <v>2</v>
      </c>
      <c r="BT2" s="7" t="s">
        <v>4</v>
      </c>
      <c r="BU2" s="7" t="s">
        <v>3</v>
      </c>
      <c r="BY2" s="7" t="s">
        <v>2</v>
      </c>
      <c r="BZ2" s="7" t="s">
        <v>4</v>
      </c>
      <c r="CA2" s="7" t="s">
        <v>3</v>
      </c>
      <c r="CB2" s="15" t="s">
        <v>85</v>
      </c>
      <c r="CC2" s="7" t="s">
        <v>2</v>
      </c>
      <c r="CD2" s="7" t="s">
        <v>4</v>
      </c>
      <c r="CE2" s="7" t="s">
        <v>3</v>
      </c>
      <c r="CF2" s="201" t="s">
        <v>2</v>
      </c>
      <c r="CG2" s="200" t="s">
        <v>4</v>
      </c>
      <c r="CH2" s="200" t="s">
        <v>3</v>
      </c>
      <c r="CI2" s="200" t="s">
        <v>2</v>
      </c>
      <c r="CJ2" s="200" t="s">
        <v>4</v>
      </c>
      <c r="CK2" s="200" t="s">
        <v>3</v>
      </c>
      <c r="CL2" s="200"/>
      <c r="CM2" s="200"/>
      <c r="CN2" s="200"/>
      <c r="CO2" s="200" t="s">
        <v>2</v>
      </c>
      <c r="CP2" s="200" t="s">
        <v>4</v>
      </c>
      <c r="CQ2" s="200" t="s">
        <v>3</v>
      </c>
      <c r="CR2" s="200" t="s">
        <v>85</v>
      </c>
      <c r="CS2" s="200" t="s">
        <v>2</v>
      </c>
      <c r="CT2" s="200" t="s">
        <v>4</v>
      </c>
      <c r="CU2" s="200" t="s">
        <v>3</v>
      </c>
      <c r="CV2" s="197" t="s">
        <v>2</v>
      </c>
      <c r="CW2" s="197" t="s">
        <v>4</v>
      </c>
      <c r="CX2" s="197" t="s">
        <v>3</v>
      </c>
      <c r="CY2" s="197" t="s">
        <v>2</v>
      </c>
      <c r="CZ2" s="197" t="s">
        <v>4</v>
      </c>
      <c r="DA2" s="197" t="s">
        <v>3</v>
      </c>
      <c r="DB2" s="197" t="s">
        <v>2</v>
      </c>
      <c r="DC2" s="197" t="s">
        <v>4</v>
      </c>
      <c r="DD2" s="197" t="s">
        <v>3</v>
      </c>
      <c r="DE2" s="197" t="s">
        <v>2</v>
      </c>
      <c r="DF2" s="197" t="s">
        <v>4</v>
      </c>
      <c r="DG2" s="197" t="s">
        <v>3</v>
      </c>
      <c r="DH2" s="197" t="s">
        <v>85</v>
      </c>
      <c r="DI2" s="197" t="s">
        <v>2</v>
      </c>
      <c r="DJ2" s="197" t="s">
        <v>4</v>
      </c>
      <c r="DK2" s="197" t="s">
        <v>3</v>
      </c>
      <c r="DL2" s="198" t="s">
        <v>2</v>
      </c>
      <c r="DM2" s="198" t="s">
        <v>4</v>
      </c>
      <c r="DN2" s="198" t="s">
        <v>3</v>
      </c>
      <c r="DO2" s="198" t="s">
        <v>2</v>
      </c>
      <c r="DP2" s="198" t="s">
        <v>4</v>
      </c>
      <c r="DQ2" s="198" t="s">
        <v>3</v>
      </c>
      <c r="DR2" s="198" t="s">
        <v>2</v>
      </c>
      <c r="DS2" s="198" t="s">
        <v>4</v>
      </c>
      <c r="DT2" s="198" t="s">
        <v>3</v>
      </c>
      <c r="DU2" s="198" t="s">
        <v>2</v>
      </c>
      <c r="DV2" s="198" t="s">
        <v>4</v>
      </c>
      <c r="DW2" s="198" t="s">
        <v>3</v>
      </c>
      <c r="DX2" s="198" t="s">
        <v>85</v>
      </c>
      <c r="DY2" s="198" t="s">
        <v>2</v>
      </c>
      <c r="DZ2" s="198" t="s">
        <v>4</v>
      </c>
      <c r="EA2" s="198" t="s">
        <v>3</v>
      </c>
      <c r="EB2" s="199" t="s">
        <v>2</v>
      </c>
      <c r="EC2" s="199" t="s">
        <v>4</v>
      </c>
      <c r="ED2" s="199" t="s">
        <v>3</v>
      </c>
      <c r="EE2" s="199" t="s">
        <v>2</v>
      </c>
      <c r="EF2" s="199" t="s">
        <v>4</v>
      </c>
      <c r="EG2" s="199" t="s">
        <v>3</v>
      </c>
      <c r="EH2" s="199"/>
      <c r="EI2" s="199"/>
      <c r="EJ2" s="199"/>
      <c r="EK2" s="199" t="s">
        <v>2</v>
      </c>
      <c r="EL2" s="199" t="s">
        <v>4</v>
      </c>
      <c r="EM2" s="199" t="s">
        <v>3</v>
      </c>
      <c r="EN2" s="18" t="s">
        <v>85</v>
      </c>
      <c r="EO2" s="199" t="s">
        <v>2</v>
      </c>
      <c r="EP2" s="199" t="s">
        <v>4</v>
      </c>
      <c r="EQ2" s="199" t="s">
        <v>3</v>
      </c>
      <c r="ER2" s="27"/>
      <c r="ES2" s="27"/>
      <c r="ET2" s="27"/>
      <c r="EU2" s="27"/>
      <c r="EV2" s="27"/>
      <c r="EW2" s="27"/>
      <c r="EX2" s="27"/>
      <c r="EY2" s="27"/>
      <c r="EZ2" s="27"/>
      <c r="FA2" s="27"/>
      <c r="FB2" s="27"/>
      <c r="FC2" s="27"/>
      <c r="FD2" s="261"/>
      <c r="FE2" s="27"/>
      <c r="FF2" s="27"/>
      <c r="FG2" s="27"/>
      <c r="FR2" t="s">
        <v>1015</v>
      </c>
    </row>
    <row r="3" spans="1:187">
      <c r="A3" t="s">
        <v>72</v>
      </c>
      <c r="B3" t="s">
        <v>28</v>
      </c>
      <c r="C3">
        <v>0</v>
      </c>
      <c r="D3" s="5">
        <v>4.5140000000000002</v>
      </c>
      <c r="E3" s="5">
        <v>6.3262</v>
      </c>
      <c r="F3" s="5">
        <v>13.8096</v>
      </c>
      <c r="G3" s="5">
        <v>7.0609999999999999</v>
      </c>
      <c r="H3" s="5">
        <v>3.6291000000000002</v>
      </c>
      <c r="I3" s="5">
        <v>11.8584</v>
      </c>
      <c r="P3" s="17">
        <v>0</v>
      </c>
      <c r="Q3" s="5">
        <v>20.654</v>
      </c>
      <c r="R3" s="5">
        <v>3.3250999999999999</v>
      </c>
      <c r="S3" s="5">
        <v>5.3468999999999998</v>
      </c>
      <c r="T3" s="6">
        <v>4.5279999999999996</v>
      </c>
      <c r="U3" s="6">
        <v>8.8005999999999993</v>
      </c>
      <c r="V3" s="6">
        <v>19.612300000000001</v>
      </c>
      <c r="W3" s="6">
        <v>7.0549999999999997</v>
      </c>
      <c r="X3" s="6">
        <v>3.0249999999999999</v>
      </c>
      <c r="Y3" s="6">
        <v>10.968</v>
      </c>
      <c r="AC3" s="6">
        <v>10.721</v>
      </c>
      <c r="AD3" s="6">
        <v>3.27E-2</v>
      </c>
      <c r="AE3" s="6">
        <v>0.44330000000000003</v>
      </c>
      <c r="AF3" s="19">
        <f>(AD3+7.3523)/109.72</f>
        <v>6.7307692307692304E-2</v>
      </c>
      <c r="AG3" s="6">
        <v>20.791</v>
      </c>
      <c r="AH3" s="6">
        <v>9.2999999999999992E-3</v>
      </c>
      <c r="AI3" s="6">
        <v>0.22059999999999999</v>
      </c>
      <c r="AJ3" s="270">
        <v>4.5279999999999996</v>
      </c>
      <c r="AK3" s="270">
        <v>6.9387999999999996</v>
      </c>
      <c r="AL3" s="270">
        <v>16.383500000000002</v>
      </c>
      <c r="AM3" s="270">
        <v>7.0510000000000002</v>
      </c>
      <c r="AN3" s="270">
        <v>2.5522</v>
      </c>
      <c r="AO3" s="270">
        <v>9.9187999999999992</v>
      </c>
      <c r="AT3" s="270">
        <v>0</v>
      </c>
      <c r="AU3" s="270">
        <v>0</v>
      </c>
      <c r="AV3" s="16">
        <v>0</v>
      </c>
      <c r="AW3" s="270">
        <v>20.634</v>
      </c>
      <c r="AX3" s="270">
        <v>3.8835000000000002</v>
      </c>
      <c r="AY3" s="270">
        <v>6.5670000000000002</v>
      </c>
      <c r="AZ3" s="271">
        <v>4.5910000000000002</v>
      </c>
      <c r="BA3" s="271">
        <v>5.2154999999999996</v>
      </c>
      <c r="BB3" s="271">
        <v>13.869199999999999</v>
      </c>
      <c r="BC3" s="271">
        <v>7.1980000000000004</v>
      </c>
      <c r="BD3" s="271">
        <v>2.1061999999999999</v>
      </c>
      <c r="BE3" s="271">
        <v>7.9271000000000003</v>
      </c>
      <c r="BJ3" s="271">
        <v>0</v>
      </c>
      <c r="BL3" s="17">
        <v>0</v>
      </c>
      <c r="BM3" s="271">
        <v>22.013999999999999</v>
      </c>
      <c r="BN3" s="271">
        <v>0.46879999999999999</v>
      </c>
      <c r="BO3" s="271">
        <v>0.76970000000000005</v>
      </c>
      <c r="BS3" s="7">
        <v>7.1879999999999997</v>
      </c>
      <c r="BT3" s="7">
        <v>1.5392999999999999</v>
      </c>
      <c r="BU3" s="7">
        <v>6.4349999999999996</v>
      </c>
      <c r="BZ3" s="7">
        <v>0</v>
      </c>
      <c r="CB3" s="23">
        <v>0</v>
      </c>
      <c r="FP3">
        <v>10</v>
      </c>
      <c r="FQ3">
        <f>40-FP3</f>
        <v>30</v>
      </c>
      <c r="FR3">
        <f>(FQ3*80)*(20/1000)</f>
        <v>48</v>
      </c>
    </row>
    <row r="4" spans="1:187">
      <c r="A4" t="s">
        <v>72</v>
      </c>
      <c r="B4" t="s">
        <v>29</v>
      </c>
      <c r="C4">
        <v>10</v>
      </c>
      <c r="D4" s="5">
        <v>4.5250000000000004</v>
      </c>
      <c r="E4" s="5">
        <v>6.3624999999999998</v>
      </c>
      <c r="F4" s="5">
        <v>14.8767</v>
      </c>
      <c r="G4" s="5">
        <v>7.0579999999999998</v>
      </c>
      <c r="H4" s="5">
        <v>0.78939999999999999</v>
      </c>
      <c r="I4" s="5">
        <v>3.5807000000000002</v>
      </c>
      <c r="M4" s="5">
        <v>10.721</v>
      </c>
      <c r="N4" s="5">
        <v>6.4699999999999994E-2</v>
      </c>
      <c r="O4" s="5">
        <v>0.49309999999999998</v>
      </c>
      <c r="P4" s="17">
        <f t="shared" ref="P4:P13" si="0">(N4+7.3523)/109.72</f>
        <v>6.7599343784177909E-2</v>
      </c>
      <c r="Q4" s="5">
        <v>20.640999999999998</v>
      </c>
      <c r="R4" s="5">
        <v>2.8992</v>
      </c>
      <c r="S4" s="5">
        <v>4.9017999999999997</v>
      </c>
      <c r="T4" s="6">
        <v>4.5309999999999997</v>
      </c>
      <c r="U4" s="6">
        <v>9.0627999999999993</v>
      </c>
      <c r="V4" s="6">
        <v>21.095199999999998</v>
      </c>
      <c r="W4" s="6">
        <v>7.0579999999999998</v>
      </c>
      <c r="X4" s="6">
        <v>0.4612</v>
      </c>
      <c r="Y4" s="6">
        <v>2.6345999999999998</v>
      </c>
      <c r="AC4" s="6">
        <v>10.784000000000001</v>
      </c>
      <c r="AD4" s="6">
        <v>6.4299999999999996E-2</v>
      </c>
      <c r="AE4" s="6">
        <v>0.70440000000000003</v>
      </c>
      <c r="AF4" s="19">
        <f t="shared" ref="AF4:AF13" si="1">(AD4+7.3523)/109.72</f>
        <v>6.7595698140721833E-2</v>
      </c>
      <c r="AG4" s="6">
        <v>20.754000000000001</v>
      </c>
      <c r="AH4" s="6">
        <v>2.5642999999999998</v>
      </c>
      <c r="AI4" s="6">
        <v>4.9732000000000003</v>
      </c>
      <c r="AJ4" s="270">
        <v>4.5209999999999999</v>
      </c>
      <c r="AK4" s="270">
        <v>7.1216999999999997</v>
      </c>
      <c r="AL4" s="270">
        <v>18.4864</v>
      </c>
      <c r="AM4" s="270">
        <v>7.0640000000000001</v>
      </c>
      <c r="AN4" s="270">
        <v>0.46450000000000002</v>
      </c>
      <c r="AO4" s="270">
        <v>2.2827000000000002</v>
      </c>
      <c r="AT4" s="270">
        <v>0</v>
      </c>
      <c r="AU4" s="270">
        <v>0</v>
      </c>
      <c r="AV4" s="16">
        <v>0</v>
      </c>
      <c r="AW4" s="270">
        <v>20.670999999999999</v>
      </c>
      <c r="AX4" s="270">
        <v>1.0800000000000001E-2</v>
      </c>
      <c r="AY4" s="270">
        <v>0.22819999999999999</v>
      </c>
      <c r="AZ4" s="271">
        <v>4.5949999999999998</v>
      </c>
      <c r="BA4" s="271">
        <v>7.1765999999999996</v>
      </c>
      <c r="BB4" s="271">
        <v>15.587199999999999</v>
      </c>
      <c r="BC4" s="271">
        <v>7.2210000000000001</v>
      </c>
      <c r="BD4" s="271">
        <v>0.77759999999999996</v>
      </c>
      <c r="BE4" s="271">
        <v>2.9531000000000001</v>
      </c>
      <c r="BJ4" s="271">
        <v>0</v>
      </c>
      <c r="BL4" s="17">
        <v>0</v>
      </c>
      <c r="BM4" s="271">
        <v>21.981000000000002</v>
      </c>
      <c r="BN4" s="271">
        <v>6.4000000000000001E-2</v>
      </c>
      <c r="BO4" s="271">
        <v>0.25950000000000001</v>
      </c>
      <c r="BS4" s="7">
        <v>7.2279999999999998</v>
      </c>
      <c r="BT4" s="7">
        <v>0.6532</v>
      </c>
      <c r="BU4" s="7">
        <v>2.5905</v>
      </c>
      <c r="BZ4" s="7">
        <v>0</v>
      </c>
      <c r="CB4" s="23">
        <v>0</v>
      </c>
      <c r="FP4">
        <v>16.5</v>
      </c>
      <c r="FQ4">
        <f t="shared" ref="FQ4:FQ11" si="2">40-FP4</f>
        <v>23.5</v>
      </c>
      <c r="FR4">
        <f t="shared" ref="FR4:FR11" si="3">(FQ4*80)*(20/1000)</f>
        <v>37.6</v>
      </c>
    </row>
    <row r="5" spans="1:187">
      <c r="A5" t="s">
        <v>72</v>
      </c>
      <c r="B5" t="s">
        <v>30</v>
      </c>
      <c r="C5">
        <v>20</v>
      </c>
      <c r="D5" s="5">
        <v>4.5309999999999997</v>
      </c>
      <c r="E5" s="5">
        <v>7.2934000000000001</v>
      </c>
      <c r="F5" s="5">
        <v>15.8765</v>
      </c>
      <c r="G5" s="5">
        <v>7.0780000000000003</v>
      </c>
      <c r="H5" s="5">
        <v>0.4773</v>
      </c>
      <c r="I5" s="5">
        <v>2.2200000000000002</v>
      </c>
      <c r="M5" s="5">
        <v>10.648</v>
      </c>
      <c r="N5" s="5">
        <v>1.1541999999999999</v>
      </c>
      <c r="O5" s="5">
        <v>3.6515</v>
      </c>
      <c r="P5" s="17">
        <f t="shared" si="0"/>
        <v>7.7529165147648557E-2</v>
      </c>
      <c r="Q5" s="5">
        <v>20.684999999999999</v>
      </c>
      <c r="R5" s="5">
        <v>3.6509999999999998</v>
      </c>
      <c r="S5" s="5">
        <v>5.7439999999999998</v>
      </c>
      <c r="T5" s="6">
        <v>4.5350000000000001</v>
      </c>
      <c r="U5" s="6">
        <v>9.9251000000000005</v>
      </c>
      <c r="V5" s="6">
        <v>21.2593</v>
      </c>
      <c r="W5" s="6">
        <v>7.0679999999999996</v>
      </c>
      <c r="X5" s="6">
        <v>0.50880000000000003</v>
      </c>
      <c r="Y5" s="6">
        <v>2.3151000000000002</v>
      </c>
      <c r="AC5" s="6">
        <v>10.827999999999999</v>
      </c>
      <c r="AD5" s="6">
        <v>4.9299999999999997E-2</v>
      </c>
      <c r="AE5" s="6">
        <v>0.53220000000000001</v>
      </c>
      <c r="AF5" s="19">
        <f t="shared" si="1"/>
        <v>6.7458986511119201E-2</v>
      </c>
      <c r="AG5" s="6">
        <v>20.795000000000002</v>
      </c>
      <c r="AH5" s="6">
        <v>0.41460000000000002</v>
      </c>
      <c r="AI5" s="6">
        <v>2.7237</v>
      </c>
      <c r="AJ5" s="270">
        <v>4.5179999999999998</v>
      </c>
      <c r="AK5" s="270">
        <v>7.0178000000000003</v>
      </c>
      <c r="AL5" s="270">
        <v>18.233799999999999</v>
      </c>
      <c r="AM5" s="270">
        <v>7.101</v>
      </c>
      <c r="AN5" s="270">
        <v>0.47020000000000001</v>
      </c>
      <c r="AO5" s="270">
        <v>2.1352000000000002</v>
      </c>
      <c r="AT5" s="270">
        <v>0</v>
      </c>
      <c r="AU5" s="270">
        <v>0</v>
      </c>
      <c r="AV5" s="16">
        <v>0</v>
      </c>
      <c r="AW5" s="270">
        <v>20.588000000000001</v>
      </c>
      <c r="AX5" s="270">
        <v>2.2048000000000001</v>
      </c>
      <c r="AY5" s="270">
        <v>4.4259000000000004</v>
      </c>
      <c r="AZ5" s="271">
        <v>4.5880000000000001</v>
      </c>
      <c r="BA5" s="271">
        <v>6.8361999999999998</v>
      </c>
      <c r="BB5" s="271">
        <v>15.8727</v>
      </c>
      <c r="BC5" s="271">
        <v>7.1980000000000004</v>
      </c>
      <c r="BD5" s="271">
        <v>0.56799999999999995</v>
      </c>
      <c r="BE5" s="271">
        <v>2.3839999999999999</v>
      </c>
      <c r="BI5" s="271">
        <v>10.898</v>
      </c>
      <c r="BJ5" s="271">
        <v>2.5097999999999998</v>
      </c>
      <c r="BK5" s="271">
        <v>8.2849000000000004</v>
      </c>
      <c r="BL5" s="17">
        <f t="shared" ref="BL5:BL13" si="4">(BJ5+14.394)/109.55</f>
        <v>0.15430214513920584</v>
      </c>
      <c r="BM5" s="271">
        <v>21.994</v>
      </c>
      <c r="BN5" s="271">
        <v>2.2124000000000001</v>
      </c>
      <c r="BO5" s="271">
        <v>4.0415000000000001</v>
      </c>
      <c r="BS5" s="7">
        <v>7.2309999999999999</v>
      </c>
      <c r="BT5" s="7">
        <v>0.72109999999999996</v>
      </c>
      <c r="BU5" s="7">
        <v>2.5948000000000002</v>
      </c>
      <c r="BZ5" s="7">
        <v>0</v>
      </c>
      <c r="CB5" s="23">
        <v>0</v>
      </c>
      <c r="FP5">
        <v>18</v>
      </c>
      <c r="FQ5">
        <f t="shared" si="2"/>
        <v>22</v>
      </c>
      <c r="FR5">
        <f t="shared" si="3"/>
        <v>35.200000000000003</v>
      </c>
    </row>
    <row r="6" spans="1:187">
      <c r="A6" t="s">
        <v>72</v>
      </c>
      <c r="B6" t="s">
        <v>31</v>
      </c>
      <c r="C6">
        <v>25</v>
      </c>
      <c r="D6" s="5">
        <v>4.524</v>
      </c>
      <c r="E6" s="5">
        <v>6.7111000000000001</v>
      </c>
      <c r="F6" s="5">
        <v>15.2332</v>
      </c>
      <c r="G6" s="5">
        <v>7.0609999999999999</v>
      </c>
      <c r="H6" s="5">
        <v>0.38500000000000001</v>
      </c>
      <c r="I6" s="5">
        <v>2.0167000000000002</v>
      </c>
      <c r="M6" s="5">
        <v>10.678000000000001</v>
      </c>
      <c r="N6" s="5">
        <v>12.248200000000001</v>
      </c>
      <c r="O6" s="5" t="s">
        <v>74</v>
      </c>
      <c r="P6" s="17">
        <f t="shared" si="0"/>
        <v>0.17864108640174992</v>
      </c>
      <c r="Q6" s="5">
        <v>20.658000000000001</v>
      </c>
      <c r="R6" s="5">
        <v>2.794</v>
      </c>
      <c r="S6" s="5">
        <v>5.1901999999999999</v>
      </c>
      <c r="T6" s="6">
        <v>4.5350000000000001</v>
      </c>
      <c r="U6" s="6">
        <v>9.9512</v>
      </c>
      <c r="V6" s="6">
        <v>21.363299999999999</v>
      </c>
      <c r="W6" s="6">
        <v>7.0810000000000004</v>
      </c>
      <c r="X6" s="6">
        <v>0.51570000000000005</v>
      </c>
      <c r="Y6" s="6">
        <v>2.6793</v>
      </c>
      <c r="AC6" s="6">
        <v>10.675000000000001</v>
      </c>
      <c r="AD6" s="6">
        <v>6.1452</v>
      </c>
      <c r="AE6" s="6">
        <v>18.0138</v>
      </c>
      <c r="AF6" s="19">
        <f t="shared" si="1"/>
        <v>0.12301768137076192</v>
      </c>
      <c r="AG6" s="6">
        <v>20.670999999999999</v>
      </c>
      <c r="AH6" s="6">
        <v>3.5508000000000002</v>
      </c>
      <c r="AI6" s="6">
        <v>5.8893000000000004</v>
      </c>
      <c r="AJ6" s="270">
        <v>4.5209999999999999</v>
      </c>
      <c r="AK6" s="270">
        <v>6.6555</v>
      </c>
      <c r="AL6" s="270">
        <v>18.183800000000002</v>
      </c>
      <c r="AM6" s="270">
        <v>7.0780000000000003</v>
      </c>
      <c r="AN6" s="270">
        <v>0.52500000000000002</v>
      </c>
      <c r="AO6" s="270">
        <v>2.0613999999999999</v>
      </c>
      <c r="AS6" s="270">
        <v>10.664</v>
      </c>
      <c r="AT6" s="270">
        <v>6.7317999999999998</v>
      </c>
      <c r="AU6" s="270">
        <v>18.3187</v>
      </c>
      <c r="AV6" s="16">
        <f t="shared" ref="AV6:AV13" si="5">(AT6+7.3523)/109.72</f>
        <v>0.12836401749908857</v>
      </c>
      <c r="AW6" s="270">
        <v>20.638000000000002</v>
      </c>
      <c r="AX6" s="270">
        <v>2.2259000000000002</v>
      </c>
      <c r="AY6" s="270">
        <v>4.8307000000000002</v>
      </c>
      <c r="AZ6" s="271">
        <v>4.5810000000000004</v>
      </c>
      <c r="BA6" s="271">
        <v>6.0598000000000001</v>
      </c>
      <c r="BB6" s="271">
        <v>14.7279</v>
      </c>
      <c r="BC6" s="271">
        <v>7.218</v>
      </c>
      <c r="BD6" s="271">
        <v>0.44290000000000002</v>
      </c>
      <c r="BE6" s="271">
        <v>2.0804</v>
      </c>
      <c r="BI6" s="271">
        <v>10.923999999999999</v>
      </c>
      <c r="BJ6" s="271">
        <v>39.150199999999998</v>
      </c>
      <c r="BK6" s="271">
        <v>105.62050000000001</v>
      </c>
      <c r="BL6" s="17">
        <f t="shared" si="4"/>
        <v>0.48876494751255134</v>
      </c>
      <c r="BM6" s="271">
        <v>22.013999999999999</v>
      </c>
      <c r="BN6" s="271">
        <v>2.7000000000000001E-3</v>
      </c>
      <c r="BO6" s="271">
        <v>9.1899999999999996E-2</v>
      </c>
      <c r="BS6" s="7">
        <v>7.2309999999999999</v>
      </c>
      <c r="BT6" s="7">
        <v>0.6613</v>
      </c>
      <c r="BU6" s="7">
        <v>2.2711000000000001</v>
      </c>
      <c r="BZ6" s="7">
        <v>0</v>
      </c>
      <c r="CB6" s="23">
        <v>0</v>
      </c>
      <c r="FP6">
        <v>15.5</v>
      </c>
      <c r="FQ6">
        <f t="shared" si="2"/>
        <v>24.5</v>
      </c>
      <c r="FR6">
        <f t="shared" si="3"/>
        <v>39.200000000000003</v>
      </c>
    </row>
    <row r="7" spans="1:187">
      <c r="A7" t="s">
        <v>72</v>
      </c>
      <c r="B7" t="s">
        <v>32</v>
      </c>
      <c r="C7">
        <v>30</v>
      </c>
      <c r="D7" s="5">
        <v>4.5179999999999998</v>
      </c>
      <c r="E7" s="5">
        <v>6.7106000000000003</v>
      </c>
      <c r="F7" s="5">
        <v>14.763</v>
      </c>
      <c r="G7" s="5">
        <v>7.0679999999999996</v>
      </c>
      <c r="H7" s="5">
        <v>0.33860000000000001</v>
      </c>
      <c r="I7" s="5">
        <v>1.696</v>
      </c>
      <c r="M7" s="5">
        <v>10.670999999999999</v>
      </c>
      <c r="N7" s="5">
        <v>34.000999999999998</v>
      </c>
      <c r="O7" s="5">
        <v>92.228099999999998</v>
      </c>
      <c r="P7" s="17">
        <f t="shared" si="0"/>
        <v>0.37689846882974842</v>
      </c>
      <c r="Q7" s="5">
        <v>20.710999999999999</v>
      </c>
      <c r="R7" s="5">
        <v>2.3464</v>
      </c>
      <c r="S7" s="5">
        <v>4.5263999999999998</v>
      </c>
      <c r="T7" s="6">
        <v>4.5309999999999997</v>
      </c>
      <c r="U7" s="6">
        <v>8.4756999999999998</v>
      </c>
      <c r="V7" s="6">
        <v>20.358000000000001</v>
      </c>
      <c r="W7" s="6">
        <v>7.0780000000000003</v>
      </c>
      <c r="X7" s="6">
        <v>0.68240000000000001</v>
      </c>
      <c r="Y7" s="6">
        <v>2.4279000000000002</v>
      </c>
      <c r="AC7" s="6">
        <v>10.680999999999999</v>
      </c>
      <c r="AD7" s="6">
        <v>18.075900000000001</v>
      </c>
      <c r="AE7" s="6">
        <v>46.144399999999997</v>
      </c>
      <c r="AF7" s="19">
        <f t="shared" si="1"/>
        <v>0.23175537732409771</v>
      </c>
      <c r="AG7" s="6">
        <v>20.667999999999999</v>
      </c>
      <c r="AH7" s="6">
        <v>2.4737</v>
      </c>
      <c r="AI7" s="6">
        <v>4.4188999999999998</v>
      </c>
      <c r="AJ7" s="270">
        <v>4.5179999999999998</v>
      </c>
      <c r="AK7" s="270">
        <v>7.7906000000000004</v>
      </c>
      <c r="AL7" s="270">
        <v>17.424700000000001</v>
      </c>
      <c r="AM7" s="270">
        <v>7.101</v>
      </c>
      <c r="AN7" s="270">
        <v>0.4143</v>
      </c>
      <c r="AO7" s="270">
        <v>1.9234</v>
      </c>
      <c r="AS7" s="270">
        <v>10.670999999999999</v>
      </c>
      <c r="AT7" s="270">
        <v>31.538499999999999</v>
      </c>
      <c r="AU7" s="270">
        <v>86.910399999999996</v>
      </c>
      <c r="AV7" s="16">
        <f t="shared" si="5"/>
        <v>0.35445497630331751</v>
      </c>
      <c r="AW7" s="270">
        <v>20.577999999999999</v>
      </c>
      <c r="AX7" s="270">
        <v>0.39389999999999997</v>
      </c>
      <c r="AY7" s="270">
        <v>1.5789</v>
      </c>
      <c r="AZ7" s="271">
        <v>4.5810000000000004</v>
      </c>
      <c r="BA7" s="271">
        <v>7.0423999999999998</v>
      </c>
      <c r="BB7" s="271">
        <v>15.085699999999999</v>
      </c>
      <c r="BC7" s="271">
        <v>7.2009999999999996</v>
      </c>
      <c r="BD7" s="271">
        <v>0.32240000000000002</v>
      </c>
      <c r="BE7" s="271">
        <v>1.9677</v>
      </c>
      <c r="BI7" s="271">
        <v>10.923999999999999</v>
      </c>
      <c r="BJ7" s="271">
        <v>62.442300000000003</v>
      </c>
      <c r="BK7" s="271">
        <v>173.88550000000001</v>
      </c>
      <c r="BL7" s="17">
        <f t="shared" si="4"/>
        <v>0.70138110451848479</v>
      </c>
      <c r="BM7" s="271">
        <v>21.981000000000002</v>
      </c>
      <c r="BN7" s="271">
        <v>1.3333999999999999</v>
      </c>
      <c r="BO7" s="271">
        <v>2.9350999999999998</v>
      </c>
      <c r="BS7" s="7">
        <v>7.2279999999999998</v>
      </c>
      <c r="BT7" s="7">
        <v>0.52729999999999999</v>
      </c>
      <c r="BU7" s="7">
        <v>2.3664999999999998</v>
      </c>
      <c r="BZ7" s="7">
        <v>0</v>
      </c>
      <c r="CB7" s="23">
        <v>0</v>
      </c>
      <c r="FP7">
        <v>18</v>
      </c>
      <c r="FQ7">
        <f t="shared" si="2"/>
        <v>22</v>
      </c>
      <c r="FR7">
        <f t="shared" si="3"/>
        <v>35.200000000000003</v>
      </c>
    </row>
    <row r="8" spans="1:187">
      <c r="A8" t="s">
        <v>72</v>
      </c>
      <c r="B8" t="s">
        <v>33</v>
      </c>
      <c r="C8">
        <v>35</v>
      </c>
      <c r="D8" s="5">
        <v>4.5149999999999997</v>
      </c>
      <c r="E8" s="5">
        <v>6.7903000000000002</v>
      </c>
      <c r="F8" s="5">
        <v>14.632400000000001</v>
      </c>
      <c r="G8" s="5">
        <v>7.0650000000000004</v>
      </c>
      <c r="H8" s="5">
        <v>0.33200000000000002</v>
      </c>
      <c r="I8" s="5">
        <v>1.7302999999999999</v>
      </c>
      <c r="M8" s="5">
        <v>10.680999999999999</v>
      </c>
      <c r="N8" s="5">
        <v>50.025100000000002</v>
      </c>
      <c r="O8" s="5">
        <v>138.27930000000001</v>
      </c>
      <c r="P8" s="17">
        <f t="shared" si="0"/>
        <v>0.52294385709077651</v>
      </c>
      <c r="Q8" s="5">
        <v>20.670999999999999</v>
      </c>
      <c r="R8" s="5">
        <v>2.5163000000000002</v>
      </c>
      <c r="S8" s="5">
        <v>4.3246000000000002</v>
      </c>
      <c r="T8" s="6">
        <v>4.5279999999999996</v>
      </c>
      <c r="U8" s="6">
        <v>8.2148000000000003</v>
      </c>
      <c r="V8" s="6">
        <v>20.0914</v>
      </c>
      <c r="W8" s="6">
        <v>7.1079999999999997</v>
      </c>
      <c r="X8" s="6">
        <v>0.31130000000000002</v>
      </c>
      <c r="Y8" s="6">
        <v>1.5431999999999999</v>
      </c>
      <c r="AC8" s="6">
        <v>10.670999999999999</v>
      </c>
      <c r="AD8" s="6">
        <v>32.220999999999997</v>
      </c>
      <c r="AE8" s="6">
        <v>87.441400000000002</v>
      </c>
      <c r="AF8" s="19">
        <f t="shared" si="1"/>
        <v>0.36067535545023693</v>
      </c>
      <c r="AG8" s="6">
        <v>20.721</v>
      </c>
      <c r="AH8" s="6">
        <v>2.121</v>
      </c>
      <c r="AI8" s="6">
        <v>3.9695999999999998</v>
      </c>
      <c r="AJ8" s="270">
        <v>4.5110000000000001</v>
      </c>
      <c r="AK8" s="270">
        <v>7.2111999999999998</v>
      </c>
      <c r="AL8" s="270">
        <v>16.7546</v>
      </c>
      <c r="AM8" s="270">
        <v>7.0880000000000001</v>
      </c>
      <c r="AN8" s="270">
        <v>0.42280000000000001</v>
      </c>
      <c r="AO8" s="270">
        <v>1.6894</v>
      </c>
      <c r="AS8" s="270">
        <v>10.675000000000001</v>
      </c>
      <c r="AT8" s="270">
        <v>61.026000000000003</v>
      </c>
      <c r="AU8" s="270">
        <v>163.6328</v>
      </c>
      <c r="AV8" s="16">
        <f t="shared" si="5"/>
        <v>0.62320725483047756</v>
      </c>
      <c r="AW8" s="270">
        <v>20.574999999999999</v>
      </c>
      <c r="AX8" s="270">
        <v>4.5600000000000002E-2</v>
      </c>
      <c r="AY8" s="270">
        <v>0.76749999999999996</v>
      </c>
      <c r="AZ8" s="271">
        <v>4.5679999999999996</v>
      </c>
      <c r="BA8" s="271">
        <v>6.7878999999999996</v>
      </c>
      <c r="BB8" s="271">
        <v>15.375299999999999</v>
      </c>
      <c r="BC8" s="271">
        <v>7.2439999999999998</v>
      </c>
      <c r="BD8" s="271">
        <v>0.39140000000000003</v>
      </c>
      <c r="BE8" s="271">
        <v>2.3555000000000001</v>
      </c>
      <c r="BI8" s="271">
        <v>10.923999999999999</v>
      </c>
      <c r="BJ8" s="271">
        <v>70.260999999999996</v>
      </c>
      <c r="BK8" s="271">
        <v>190.88419999999999</v>
      </c>
      <c r="BL8" s="17">
        <f t="shared" si="4"/>
        <v>0.7727521679598357</v>
      </c>
      <c r="BM8" s="271">
        <v>22.030999999999999</v>
      </c>
      <c r="BN8" s="271">
        <v>1.5389999999999999</v>
      </c>
      <c r="BO8" s="271">
        <v>3.0586000000000002</v>
      </c>
      <c r="BS8" s="7">
        <v>7.1980000000000004</v>
      </c>
      <c r="BT8" s="7">
        <v>0.2888</v>
      </c>
      <c r="BU8" s="7">
        <v>2.3163</v>
      </c>
      <c r="BZ8" s="7">
        <v>0</v>
      </c>
      <c r="CB8" s="23">
        <v>0</v>
      </c>
      <c r="FP8">
        <v>15</v>
      </c>
      <c r="FQ8">
        <f t="shared" si="2"/>
        <v>25</v>
      </c>
      <c r="FR8">
        <f t="shared" si="3"/>
        <v>40</v>
      </c>
    </row>
    <row r="9" spans="1:187">
      <c r="A9" t="s">
        <v>72</v>
      </c>
      <c r="B9" t="s">
        <v>34</v>
      </c>
      <c r="C9">
        <v>40</v>
      </c>
      <c r="D9" s="5">
        <v>4.5149999999999997</v>
      </c>
      <c r="E9" s="5">
        <v>6.5753000000000004</v>
      </c>
      <c r="F9" s="5">
        <v>14.166600000000001</v>
      </c>
      <c r="G9" s="5">
        <v>7.0549999999999997</v>
      </c>
      <c r="H9" s="5">
        <v>0.48499999999999999</v>
      </c>
      <c r="I9" s="5">
        <v>1.9426000000000001</v>
      </c>
      <c r="M9" s="5">
        <v>10.685</v>
      </c>
      <c r="N9" s="5">
        <v>65.322900000000004</v>
      </c>
      <c r="O9" s="5">
        <v>173.4778</v>
      </c>
      <c r="P9" s="17">
        <f t="shared" si="0"/>
        <v>0.6623696682464455</v>
      </c>
      <c r="Q9" s="5">
        <v>20.678000000000001</v>
      </c>
      <c r="R9" s="5">
        <v>3.1335999999999999</v>
      </c>
      <c r="S9" s="5">
        <v>4.8331</v>
      </c>
      <c r="T9" s="6">
        <v>4.5209999999999999</v>
      </c>
      <c r="U9" s="6">
        <v>9.5341000000000005</v>
      </c>
      <c r="V9" s="6">
        <v>20.048400000000001</v>
      </c>
      <c r="W9" s="6">
        <v>7.1379999999999999</v>
      </c>
      <c r="X9" s="6">
        <v>0.40949999999999998</v>
      </c>
      <c r="Y9" s="6">
        <v>1.6505000000000001</v>
      </c>
      <c r="AC9" s="6">
        <v>10.673999999999999</v>
      </c>
      <c r="AD9" s="6">
        <v>46.173499999999997</v>
      </c>
      <c r="AE9" s="6">
        <v>126.4674</v>
      </c>
      <c r="AF9" s="19">
        <f t="shared" si="1"/>
        <v>0.48783995625227849</v>
      </c>
      <c r="AG9" s="6">
        <v>20.568000000000001</v>
      </c>
      <c r="AH9" s="6">
        <v>0.104</v>
      </c>
      <c r="AI9" s="6">
        <v>0.58150000000000002</v>
      </c>
      <c r="AJ9" s="270">
        <v>4.5110000000000001</v>
      </c>
      <c r="AK9" s="270">
        <v>6.6772</v>
      </c>
      <c r="AL9" s="270">
        <v>15.5442</v>
      </c>
      <c r="AM9" s="270">
        <v>7.101</v>
      </c>
      <c r="AN9" s="270">
        <v>0.30859999999999999</v>
      </c>
      <c r="AO9" s="270">
        <v>1.5826</v>
      </c>
      <c r="AS9" s="270">
        <v>10.673999999999999</v>
      </c>
      <c r="AT9" s="270">
        <v>88.7029</v>
      </c>
      <c r="AU9" s="270">
        <v>244.24250000000001</v>
      </c>
      <c r="AV9" s="16">
        <f t="shared" si="5"/>
        <v>0.87545752825373679</v>
      </c>
      <c r="AW9" s="270">
        <v>20.648</v>
      </c>
      <c r="AX9" s="270">
        <v>2.4521999999999999</v>
      </c>
      <c r="AY9" s="270">
        <v>4.1355000000000004</v>
      </c>
      <c r="AZ9" s="271">
        <v>4.5679999999999996</v>
      </c>
      <c r="BA9" s="271">
        <v>6.5190999999999999</v>
      </c>
      <c r="BB9" s="271">
        <v>15.026400000000001</v>
      </c>
      <c r="BC9" s="271">
        <v>7.2549999999999999</v>
      </c>
      <c r="BD9" s="271">
        <v>0.42109999999999997</v>
      </c>
      <c r="BE9" s="271">
        <v>1.6837</v>
      </c>
      <c r="BI9" s="271">
        <v>10.917999999999999</v>
      </c>
      <c r="BJ9" s="271">
        <v>65.799800000000005</v>
      </c>
      <c r="BK9" s="271">
        <v>183.85499999999999</v>
      </c>
      <c r="BL9" s="17">
        <f t="shared" si="4"/>
        <v>0.73202921040620728</v>
      </c>
      <c r="BM9" s="271">
        <v>21.908000000000001</v>
      </c>
      <c r="BN9" s="271">
        <v>1.8234999999999999</v>
      </c>
      <c r="BO9" s="271">
        <v>3.6619999999999999</v>
      </c>
      <c r="BS9" s="7">
        <v>7.2309999999999999</v>
      </c>
      <c r="BT9" s="7">
        <v>0.73270000000000002</v>
      </c>
      <c r="BU9" s="7">
        <v>2.5931999999999999</v>
      </c>
      <c r="BZ9" s="7">
        <v>0</v>
      </c>
      <c r="CB9" s="23">
        <v>0</v>
      </c>
      <c r="FP9">
        <v>14.5</v>
      </c>
      <c r="FQ9">
        <f t="shared" si="2"/>
        <v>25.5</v>
      </c>
      <c r="FR9">
        <f t="shared" si="3"/>
        <v>40.800000000000004</v>
      </c>
    </row>
    <row r="10" spans="1:187">
      <c r="A10" t="s">
        <v>72</v>
      </c>
      <c r="B10" t="s">
        <v>35</v>
      </c>
      <c r="C10">
        <v>45</v>
      </c>
      <c r="D10" s="5">
        <v>4.5309999999999997</v>
      </c>
      <c r="E10" s="5">
        <v>6.2271000000000001</v>
      </c>
      <c r="F10" s="5">
        <v>14.2149</v>
      </c>
      <c r="G10" s="5">
        <v>7.0579999999999998</v>
      </c>
      <c r="H10" s="5">
        <v>0.45369999999999999</v>
      </c>
      <c r="I10" s="5">
        <v>1.7362</v>
      </c>
      <c r="M10" s="5">
        <v>10.680999999999999</v>
      </c>
      <c r="N10" s="5">
        <v>76.662800000000004</v>
      </c>
      <c r="O10" s="5">
        <v>209.03530000000001</v>
      </c>
      <c r="P10" s="17">
        <f t="shared" si="0"/>
        <v>0.76572274881516589</v>
      </c>
      <c r="Q10" s="5">
        <v>20.675000000000001</v>
      </c>
      <c r="R10" s="5">
        <v>1.0800000000000001E-2</v>
      </c>
      <c r="S10" s="5">
        <v>0.19969999999999999</v>
      </c>
      <c r="T10" s="6">
        <v>4.5209999999999999</v>
      </c>
      <c r="U10" s="6">
        <v>8.1890000000000001</v>
      </c>
      <c r="V10" s="6">
        <v>19.3383</v>
      </c>
      <c r="W10" s="6">
        <v>7.0949999999999998</v>
      </c>
      <c r="X10" s="6">
        <v>0.27400000000000002</v>
      </c>
      <c r="Y10" s="6">
        <v>1.6374</v>
      </c>
      <c r="AC10" s="6">
        <v>10.678000000000001</v>
      </c>
      <c r="AD10" s="6">
        <v>63.905700000000003</v>
      </c>
      <c r="AE10" s="6">
        <v>171.233</v>
      </c>
      <c r="AF10" s="19">
        <f t="shared" si="1"/>
        <v>0.64945315348158961</v>
      </c>
      <c r="AG10" s="6">
        <v>20.611000000000001</v>
      </c>
      <c r="AH10" s="6">
        <v>0.94769999999999999</v>
      </c>
      <c r="AI10" s="6">
        <v>2.7214999999999998</v>
      </c>
      <c r="AJ10" s="270">
        <v>4.508</v>
      </c>
      <c r="AK10" s="270">
        <v>5.5659999999999998</v>
      </c>
      <c r="AL10" s="270">
        <v>14.712199999999999</v>
      </c>
      <c r="AM10" s="270">
        <v>7.1210000000000004</v>
      </c>
      <c r="AN10" s="270">
        <v>0.32769999999999999</v>
      </c>
      <c r="AO10" s="270">
        <v>1.3110999999999999</v>
      </c>
      <c r="AS10" s="270">
        <v>10.680999999999999</v>
      </c>
      <c r="AT10" s="270">
        <v>109.82080000000001</v>
      </c>
      <c r="AU10" s="270">
        <v>307.8562</v>
      </c>
      <c r="AV10" s="16">
        <f t="shared" si="5"/>
        <v>1.0679283631060883</v>
      </c>
      <c r="AW10" s="270">
        <v>20.678000000000001</v>
      </c>
      <c r="AX10" s="270">
        <v>4.4699999999999997E-2</v>
      </c>
      <c r="AY10" s="270">
        <v>0.51539999999999997</v>
      </c>
      <c r="AZ10" s="271">
        <v>4.5739999999999998</v>
      </c>
      <c r="BA10" s="271">
        <v>6.8072999999999997</v>
      </c>
      <c r="BB10" s="271">
        <v>15.240399999999999</v>
      </c>
      <c r="BC10" s="271">
        <v>7.2610000000000001</v>
      </c>
      <c r="BD10" s="271">
        <v>0.38090000000000002</v>
      </c>
      <c r="BE10" s="271">
        <v>1.7182999999999999</v>
      </c>
      <c r="BI10" s="271">
        <v>10.917999999999999</v>
      </c>
      <c r="BJ10" s="271">
        <v>66.917599999999993</v>
      </c>
      <c r="BK10" s="271">
        <v>186.85939999999999</v>
      </c>
      <c r="BL10" s="17">
        <f t="shared" si="4"/>
        <v>0.74223277042446367</v>
      </c>
      <c r="BM10" s="271">
        <v>22.001000000000001</v>
      </c>
      <c r="BN10" s="271">
        <v>2.2667000000000002</v>
      </c>
      <c r="BO10" s="271">
        <v>4.1287000000000003</v>
      </c>
      <c r="BS10" s="7">
        <v>7.2110000000000003</v>
      </c>
      <c r="BT10" s="7">
        <v>0.57840000000000003</v>
      </c>
      <c r="BU10" s="7">
        <v>2.6526999999999998</v>
      </c>
      <c r="BY10" s="7">
        <v>10.895</v>
      </c>
      <c r="BZ10" s="7">
        <v>1.7926</v>
      </c>
      <c r="CA10" s="7">
        <v>4.9516</v>
      </c>
      <c r="CB10" s="23">
        <f t="shared" ref="CB10:CB13" si="6">(BZ10+14.394)/109.55</f>
        <v>0.1477553628480146</v>
      </c>
      <c r="FP10">
        <v>15.5</v>
      </c>
      <c r="FQ10">
        <f t="shared" si="2"/>
        <v>24.5</v>
      </c>
      <c r="FR10">
        <f t="shared" si="3"/>
        <v>39.200000000000003</v>
      </c>
    </row>
    <row r="11" spans="1:187">
      <c r="A11" t="s">
        <v>72</v>
      </c>
      <c r="B11" t="s">
        <v>36</v>
      </c>
      <c r="C11">
        <v>50</v>
      </c>
      <c r="D11" s="5">
        <v>4.5209999999999999</v>
      </c>
      <c r="E11" s="5">
        <v>6.8799000000000001</v>
      </c>
      <c r="F11" s="5">
        <v>14.388</v>
      </c>
      <c r="G11" s="5">
        <v>7.1379999999999999</v>
      </c>
      <c r="H11" s="5">
        <v>0.38950000000000001</v>
      </c>
      <c r="I11" s="5">
        <v>1.4309000000000001</v>
      </c>
      <c r="M11" s="5">
        <v>10.683999999999999</v>
      </c>
      <c r="N11" s="5">
        <v>84.258200000000002</v>
      </c>
      <c r="O11" s="5">
        <v>231.00470000000001</v>
      </c>
      <c r="P11" s="17">
        <f t="shared" si="0"/>
        <v>0.83494804958075097</v>
      </c>
      <c r="Q11" s="5">
        <v>20.608000000000001</v>
      </c>
      <c r="R11" s="5">
        <v>1.9742</v>
      </c>
      <c r="S11" s="5">
        <v>3.6406999999999998</v>
      </c>
      <c r="T11" s="6">
        <v>4.5209999999999999</v>
      </c>
      <c r="U11" s="6">
        <v>8.4375</v>
      </c>
      <c r="V11" s="6">
        <v>18.927600000000002</v>
      </c>
      <c r="W11" s="6">
        <v>7.1139999999999999</v>
      </c>
      <c r="X11" s="6">
        <v>0.40820000000000001</v>
      </c>
      <c r="Y11" s="6">
        <v>1.7139</v>
      </c>
      <c r="AC11" s="6">
        <v>10.678000000000001</v>
      </c>
      <c r="AD11" s="6">
        <v>74.643900000000002</v>
      </c>
      <c r="AE11" s="6">
        <v>198.80699999999999</v>
      </c>
      <c r="AF11" s="19">
        <f t="shared" si="1"/>
        <v>0.74732227488151659</v>
      </c>
      <c r="AG11" s="6">
        <v>20.684000000000001</v>
      </c>
      <c r="AH11" s="6">
        <v>8.6999999999999994E-3</v>
      </c>
      <c r="AI11" s="6">
        <v>0.1711</v>
      </c>
      <c r="AJ11" s="270">
        <v>4.5110000000000001</v>
      </c>
      <c r="AK11" s="270">
        <v>5.6148999999999996</v>
      </c>
      <c r="AL11" s="270">
        <v>14.688599999999999</v>
      </c>
      <c r="AM11" s="270">
        <v>7.1210000000000004</v>
      </c>
      <c r="AN11" s="270">
        <v>0.4778</v>
      </c>
      <c r="AO11" s="270">
        <v>1.8534999999999999</v>
      </c>
      <c r="AS11" s="270">
        <v>10.675000000000001</v>
      </c>
      <c r="AT11" s="270">
        <v>115.09050000000001</v>
      </c>
      <c r="AU11" s="270">
        <v>318.47770000000003</v>
      </c>
      <c r="AV11" s="16">
        <f t="shared" si="5"/>
        <v>1.1159569814072183</v>
      </c>
      <c r="AW11" s="270">
        <v>20.805</v>
      </c>
      <c r="AX11" s="270">
        <v>6.2300000000000001E-2</v>
      </c>
      <c r="AY11" s="270">
        <v>0.66359999999999997</v>
      </c>
      <c r="AZ11" s="271">
        <v>4.5679999999999996</v>
      </c>
      <c r="BA11" s="271">
        <v>4.5603999999999996</v>
      </c>
      <c r="BB11" s="271">
        <v>13.697800000000001</v>
      </c>
      <c r="BC11" s="271">
        <v>7.2380000000000004</v>
      </c>
      <c r="BD11" s="271">
        <v>0.28039999999999998</v>
      </c>
      <c r="BE11" s="271">
        <v>1.9054</v>
      </c>
      <c r="BI11" s="271">
        <v>10.920999999999999</v>
      </c>
      <c r="BJ11" s="271">
        <v>73.867599999999996</v>
      </c>
      <c r="BK11" s="271">
        <v>199.03129999999999</v>
      </c>
      <c r="BL11" s="17">
        <f t="shared" si="4"/>
        <v>0.80567412140575079</v>
      </c>
      <c r="BM11" s="271">
        <v>22.015000000000001</v>
      </c>
      <c r="BN11" s="271">
        <v>1.3882000000000001</v>
      </c>
      <c r="BO11" s="271">
        <v>3.4796999999999998</v>
      </c>
      <c r="BS11" s="7">
        <v>7.2149999999999999</v>
      </c>
      <c r="BT11" s="7">
        <v>0.5232</v>
      </c>
      <c r="BU11" s="7">
        <v>2.1886999999999999</v>
      </c>
      <c r="BY11" s="7">
        <v>10.917999999999999</v>
      </c>
      <c r="BZ11" s="7">
        <v>41.104199999999999</v>
      </c>
      <c r="CA11" s="7">
        <v>105.3972</v>
      </c>
      <c r="CB11" s="23">
        <f t="shared" si="6"/>
        <v>0.50660155180282973</v>
      </c>
      <c r="FP11">
        <v>14</v>
      </c>
      <c r="FQ11">
        <f t="shared" si="2"/>
        <v>26</v>
      </c>
      <c r="FR11">
        <f t="shared" si="3"/>
        <v>41.6</v>
      </c>
    </row>
    <row r="12" spans="1:187">
      <c r="A12" t="s">
        <v>72</v>
      </c>
      <c r="B12" t="s">
        <v>37</v>
      </c>
      <c r="C12">
        <v>55</v>
      </c>
      <c r="D12" s="5">
        <v>4.5179999999999998</v>
      </c>
      <c r="E12" s="5">
        <v>6.7179000000000002</v>
      </c>
      <c r="F12" s="5">
        <v>14.4863</v>
      </c>
      <c r="G12" s="5">
        <v>7.1109999999999998</v>
      </c>
      <c r="H12" s="5">
        <v>0.19839999999999999</v>
      </c>
      <c r="I12" s="5">
        <v>0.90249999999999997</v>
      </c>
      <c r="M12" s="5">
        <v>10.680999999999999</v>
      </c>
      <c r="N12" s="5">
        <v>83.060299999999998</v>
      </c>
      <c r="O12" s="5">
        <v>234.2002</v>
      </c>
      <c r="P12" s="17">
        <f t="shared" si="0"/>
        <v>0.82403025884068537</v>
      </c>
      <c r="Q12" s="5">
        <v>20.605</v>
      </c>
      <c r="R12" s="5">
        <v>2.1183999999999998</v>
      </c>
      <c r="S12" s="5">
        <v>3.9603999999999999</v>
      </c>
      <c r="T12" s="6">
        <v>4.5140000000000002</v>
      </c>
      <c r="U12" s="6">
        <v>7.7328999999999999</v>
      </c>
      <c r="V12" s="6">
        <v>18.5914</v>
      </c>
      <c r="W12" s="6">
        <v>7.1239999999999997</v>
      </c>
      <c r="X12" s="6">
        <v>0.3034</v>
      </c>
      <c r="Y12" s="6">
        <v>1.3666</v>
      </c>
      <c r="AC12" s="6">
        <v>10.670999999999999</v>
      </c>
      <c r="AD12" s="6">
        <v>82.980400000000003</v>
      </c>
      <c r="AE12" s="6">
        <v>226.2105</v>
      </c>
      <c r="AF12" s="19">
        <f t="shared" si="1"/>
        <v>0.82330204156033548</v>
      </c>
      <c r="AG12" s="6">
        <v>20.577999999999999</v>
      </c>
      <c r="AH12" s="6">
        <v>1.5056</v>
      </c>
      <c r="AI12" s="6">
        <v>3.3908999999999998</v>
      </c>
      <c r="AJ12" s="270">
        <v>4.508</v>
      </c>
      <c r="AK12" s="270">
        <v>6.1402000000000001</v>
      </c>
      <c r="AL12" s="270">
        <v>15.133900000000001</v>
      </c>
      <c r="AM12" s="270">
        <v>7.101</v>
      </c>
      <c r="AN12" s="270">
        <v>0.51729999999999998</v>
      </c>
      <c r="AO12" s="270">
        <v>2.0571000000000002</v>
      </c>
      <c r="AS12" s="270">
        <v>10.680999999999999</v>
      </c>
      <c r="AT12" s="270">
        <v>109.7619</v>
      </c>
      <c r="AU12" s="270">
        <v>306.76080000000002</v>
      </c>
      <c r="AV12" s="16">
        <f t="shared" si="5"/>
        <v>1.0673915421071818</v>
      </c>
      <c r="AW12" s="270">
        <v>20.623999999999999</v>
      </c>
      <c r="AX12" s="270">
        <v>2.37</v>
      </c>
      <c r="AY12" s="270">
        <v>4.0247999999999999</v>
      </c>
      <c r="AZ12" s="271">
        <v>4.5679999999999996</v>
      </c>
      <c r="BA12" s="271">
        <v>6.2146999999999997</v>
      </c>
      <c r="BB12" s="271">
        <v>14.8979</v>
      </c>
      <c r="BC12" s="271">
        <v>7.2380000000000004</v>
      </c>
      <c r="BD12" s="271">
        <v>0.44</v>
      </c>
      <c r="BE12" s="271">
        <v>1.9278</v>
      </c>
      <c r="BI12" s="271">
        <v>10.920999999999999</v>
      </c>
      <c r="BJ12" s="271">
        <v>76.192800000000005</v>
      </c>
      <c r="BK12" s="271">
        <v>214.1978</v>
      </c>
      <c r="BL12" s="17">
        <f t="shared" si="4"/>
        <v>0.82689913281606586</v>
      </c>
      <c r="BM12" s="271">
        <v>21.943999999999999</v>
      </c>
      <c r="BN12" s="271">
        <v>1.1226</v>
      </c>
      <c r="BO12" s="271">
        <v>2.6753</v>
      </c>
      <c r="BS12" s="7">
        <v>7.2880000000000003</v>
      </c>
      <c r="BT12" s="7">
        <v>0.53269999999999995</v>
      </c>
      <c r="BU12" s="7">
        <v>2.2206999999999999</v>
      </c>
      <c r="BY12" s="7">
        <v>10.948</v>
      </c>
      <c r="BZ12" s="7">
        <v>148.03630000000001</v>
      </c>
      <c r="CA12" s="7">
        <v>411.91910000000001</v>
      </c>
      <c r="CB12" s="23">
        <f t="shared" si="6"/>
        <v>1.4827047010497492</v>
      </c>
    </row>
    <row r="13" spans="1:187">
      <c r="A13" t="s">
        <v>72</v>
      </c>
      <c r="B13" t="s">
        <v>38</v>
      </c>
      <c r="C13">
        <v>60</v>
      </c>
      <c r="D13" s="5">
        <v>4.5110000000000001</v>
      </c>
      <c r="E13" s="5">
        <v>5.8021000000000003</v>
      </c>
      <c r="F13" s="5">
        <v>14.114599999999999</v>
      </c>
      <c r="G13" s="5">
        <v>7.048</v>
      </c>
      <c r="H13" s="5">
        <v>0.2215</v>
      </c>
      <c r="I13" s="5">
        <v>1.3472</v>
      </c>
      <c r="M13" s="5">
        <v>10.675000000000001</v>
      </c>
      <c r="N13" s="5">
        <v>80.785300000000007</v>
      </c>
      <c r="O13" s="5">
        <v>220.3613</v>
      </c>
      <c r="P13" s="17">
        <f t="shared" si="0"/>
        <v>0.80329566168428734</v>
      </c>
      <c r="Q13" s="5">
        <v>20.651</v>
      </c>
      <c r="R13" s="5">
        <v>1.8220000000000001</v>
      </c>
      <c r="S13" s="5">
        <v>3.5575999999999999</v>
      </c>
      <c r="T13" s="6">
        <v>4.5179999999999998</v>
      </c>
      <c r="U13" s="6">
        <v>8.5502000000000002</v>
      </c>
      <c r="V13" s="6">
        <v>18.9466</v>
      </c>
      <c r="W13" s="6">
        <v>7.1280000000000001</v>
      </c>
      <c r="X13" s="6">
        <v>0.35749999999999998</v>
      </c>
      <c r="Y13" s="6">
        <v>1.6380999999999999</v>
      </c>
      <c r="AC13" s="6">
        <v>10.678000000000001</v>
      </c>
      <c r="AD13" s="6">
        <v>86.800899999999999</v>
      </c>
      <c r="AE13" s="6">
        <v>237.19399999999999</v>
      </c>
      <c r="AF13" s="19">
        <f t="shared" si="1"/>
        <v>0.85812249362012394</v>
      </c>
      <c r="AG13" s="6">
        <v>20.808</v>
      </c>
      <c r="AH13" s="6">
        <v>6.0900000000000003E-2</v>
      </c>
      <c r="AI13" s="6">
        <v>0.79690000000000005</v>
      </c>
      <c r="AJ13" s="270">
        <v>4.508</v>
      </c>
      <c r="AK13" s="270">
        <v>6.7348999999999997</v>
      </c>
      <c r="AL13" s="270">
        <v>16.576000000000001</v>
      </c>
      <c r="AM13" s="270">
        <v>7.0880000000000001</v>
      </c>
      <c r="AN13" s="270">
        <v>0.45319999999999999</v>
      </c>
      <c r="AO13" s="270">
        <v>1.9447000000000001</v>
      </c>
      <c r="AS13" s="270">
        <v>10.678000000000001</v>
      </c>
      <c r="AT13" s="270">
        <v>95.891099999999994</v>
      </c>
      <c r="AU13" s="270">
        <v>262.45569999999998</v>
      </c>
      <c r="AV13" s="16">
        <f t="shared" si="5"/>
        <v>0.94097156398104265</v>
      </c>
      <c r="AW13" s="270">
        <v>20.591000000000001</v>
      </c>
      <c r="AX13" s="270">
        <v>1.4152</v>
      </c>
      <c r="AY13" s="270">
        <v>3.3631000000000002</v>
      </c>
      <c r="AZ13" s="271">
        <v>4.5739999999999998</v>
      </c>
      <c r="BA13" s="271">
        <v>6.7095000000000002</v>
      </c>
      <c r="BB13" s="271">
        <v>15.107799999999999</v>
      </c>
      <c r="BC13" s="271">
        <v>7.234</v>
      </c>
      <c r="BD13" s="271">
        <v>0.45279999999999998</v>
      </c>
      <c r="BE13" s="271">
        <v>2.1867000000000001</v>
      </c>
      <c r="BI13" s="271">
        <v>10.917999999999999</v>
      </c>
      <c r="BJ13" s="271">
        <v>76.398700000000005</v>
      </c>
      <c r="BK13" s="271">
        <v>211.2389</v>
      </c>
      <c r="BL13" s="17">
        <f t="shared" si="4"/>
        <v>0.82877863989046108</v>
      </c>
      <c r="BM13" s="271">
        <v>21.963999999999999</v>
      </c>
      <c r="BN13" s="271">
        <v>1.3222</v>
      </c>
      <c r="BO13" s="271">
        <v>3.0693999999999999</v>
      </c>
      <c r="BS13" s="7">
        <v>7.3209999999999997</v>
      </c>
      <c r="BT13" s="7">
        <v>0.36180000000000001</v>
      </c>
      <c r="BU13" s="7">
        <v>1.4313</v>
      </c>
      <c r="BY13" s="7">
        <v>10.965</v>
      </c>
      <c r="BZ13" s="7">
        <v>198.21129999999999</v>
      </c>
      <c r="CA13" s="7">
        <v>548.93100000000004</v>
      </c>
      <c r="CB13" s="23">
        <f t="shared" si="6"/>
        <v>1.9407147421268827</v>
      </c>
      <c r="EW13" s="9"/>
      <c r="EX13" s="9"/>
      <c r="EY13" s="9"/>
      <c r="EZ13" s="9"/>
      <c r="FA13" s="9"/>
      <c r="FB13" s="9"/>
      <c r="FC13" s="9"/>
      <c r="FD13" s="9"/>
      <c r="FE13" s="9" t="s">
        <v>1016</v>
      </c>
      <c r="FN13" t="s">
        <v>1017</v>
      </c>
      <c r="FW13" t="s">
        <v>1018</v>
      </c>
    </row>
    <row r="14" spans="1:187">
      <c r="J14" s="151"/>
      <c r="K14" s="151"/>
      <c r="L14" s="151"/>
      <c r="P14" s="196"/>
      <c r="Z14" s="151"/>
      <c r="AA14" s="151"/>
      <c r="AB14" s="151"/>
      <c r="BV14" s="151"/>
      <c r="BW14" s="151"/>
      <c r="BX14" s="151"/>
      <c r="CB14" s="151"/>
      <c r="CL14" s="194"/>
      <c r="CM14" s="194"/>
      <c r="CN14" s="194"/>
      <c r="CR14" s="194"/>
      <c r="DB14" s="194"/>
      <c r="DC14" s="194"/>
      <c r="DD14" s="194"/>
      <c r="DH14" s="194"/>
      <c r="DR14" s="194"/>
      <c r="DS14" s="194"/>
      <c r="DT14" s="194"/>
      <c r="DX14" s="194"/>
      <c r="EH14" s="194"/>
      <c r="EI14" s="194"/>
      <c r="EJ14" s="194"/>
      <c r="EN14" s="194"/>
      <c r="EU14" t="s">
        <v>1</v>
      </c>
      <c r="EV14" t="s">
        <v>301</v>
      </c>
      <c r="EW14" s="9" t="s">
        <v>163</v>
      </c>
      <c r="EX14" s="9" t="s">
        <v>164</v>
      </c>
      <c r="EY14" s="9" t="s">
        <v>165</v>
      </c>
      <c r="EZ14" s="9" t="s">
        <v>166</v>
      </c>
      <c r="FA14" s="9" t="s">
        <v>167</v>
      </c>
      <c r="FB14" s="9" t="s">
        <v>168</v>
      </c>
      <c r="FC14" s="9" t="s">
        <v>169</v>
      </c>
      <c r="FD14" s="9" t="s">
        <v>170</v>
      </c>
      <c r="FE14" t="s">
        <v>301</v>
      </c>
      <c r="FF14" s="9" t="s">
        <v>163</v>
      </c>
      <c r="FG14" s="9" t="s">
        <v>164</v>
      </c>
      <c r="FH14" s="9" t="s">
        <v>165</v>
      </c>
      <c r="FI14" s="9" t="s">
        <v>166</v>
      </c>
      <c r="FJ14" s="9" t="s">
        <v>167</v>
      </c>
      <c r="FK14" s="9" t="s">
        <v>168</v>
      </c>
      <c r="FL14" s="9" t="s">
        <v>169</v>
      </c>
      <c r="FM14" s="9" t="s">
        <v>170</v>
      </c>
      <c r="FN14" t="s">
        <v>301</v>
      </c>
      <c r="FO14" s="9" t="s">
        <v>163</v>
      </c>
      <c r="FP14" s="9" t="s">
        <v>164</v>
      </c>
      <c r="FQ14" s="9" t="s">
        <v>165</v>
      </c>
      <c r="FR14" s="9" t="s">
        <v>166</v>
      </c>
      <c r="FS14" s="9" t="s">
        <v>167</v>
      </c>
      <c r="FT14" s="9" t="s">
        <v>168</v>
      </c>
      <c r="FU14" s="9" t="s">
        <v>169</v>
      </c>
      <c r="FV14" s="9" t="s">
        <v>170</v>
      </c>
      <c r="FW14" t="s">
        <v>301</v>
      </c>
      <c r="FX14" s="9" t="s">
        <v>163</v>
      </c>
      <c r="FY14" s="9" t="s">
        <v>164</v>
      </c>
      <c r="FZ14" s="9" t="s">
        <v>165</v>
      </c>
      <c r="GA14" s="9" t="s">
        <v>166</v>
      </c>
      <c r="GB14" s="9" t="s">
        <v>167</v>
      </c>
      <c r="GC14" s="9" t="s">
        <v>168</v>
      </c>
      <c r="GD14" s="9" t="s">
        <v>169</v>
      </c>
      <c r="GE14" s="9" t="s">
        <v>170</v>
      </c>
    </row>
    <row r="15" spans="1:187" ht="31">
      <c r="A15" t="s">
        <v>488</v>
      </c>
      <c r="B15">
        <v>0</v>
      </c>
      <c r="C15">
        <f>B15*10</f>
        <v>0</v>
      </c>
      <c r="D15" s="5">
        <v>4.4509999999999996</v>
      </c>
      <c r="E15" s="5">
        <v>3.5838000000000001</v>
      </c>
      <c r="F15" s="5">
        <v>5.9945000000000004</v>
      </c>
      <c r="G15" s="5" t="s">
        <v>497</v>
      </c>
      <c r="H15" s="5" t="s">
        <v>498</v>
      </c>
      <c r="I15" s="5" t="s">
        <v>499</v>
      </c>
      <c r="J15" s="192">
        <v>0</v>
      </c>
      <c r="K15" s="192">
        <v>0</v>
      </c>
      <c r="L15" s="192">
        <v>0</v>
      </c>
      <c r="M15" s="5">
        <v>10.768000000000001</v>
      </c>
      <c r="N15" s="5">
        <v>1.0165999999999999</v>
      </c>
      <c r="O15" s="5">
        <v>3.5514999999999999</v>
      </c>
      <c r="P15" s="17">
        <v>0</v>
      </c>
      <c r="Q15" s="5">
        <v>18.085000000000001</v>
      </c>
      <c r="R15" s="5">
        <v>0.89019999999999999</v>
      </c>
      <c r="S15" s="5">
        <v>1.7622</v>
      </c>
      <c r="T15" s="6" t="s">
        <v>539</v>
      </c>
      <c r="U15" s="6" t="s">
        <v>548</v>
      </c>
      <c r="V15" s="6" t="s">
        <v>557</v>
      </c>
      <c r="W15" s="6">
        <v>6.5110000000000001</v>
      </c>
      <c r="X15" s="6">
        <v>1.3642000000000001</v>
      </c>
      <c r="Y15" s="6">
        <v>5.2948000000000004</v>
      </c>
      <c r="Z15" s="193">
        <v>0</v>
      </c>
      <c r="AA15" s="193">
        <v>0</v>
      </c>
      <c r="AB15" s="193">
        <v>0</v>
      </c>
      <c r="AC15" s="6">
        <v>10.768000000000001</v>
      </c>
      <c r="AD15" s="6">
        <v>0.1993</v>
      </c>
      <c r="AE15" s="6">
        <v>0.67569999999999997</v>
      </c>
      <c r="AF15" s="19">
        <v>0</v>
      </c>
      <c r="AG15" s="6">
        <v>18.081</v>
      </c>
      <c r="AH15" s="6">
        <v>0.98809999999999998</v>
      </c>
      <c r="AI15" s="6">
        <v>1.9513</v>
      </c>
      <c r="AJ15" s="270" t="s">
        <v>567</v>
      </c>
      <c r="AK15" s="270" t="s">
        <v>576</v>
      </c>
      <c r="AL15" s="270" t="s">
        <v>590</v>
      </c>
      <c r="AM15" s="270">
        <v>6.508</v>
      </c>
      <c r="AN15" s="270">
        <v>1.4872000000000001</v>
      </c>
      <c r="AO15" s="270">
        <v>5.9751000000000003</v>
      </c>
      <c r="AP15" s="270">
        <v>0</v>
      </c>
      <c r="AQ15" s="270">
        <v>0</v>
      </c>
      <c r="AR15" s="270">
        <v>0</v>
      </c>
      <c r="AS15" s="270">
        <v>10.760999999999999</v>
      </c>
      <c r="AT15" s="270">
        <v>0.42920000000000003</v>
      </c>
      <c r="AU15" s="270">
        <v>1.4724999999999999</v>
      </c>
      <c r="AV15" s="16">
        <v>0</v>
      </c>
      <c r="AW15" s="270">
        <v>18.077999999999999</v>
      </c>
      <c r="AX15" s="270">
        <v>1.2371000000000001</v>
      </c>
      <c r="AY15" s="270">
        <v>2.4443999999999999</v>
      </c>
      <c r="AZ15" s="271" t="s">
        <v>607</v>
      </c>
      <c r="BA15" s="271" t="s">
        <v>608</v>
      </c>
      <c r="BB15" s="271" t="s">
        <v>609</v>
      </c>
      <c r="BC15" s="271" t="s">
        <v>610</v>
      </c>
      <c r="BD15" s="271" t="s">
        <v>611</v>
      </c>
      <c r="BE15" s="271" t="s">
        <v>612</v>
      </c>
      <c r="BF15" s="271">
        <v>0</v>
      </c>
      <c r="BG15" s="271">
        <v>0</v>
      </c>
      <c r="BH15" s="271">
        <v>0</v>
      </c>
      <c r="BI15" s="271">
        <v>10.675000000000001</v>
      </c>
      <c r="BJ15" s="271">
        <v>0.1452</v>
      </c>
      <c r="BK15" s="271">
        <v>0.50429999999999997</v>
      </c>
      <c r="BL15" s="17">
        <v>0</v>
      </c>
      <c r="BM15" s="271">
        <v>17.741</v>
      </c>
      <c r="BN15" s="271">
        <v>1.1757</v>
      </c>
      <c r="BO15" s="271">
        <v>2.3805999999999998</v>
      </c>
      <c r="BP15" s="7" t="s">
        <v>642</v>
      </c>
      <c r="BQ15" s="7" t="s">
        <v>643</v>
      </c>
      <c r="BR15" s="7" t="s">
        <v>644</v>
      </c>
      <c r="BS15" s="7" t="s">
        <v>645</v>
      </c>
      <c r="BT15" s="7" t="s">
        <v>646</v>
      </c>
      <c r="BU15" s="7" t="s">
        <v>647</v>
      </c>
      <c r="BV15" s="200">
        <v>0</v>
      </c>
      <c r="BW15" s="200">
        <v>0</v>
      </c>
      <c r="BX15" s="200">
        <v>0</v>
      </c>
      <c r="BY15" s="7">
        <v>10.678000000000001</v>
      </c>
      <c r="BZ15" s="7">
        <v>0.15379999999999999</v>
      </c>
      <c r="CA15" s="7">
        <v>0.52769999999999995</v>
      </c>
      <c r="CB15" s="18">
        <v>0</v>
      </c>
      <c r="CC15" s="7">
        <v>17.745000000000001</v>
      </c>
      <c r="CD15" s="7">
        <v>0.8458</v>
      </c>
      <c r="CE15" s="7">
        <v>1.6785000000000001</v>
      </c>
      <c r="CF15" s="202">
        <v>4.4909999999999997</v>
      </c>
      <c r="CG15" s="203">
        <v>10.8033</v>
      </c>
      <c r="CH15" s="203">
        <v>21.960100000000001</v>
      </c>
      <c r="CI15" s="203" t="s">
        <v>691</v>
      </c>
      <c r="CJ15" s="203" t="s">
        <v>692</v>
      </c>
      <c r="CK15" s="203" t="s">
        <v>693</v>
      </c>
      <c r="CL15">
        <v>0</v>
      </c>
      <c r="CM15">
        <v>0</v>
      </c>
      <c r="CN15">
        <v>0</v>
      </c>
      <c r="CO15">
        <v>10.678000000000001</v>
      </c>
      <c r="CP15">
        <v>0.1173</v>
      </c>
      <c r="CQ15">
        <v>0.39429999999999998</v>
      </c>
      <c r="CR15" s="18">
        <v>0</v>
      </c>
      <c r="CS15">
        <v>17.721</v>
      </c>
      <c r="CT15">
        <v>1.1870000000000001</v>
      </c>
      <c r="CU15">
        <v>2.3241000000000001</v>
      </c>
      <c r="CV15">
        <v>4.4009999999999998</v>
      </c>
      <c r="CW15">
        <v>10.7613</v>
      </c>
      <c r="CX15">
        <v>25.216899999999999</v>
      </c>
      <c r="CY15" t="s">
        <v>737</v>
      </c>
      <c r="CZ15" t="s">
        <v>738</v>
      </c>
      <c r="DA15" t="s">
        <v>739</v>
      </c>
      <c r="DB15">
        <v>0</v>
      </c>
      <c r="DC15">
        <v>0</v>
      </c>
      <c r="DD15">
        <v>0</v>
      </c>
      <c r="DE15">
        <v>10.634</v>
      </c>
      <c r="DF15">
        <v>0.25850000000000001</v>
      </c>
      <c r="DG15">
        <v>0.87229999999999996</v>
      </c>
      <c r="DH15">
        <v>0</v>
      </c>
      <c r="DI15">
        <v>17.594000000000001</v>
      </c>
      <c r="DJ15">
        <v>1.0669</v>
      </c>
      <c r="DK15">
        <v>2.1686000000000001</v>
      </c>
      <c r="DL15">
        <v>4.3879999999999999</v>
      </c>
      <c r="DM15">
        <v>11.2715</v>
      </c>
      <c r="DN15">
        <v>27.635899999999999</v>
      </c>
      <c r="DO15" t="s">
        <v>786</v>
      </c>
      <c r="DP15" t="s">
        <v>787</v>
      </c>
      <c r="DQ15" t="s">
        <v>788</v>
      </c>
      <c r="DU15">
        <v>10.625</v>
      </c>
      <c r="DV15">
        <v>0.2918</v>
      </c>
      <c r="DW15">
        <v>0.9839</v>
      </c>
      <c r="DX15">
        <v>0</v>
      </c>
      <c r="DY15">
        <v>17.585000000000001</v>
      </c>
      <c r="DZ15">
        <v>0.98919999999999997</v>
      </c>
      <c r="EA15">
        <v>1.9967999999999999</v>
      </c>
      <c r="EB15">
        <v>4.3680000000000003</v>
      </c>
      <c r="EC15">
        <v>8.4673999999999996</v>
      </c>
      <c r="ED15">
        <v>22.3431</v>
      </c>
      <c r="EE15" t="s">
        <v>830</v>
      </c>
      <c r="EF15" t="s">
        <v>831</v>
      </c>
      <c r="EG15" t="s">
        <v>832</v>
      </c>
      <c r="EK15">
        <v>10.621</v>
      </c>
      <c r="EL15">
        <v>0.33410000000000001</v>
      </c>
      <c r="EM15">
        <v>1.1274999999999999</v>
      </c>
      <c r="EN15">
        <v>0</v>
      </c>
      <c r="EO15">
        <v>17.577999999999999</v>
      </c>
      <c r="EP15">
        <v>0.74890000000000001</v>
      </c>
      <c r="EQ15">
        <v>1.5132000000000001</v>
      </c>
      <c r="EU15" s="12">
        <f>C15</f>
        <v>0</v>
      </c>
      <c r="EV15" s="12">
        <f>P15</f>
        <v>0</v>
      </c>
      <c r="EW15" s="12">
        <f>AF15</f>
        <v>0</v>
      </c>
      <c r="EX15" s="12">
        <f>AV15</f>
        <v>0</v>
      </c>
      <c r="EY15" s="12">
        <f>BL15</f>
        <v>0</v>
      </c>
      <c r="EZ15" s="12">
        <f>CB15</f>
        <v>0</v>
      </c>
      <c r="FA15" s="12">
        <f>CR15</f>
        <v>0</v>
      </c>
      <c r="FB15" s="12">
        <f>DH15</f>
        <v>0</v>
      </c>
      <c r="FC15" s="12">
        <f>DX15</f>
        <v>0</v>
      </c>
      <c r="FD15" s="12">
        <f>EN15</f>
        <v>0</v>
      </c>
      <c r="FE15" s="12">
        <f>((EV16+EV15)/2)*($EU16-$EU15)</f>
        <v>0</v>
      </c>
      <c r="FF15" s="12">
        <f t="shared" ref="FF15:FM15" si="7">((EW16+EW15)/2)*($EU16-$EU15)</f>
        <v>0</v>
      </c>
      <c r="FG15" s="12">
        <f t="shared" si="7"/>
        <v>0</v>
      </c>
      <c r="FH15" s="12">
        <f t="shared" si="7"/>
        <v>0</v>
      </c>
      <c r="FI15" s="12">
        <f t="shared" si="7"/>
        <v>0</v>
      </c>
      <c r="FJ15" s="12">
        <f t="shared" si="7"/>
        <v>0</v>
      </c>
      <c r="FK15" s="12">
        <f t="shared" si="7"/>
        <v>0.18705298304191195</v>
      </c>
      <c r="FL15" s="12">
        <f t="shared" si="7"/>
        <v>0.18705298304191195</v>
      </c>
      <c r="FM15" s="12">
        <f t="shared" si="7"/>
        <v>0.18705298304191195</v>
      </c>
      <c r="FN15" s="12">
        <f>(EV15*80)/1000</f>
        <v>0</v>
      </c>
      <c r="FO15" s="12">
        <f t="shared" ref="FO15:FV15" si="8">(EW15*80)/1000</f>
        <v>0</v>
      </c>
      <c r="FP15" s="12">
        <f t="shared" si="8"/>
        <v>0</v>
      </c>
      <c r="FQ15" s="12">
        <f t="shared" si="8"/>
        <v>0</v>
      </c>
      <c r="FR15" s="12">
        <f t="shared" si="8"/>
        <v>0</v>
      </c>
      <c r="FS15" s="12">
        <f t="shared" si="8"/>
        <v>0</v>
      </c>
      <c r="FT15" s="12">
        <f t="shared" si="8"/>
        <v>0</v>
      </c>
      <c r="FU15" s="12">
        <f t="shared" si="8"/>
        <v>0</v>
      </c>
      <c r="FV15" s="12">
        <f t="shared" si="8"/>
        <v>0</v>
      </c>
      <c r="FW15" s="12">
        <f>((FN16+FN15)/2)*($EU16-$EU15)</f>
        <v>0</v>
      </c>
      <c r="FX15" s="12">
        <f t="shared" ref="FX15:GE15" si="9">((FO16+FO15)/2)*($EU16-$EU15)</f>
        <v>0</v>
      </c>
      <c r="FY15" s="12">
        <f t="shared" si="9"/>
        <v>0</v>
      </c>
      <c r="FZ15" s="12">
        <f t="shared" si="9"/>
        <v>0</v>
      </c>
      <c r="GA15" s="12">
        <f t="shared" si="9"/>
        <v>0</v>
      </c>
      <c r="GB15" s="12">
        <f t="shared" si="9"/>
        <v>0</v>
      </c>
      <c r="GC15" s="12">
        <f t="shared" si="9"/>
        <v>1.4964238643352955E-2</v>
      </c>
      <c r="GD15" s="12">
        <f t="shared" si="9"/>
        <v>1.4964238643352955E-2</v>
      </c>
      <c r="GE15" s="12">
        <f t="shared" si="9"/>
        <v>1.4964238643352955E-2</v>
      </c>
    </row>
    <row r="16" spans="1:187" ht="31">
      <c r="B16">
        <v>1</v>
      </c>
      <c r="C16">
        <f t="shared" ref="C16:C30" si="10">B16*10</f>
        <v>10</v>
      </c>
      <c r="D16" s="5">
        <v>4.4509999999999996</v>
      </c>
      <c r="E16" s="5">
        <v>3.508</v>
      </c>
      <c r="F16" s="5">
        <v>5.9160000000000004</v>
      </c>
      <c r="G16" s="5" t="s">
        <v>500</v>
      </c>
      <c r="H16" s="5" t="s">
        <v>513</v>
      </c>
      <c r="I16" s="5" t="s">
        <v>526</v>
      </c>
      <c r="J16" s="192">
        <v>0</v>
      </c>
      <c r="K16" s="192">
        <v>0</v>
      </c>
      <c r="L16" s="192">
        <v>0</v>
      </c>
      <c r="M16" s="5">
        <v>10.768000000000001</v>
      </c>
      <c r="N16" s="5">
        <v>1.0309999999999999</v>
      </c>
      <c r="O16" s="5">
        <v>3.6101999999999999</v>
      </c>
      <c r="P16" s="17">
        <v>0</v>
      </c>
      <c r="Q16" s="5">
        <v>18.084</v>
      </c>
      <c r="R16" s="5">
        <v>0.93130000000000002</v>
      </c>
      <c r="S16" s="5">
        <v>1.8386</v>
      </c>
      <c r="T16" s="6" t="s">
        <v>540</v>
      </c>
      <c r="U16" s="6" t="s">
        <v>549</v>
      </c>
      <c r="V16" s="6" t="s">
        <v>558</v>
      </c>
      <c r="W16" s="6">
        <v>6.5149999999999997</v>
      </c>
      <c r="X16" s="6">
        <v>1.4413</v>
      </c>
      <c r="Y16" s="6">
        <v>5.6881000000000004</v>
      </c>
      <c r="Z16" s="193">
        <v>0</v>
      </c>
      <c r="AA16" s="193">
        <v>0</v>
      </c>
      <c r="AB16" s="193">
        <v>0</v>
      </c>
      <c r="AC16" s="6">
        <v>10.768000000000001</v>
      </c>
      <c r="AD16" s="6">
        <v>0.30099999999999999</v>
      </c>
      <c r="AE16" s="6">
        <v>1.026</v>
      </c>
      <c r="AF16" s="19">
        <v>0</v>
      </c>
      <c r="AG16" s="6">
        <v>18.085000000000001</v>
      </c>
      <c r="AH16" s="6">
        <v>1.234</v>
      </c>
      <c r="AI16" s="6">
        <v>2.4394</v>
      </c>
      <c r="AJ16" s="270" t="s">
        <v>568</v>
      </c>
      <c r="AK16" s="270" t="s">
        <v>577</v>
      </c>
      <c r="AL16" s="270" t="s">
        <v>591</v>
      </c>
      <c r="AM16" s="270">
        <v>6.5039999999999996</v>
      </c>
      <c r="AN16" s="270">
        <v>0.83440000000000003</v>
      </c>
      <c r="AO16" s="270">
        <v>3.7627000000000002</v>
      </c>
      <c r="AP16" s="270">
        <v>0</v>
      </c>
      <c r="AQ16" s="270">
        <v>0</v>
      </c>
      <c r="AR16" s="270">
        <v>0</v>
      </c>
      <c r="AS16" s="270">
        <v>10.757999999999999</v>
      </c>
      <c r="AT16" s="270">
        <v>0.27200000000000002</v>
      </c>
      <c r="AU16" s="270">
        <v>0.93149999999999999</v>
      </c>
      <c r="AV16" s="16">
        <v>0</v>
      </c>
      <c r="AW16" s="270">
        <v>10.077999999999999</v>
      </c>
      <c r="AX16" s="270">
        <v>1.2861</v>
      </c>
      <c r="AY16" s="270">
        <v>2.5501</v>
      </c>
      <c r="AZ16" s="271" t="s">
        <v>613</v>
      </c>
      <c r="BA16" s="271" t="s">
        <v>614</v>
      </c>
      <c r="BB16" s="271" t="s">
        <v>615</v>
      </c>
      <c r="BC16" s="271" t="s">
        <v>616</v>
      </c>
      <c r="BD16" s="271" t="s">
        <v>617</v>
      </c>
      <c r="BE16" s="271" t="s">
        <v>618</v>
      </c>
      <c r="BF16" s="271">
        <v>0</v>
      </c>
      <c r="BG16" s="271">
        <v>0</v>
      </c>
      <c r="BH16" s="271">
        <v>0</v>
      </c>
      <c r="BI16" s="271">
        <v>10.678000000000001</v>
      </c>
      <c r="BJ16" s="271">
        <v>0.1318</v>
      </c>
      <c r="BK16" s="271">
        <v>0.4516</v>
      </c>
      <c r="BL16" s="17">
        <v>0</v>
      </c>
      <c r="BM16" s="271">
        <v>17.748000000000001</v>
      </c>
      <c r="BN16" s="271">
        <v>1.0205</v>
      </c>
      <c r="BO16" s="271">
        <v>2.0642999999999998</v>
      </c>
      <c r="BP16" s="7" t="s">
        <v>637</v>
      </c>
      <c r="BQ16" s="7" t="s">
        <v>638</v>
      </c>
      <c r="BR16" s="7" t="s">
        <v>639</v>
      </c>
      <c r="BS16" s="7" t="s">
        <v>610</v>
      </c>
      <c r="BT16" s="7" t="s">
        <v>640</v>
      </c>
      <c r="BU16" s="7" t="s">
        <v>641</v>
      </c>
      <c r="BV16" s="200">
        <v>0</v>
      </c>
      <c r="BW16" s="200">
        <v>0</v>
      </c>
      <c r="BX16" s="200">
        <v>0</v>
      </c>
      <c r="BY16" s="7">
        <v>10.673999999999999</v>
      </c>
      <c r="BZ16" s="7">
        <v>0.1232</v>
      </c>
      <c r="CA16" s="7">
        <v>0.4219</v>
      </c>
      <c r="CB16" s="18">
        <v>0</v>
      </c>
      <c r="CC16" s="7">
        <v>17.738</v>
      </c>
      <c r="CD16" s="7">
        <v>0.77080000000000004</v>
      </c>
      <c r="CE16" s="7">
        <v>1.5035000000000001</v>
      </c>
      <c r="CF16" s="202">
        <v>4.4880000000000004</v>
      </c>
      <c r="CG16" s="203">
        <v>7.8329000000000004</v>
      </c>
      <c r="CH16" s="203">
        <v>16.419899999999998</v>
      </c>
      <c r="CI16" s="203" t="s">
        <v>694</v>
      </c>
      <c r="CJ16" s="203" t="s">
        <v>695</v>
      </c>
      <c r="CK16" s="203" t="s">
        <v>696</v>
      </c>
      <c r="CL16">
        <v>0</v>
      </c>
      <c r="CM16">
        <v>0</v>
      </c>
      <c r="CN16">
        <v>0</v>
      </c>
      <c r="CO16">
        <v>10.678000000000001</v>
      </c>
      <c r="CP16">
        <v>6.2300000000000001E-2</v>
      </c>
      <c r="CQ16">
        <v>0.21229999999999999</v>
      </c>
      <c r="CR16" s="18">
        <v>0</v>
      </c>
      <c r="CS16">
        <v>17.721</v>
      </c>
      <c r="CT16">
        <v>0.84719999999999995</v>
      </c>
      <c r="CU16">
        <v>1.6757</v>
      </c>
      <c r="CV16">
        <v>4.3949999999999996</v>
      </c>
      <c r="CW16">
        <v>10.5029</v>
      </c>
      <c r="CX16">
        <v>25.176200000000001</v>
      </c>
      <c r="CY16" t="s">
        <v>742</v>
      </c>
      <c r="CZ16" t="s">
        <v>743</v>
      </c>
      <c r="DA16" t="s">
        <v>744</v>
      </c>
      <c r="DE16">
        <v>10.638</v>
      </c>
      <c r="DF16">
        <v>0.29699999999999999</v>
      </c>
      <c r="DG16">
        <v>1.0066999999999999</v>
      </c>
      <c r="DH16">
        <f t="shared" ref="DH16:DH30" si="11">(DC16+4.2577)/113.81</f>
        <v>3.741059660838239E-2</v>
      </c>
      <c r="DI16">
        <v>17.597999999999999</v>
      </c>
      <c r="DJ16">
        <v>1.2236</v>
      </c>
      <c r="DK16">
        <v>2.4914999999999998</v>
      </c>
      <c r="DL16">
        <v>4.3879999999999999</v>
      </c>
      <c r="DM16">
        <v>11.144500000000001</v>
      </c>
      <c r="DN16">
        <v>27.793900000000001</v>
      </c>
      <c r="DO16" t="s">
        <v>786</v>
      </c>
      <c r="DP16" t="s">
        <v>789</v>
      </c>
      <c r="DQ16" t="s">
        <v>790</v>
      </c>
      <c r="DU16">
        <v>10.628</v>
      </c>
      <c r="DV16">
        <v>0.24940000000000001</v>
      </c>
      <c r="DW16">
        <v>0.84079999999999999</v>
      </c>
      <c r="DX16">
        <f t="shared" ref="DX16:DX30" si="12">(DS16+4.2577)/113.81</f>
        <v>3.741059660838239E-2</v>
      </c>
      <c r="DY16">
        <v>17.585000000000001</v>
      </c>
      <c r="DZ16">
        <v>1.0822000000000001</v>
      </c>
      <c r="EA16">
        <v>2.1888999999999998</v>
      </c>
      <c r="EB16">
        <v>4.3650000000000002</v>
      </c>
      <c r="EC16">
        <v>8.2874999999999996</v>
      </c>
      <c r="ED16">
        <v>23.773800000000001</v>
      </c>
      <c r="EE16" t="s">
        <v>751</v>
      </c>
      <c r="EF16" t="s">
        <v>833</v>
      </c>
      <c r="EG16" t="s">
        <v>834</v>
      </c>
      <c r="EK16">
        <v>10.628</v>
      </c>
      <c r="EL16">
        <v>0.52300000000000002</v>
      </c>
      <c r="EM16">
        <v>1.764</v>
      </c>
      <c r="EN16">
        <f t="shared" ref="EN16:EN30" si="13">(EI16+4.2577)/113.81</f>
        <v>3.741059660838239E-2</v>
      </c>
      <c r="EO16">
        <v>17.581</v>
      </c>
      <c r="EP16">
        <v>0.92600000000000005</v>
      </c>
      <c r="EQ16">
        <v>1.8412999999999999</v>
      </c>
      <c r="EU16" s="12">
        <f t="shared" ref="EU16:EU30" si="14">C16</f>
        <v>10</v>
      </c>
      <c r="EV16" s="12">
        <f t="shared" ref="EV16:EV30" si="15">P16</f>
        <v>0</v>
      </c>
      <c r="EW16" s="12">
        <f t="shared" ref="EW16:EW30" si="16">AF16</f>
        <v>0</v>
      </c>
      <c r="EX16" s="12">
        <f t="shared" ref="EX16:EX30" si="17">AV16</f>
        <v>0</v>
      </c>
      <c r="EY16" s="12">
        <f t="shared" ref="EY16:EY30" si="18">BL16</f>
        <v>0</v>
      </c>
      <c r="EZ16" s="12">
        <f t="shared" ref="EZ16:EZ30" si="19">CB16</f>
        <v>0</v>
      </c>
      <c r="FA16" s="12">
        <f t="shared" ref="FA16:FA30" si="20">CR16</f>
        <v>0</v>
      </c>
      <c r="FB16" s="12">
        <f t="shared" ref="FB16:FB30" si="21">DH16</f>
        <v>3.741059660838239E-2</v>
      </c>
      <c r="FC16" s="12">
        <f t="shared" ref="FC16:FC30" si="22">DX16</f>
        <v>3.741059660838239E-2</v>
      </c>
      <c r="FD16" s="12">
        <f t="shared" ref="FD16:FD30" si="23">EN16</f>
        <v>3.741059660838239E-2</v>
      </c>
      <c r="FE16" s="12">
        <f t="shared" ref="FE16:FE29" si="24">((EV17+EV16)/2)*(EU17-EU16)</f>
        <v>0.43013944983623681</v>
      </c>
      <c r="FF16" s="12">
        <f t="shared" ref="FF16:FF29" si="25">((EW17+EW16)/2)*($EU17-$EU16)</f>
        <v>3.336945164466413</v>
      </c>
      <c r="FG16" s="12">
        <f t="shared" ref="FG16:FG29" si="26">((EX17+EX16)/2)*($EU17-$EU16)</f>
        <v>0.24889987341009107</v>
      </c>
      <c r="FH16" s="12">
        <f t="shared" ref="FH16:FH29" si="27">((EY17+EY16)/2)*($EU17-$EU16)</f>
        <v>0.89386325091493357</v>
      </c>
      <c r="FI16" s="12">
        <f t="shared" ref="FI16:FI20" si="28">((EZ17+EZ16)/2)*($EU17-$EU16)</f>
        <v>0</v>
      </c>
      <c r="FJ16" s="12">
        <f t="shared" ref="FJ16:FJ29" si="29">((FA17+FA16)/2)*($EU17-$EU16)</f>
        <v>0</v>
      </c>
      <c r="FK16" s="12">
        <f t="shared" ref="FK16:FK29" si="30">((FB17+FB16)/2)*($EU17-$EU16)</f>
        <v>0.6681750285563659</v>
      </c>
      <c r="FL16" s="12">
        <f t="shared" ref="FL16:FL29" si="31">((FC17+FC16)/2)*($EU17-$EU16)</f>
        <v>0.55565855372990069</v>
      </c>
      <c r="FM16" s="12">
        <f t="shared" ref="FM16:FM29" si="32">((FD17+FD16)/2)*($EU17-$EU16)</f>
        <v>0.84518056409805808</v>
      </c>
      <c r="FN16" s="12">
        <f t="shared" ref="FN16:FN30" si="33">(EV16*80)/1000</f>
        <v>0</v>
      </c>
      <c r="FO16" s="12">
        <f t="shared" ref="FO16:FO30" si="34">(EW16*80)/1000</f>
        <v>0</v>
      </c>
      <c r="FP16" s="12">
        <f t="shared" ref="FP16:FP30" si="35">(EX16*80)/1000</f>
        <v>0</v>
      </c>
      <c r="FQ16" s="12">
        <f t="shared" ref="FQ16:FQ30" si="36">(EY16*80)/1000</f>
        <v>0</v>
      </c>
      <c r="FR16" s="12">
        <f t="shared" ref="FR16:FR30" si="37">(EZ16*80)/1000</f>
        <v>0</v>
      </c>
      <c r="FS16" s="12">
        <f t="shared" ref="FS16:FS30" si="38">(FA16*80)/1000</f>
        <v>0</v>
      </c>
      <c r="FT16" s="12">
        <f t="shared" ref="FT16:FT30" si="39">(FB16*80)/1000</f>
        <v>2.9928477286705912E-3</v>
      </c>
      <c r="FU16" s="12">
        <f t="shared" ref="FU16:FU30" si="40">(FC16*80)/1000</f>
        <v>2.9928477286705912E-3</v>
      </c>
      <c r="FV16" s="12">
        <f t="shared" ref="FV16:FV30" si="41">(FD16*80)/1000</f>
        <v>2.9928477286705912E-3</v>
      </c>
      <c r="FW16" s="12">
        <f t="shared" ref="FW16:FW29" si="42">((FN17+FN16)/2)*($EU17-$EU16)</f>
        <v>3.4411155986898943E-2</v>
      </c>
      <c r="FX16" s="12">
        <f t="shared" ref="FX16:FX29" si="43">((FO17+FO16)/2)*($EU17-$EU16)</f>
        <v>0.26695561315731303</v>
      </c>
      <c r="FY16" s="12">
        <f t="shared" ref="FY16:FY29" si="44">((FP17+FP16)/2)*($EU17-$EU16)</f>
        <v>1.9911989872807286E-2</v>
      </c>
      <c r="FZ16" s="12">
        <f t="shared" ref="FZ16:FZ29" si="45">((FQ17+FQ16)/2)*($EU17-$EU16)</f>
        <v>7.1509060073194686E-2</v>
      </c>
      <c r="GA16" s="12">
        <f t="shared" ref="GA16:GA20" si="46">((FR17+FR16)/2)*($EU17-$EU16)</f>
        <v>0</v>
      </c>
      <c r="GB16" s="12">
        <f t="shared" ref="GB16:GB29" si="47">((FS17+FS16)/2)*($EU17-$EU16)</f>
        <v>0</v>
      </c>
      <c r="GC16" s="12">
        <f t="shared" ref="GC16:GC29" si="48">((FT17+FT16)/2)*($EU17-$EU16)</f>
        <v>5.3454002284509264E-2</v>
      </c>
      <c r="GD16" s="12">
        <f t="shared" ref="GD16:GD29" si="49">((FU17+FU16)/2)*($EU17-$EU16)</f>
        <v>4.4452684298392053E-2</v>
      </c>
      <c r="GE16" s="12">
        <f t="shared" ref="GE16:GE29" si="50">((FV17+FV16)/2)*($EU17-$EU16)</f>
        <v>6.7614445127844647E-2</v>
      </c>
    </row>
    <row r="17" spans="2:187" ht="31">
      <c r="B17">
        <v>2</v>
      </c>
      <c r="C17">
        <f t="shared" si="10"/>
        <v>20</v>
      </c>
      <c r="D17" s="5">
        <v>4.4480000000000004</v>
      </c>
      <c r="E17" s="5">
        <v>3.3279000000000001</v>
      </c>
      <c r="F17" s="5">
        <v>5.585</v>
      </c>
      <c r="G17" s="5" t="s">
        <v>501</v>
      </c>
      <c r="H17" s="5" t="s">
        <v>514</v>
      </c>
      <c r="I17" s="5" t="s">
        <v>527</v>
      </c>
      <c r="J17" s="192">
        <v>9.4410000000000007</v>
      </c>
      <c r="K17" s="192">
        <v>7.9386000000000001</v>
      </c>
      <c r="L17" s="192">
        <v>33.5197</v>
      </c>
      <c r="M17" s="5">
        <v>10.768000000000001</v>
      </c>
      <c r="N17" s="5">
        <v>1.0185999999999999</v>
      </c>
      <c r="O17" s="5">
        <v>3.5609000000000002</v>
      </c>
      <c r="P17" s="17">
        <f t="shared" ref="P17:P30" si="51">(K17+0.6241)/99.534</f>
        <v>8.6027889967247362E-2</v>
      </c>
      <c r="Q17" s="5">
        <v>18.081</v>
      </c>
      <c r="R17" s="5">
        <v>1.0501</v>
      </c>
      <c r="S17" s="5">
        <v>2.0790000000000002</v>
      </c>
      <c r="T17" s="6" t="s">
        <v>541</v>
      </c>
      <c r="U17" s="6" t="s">
        <v>550</v>
      </c>
      <c r="V17" s="6" t="s">
        <v>559</v>
      </c>
      <c r="W17" s="6">
        <v>6.508</v>
      </c>
      <c r="X17" s="6">
        <v>1.2548999999999999</v>
      </c>
      <c r="Y17" s="6">
        <v>4.5697000000000001</v>
      </c>
      <c r="Z17" s="193">
        <v>9.4510000000000005</v>
      </c>
      <c r="AA17" s="193">
        <v>65.803799999999995</v>
      </c>
      <c r="AB17" s="193">
        <v>268.35899999999998</v>
      </c>
      <c r="AC17" s="6">
        <v>10.765000000000001</v>
      </c>
      <c r="AD17" s="6">
        <v>0.34920000000000001</v>
      </c>
      <c r="AE17" s="6">
        <v>1.2209000000000001</v>
      </c>
      <c r="AF17" s="19">
        <f t="shared" ref="AF17:AF30" si="52">(AA17+0.6241)/99.534</f>
        <v>0.66738903289328255</v>
      </c>
      <c r="AG17" s="6">
        <v>18.085000000000001</v>
      </c>
      <c r="AH17" s="6">
        <v>1.2177</v>
      </c>
      <c r="AI17" s="6">
        <v>2.3961999999999999</v>
      </c>
      <c r="AJ17" s="270" t="s">
        <v>569</v>
      </c>
      <c r="AK17" s="270" t="s">
        <v>578</v>
      </c>
      <c r="AL17" s="270" t="s">
        <v>592</v>
      </c>
      <c r="AM17" s="270">
        <v>6.5110000000000001</v>
      </c>
      <c r="AN17" s="270">
        <v>0.90980000000000005</v>
      </c>
      <c r="AO17" s="270">
        <v>4.1056999999999997</v>
      </c>
      <c r="AP17" s="270">
        <v>9.4309999999999992</v>
      </c>
      <c r="AQ17" s="270">
        <v>4.3307000000000002</v>
      </c>
      <c r="AR17" s="270">
        <v>17.778099999999998</v>
      </c>
      <c r="AS17" s="270">
        <v>10.757999999999999</v>
      </c>
      <c r="AT17" s="270">
        <v>0.26939999999999997</v>
      </c>
      <c r="AU17" s="270">
        <v>0.92789999999999995</v>
      </c>
      <c r="AV17" s="16">
        <f t="shared" ref="AV17:AV30" si="53">(AQ17+0.6241)/99.534</f>
        <v>4.977997468201821E-2</v>
      </c>
      <c r="AW17" s="270">
        <v>18.074000000000002</v>
      </c>
      <c r="AX17" s="270">
        <v>1.6798</v>
      </c>
      <c r="AY17" s="270">
        <v>3.3273999999999999</v>
      </c>
      <c r="AZ17" s="271" t="s">
        <v>619</v>
      </c>
      <c r="BA17" s="271" t="s">
        <v>620</v>
      </c>
      <c r="BB17" s="271" t="s">
        <v>621</v>
      </c>
      <c r="BC17" s="271">
        <v>6.4809999999999999</v>
      </c>
      <c r="BD17" s="271">
        <v>0.8861</v>
      </c>
      <c r="BE17" s="271">
        <v>3.7730999999999999</v>
      </c>
      <c r="BF17" s="271">
        <v>9.3670000000000009</v>
      </c>
      <c r="BG17" s="271">
        <v>15.335100000000001</v>
      </c>
      <c r="BH17" s="271">
        <v>64.937899999999999</v>
      </c>
      <c r="BI17" s="271">
        <v>10.677</v>
      </c>
      <c r="BJ17" s="271">
        <v>0.2369</v>
      </c>
      <c r="BK17" s="271">
        <v>0.82779999999999998</v>
      </c>
      <c r="BL17" s="17">
        <f t="shared" ref="BL17:BL30" si="54">(BG17+4.6928)/112.03</f>
        <v>0.17877265018298671</v>
      </c>
      <c r="BM17" s="271">
        <v>17.741</v>
      </c>
      <c r="BN17" s="271">
        <v>1.1883999999999999</v>
      </c>
      <c r="BO17" s="271">
        <v>2.4077999999999999</v>
      </c>
      <c r="BP17" s="7" t="s">
        <v>648</v>
      </c>
      <c r="BQ17" s="7" t="s">
        <v>649</v>
      </c>
      <c r="BR17" s="7" t="s">
        <v>650</v>
      </c>
      <c r="BS17" s="7" t="s">
        <v>645</v>
      </c>
      <c r="BT17" s="7" t="s">
        <v>651</v>
      </c>
      <c r="BU17" s="7" t="s">
        <v>652</v>
      </c>
      <c r="BV17" s="200">
        <v>0</v>
      </c>
      <c r="BW17" s="200">
        <v>0</v>
      </c>
      <c r="BX17" s="200">
        <v>0</v>
      </c>
      <c r="BY17" s="7">
        <v>10.670999999999999</v>
      </c>
      <c r="BZ17" s="7">
        <v>0.1948</v>
      </c>
      <c r="CA17" s="7">
        <v>0.66610000000000003</v>
      </c>
      <c r="CB17" s="18">
        <v>0</v>
      </c>
      <c r="CC17" s="7">
        <v>17.734999999999999</v>
      </c>
      <c r="CD17" s="7">
        <v>0.69930000000000003</v>
      </c>
      <c r="CE17" s="7">
        <v>1.3469</v>
      </c>
      <c r="CF17" s="202">
        <v>4.4809999999999999</v>
      </c>
      <c r="CG17" s="203">
        <v>4.992</v>
      </c>
      <c r="CH17" s="203">
        <v>10.5352</v>
      </c>
      <c r="CI17" s="203" t="s">
        <v>697</v>
      </c>
      <c r="CJ17" s="203" t="s">
        <v>698</v>
      </c>
      <c r="CK17" s="203" t="s">
        <v>699</v>
      </c>
      <c r="CL17">
        <v>0</v>
      </c>
      <c r="CM17">
        <v>0</v>
      </c>
      <c r="CN17">
        <v>0</v>
      </c>
      <c r="CO17">
        <v>10.675000000000001</v>
      </c>
      <c r="CP17">
        <v>0.1457</v>
      </c>
      <c r="CQ17">
        <v>0.49159999999999998</v>
      </c>
      <c r="CR17" s="18">
        <v>0</v>
      </c>
      <c r="CS17">
        <v>17.721</v>
      </c>
      <c r="CT17">
        <v>0.65739999999999998</v>
      </c>
      <c r="CU17">
        <v>1.3009999999999999</v>
      </c>
      <c r="CV17">
        <v>4.3840000000000003</v>
      </c>
      <c r="CW17">
        <v>9.3023000000000007</v>
      </c>
      <c r="CX17">
        <v>22.846599999999999</v>
      </c>
      <c r="CY17" t="s">
        <v>745</v>
      </c>
      <c r="CZ17" t="s">
        <v>746</v>
      </c>
      <c r="DA17" t="s">
        <v>747</v>
      </c>
      <c r="DB17">
        <v>9.3379999999999992</v>
      </c>
      <c r="DC17">
        <v>6.6936</v>
      </c>
      <c r="DD17">
        <v>26.426100000000002</v>
      </c>
      <c r="DE17">
        <v>10.638</v>
      </c>
      <c r="DF17">
        <v>0.51700000000000002</v>
      </c>
      <c r="DG17">
        <v>1.2837000000000001</v>
      </c>
      <c r="DH17">
        <f t="shared" si="11"/>
        <v>9.6224409102890776E-2</v>
      </c>
      <c r="DI17">
        <v>17.597999999999999</v>
      </c>
      <c r="DJ17">
        <v>1.1438999999999999</v>
      </c>
      <c r="DK17">
        <v>2.3201000000000001</v>
      </c>
      <c r="DL17">
        <v>4.3849999999999998</v>
      </c>
      <c r="DM17">
        <v>11.1594</v>
      </c>
      <c r="DN17">
        <v>28.405200000000001</v>
      </c>
      <c r="DO17" t="s">
        <v>791</v>
      </c>
      <c r="DP17" t="s">
        <v>792</v>
      </c>
      <c r="DQ17" t="s">
        <v>793</v>
      </c>
      <c r="DR17">
        <v>9.3309999999999995</v>
      </c>
      <c r="DS17">
        <v>4.1325000000000003</v>
      </c>
      <c r="DT17">
        <v>16.2759</v>
      </c>
      <c r="DU17">
        <v>10.631</v>
      </c>
      <c r="DV17">
        <v>0.21490000000000001</v>
      </c>
      <c r="DW17">
        <v>0.72909999999999997</v>
      </c>
      <c r="DX17">
        <f t="shared" si="12"/>
        <v>7.3721114137597757E-2</v>
      </c>
      <c r="DY17">
        <v>17.591000000000001</v>
      </c>
      <c r="DZ17">
        <v>0.86829999999999996</v>
      </c>
      <c r="EA17">
        <v>1.7525999999999999</v>
      </c>
      <c r="EB17">
        <v>4.3680000000000003</v>
      </c>
      <c r="EC17">
        <v>8.5488</v>
      </c>
      <c r="ED17">
        <v>23.864100000000001</v>
      </c>
      <c r="EE17" t="s">
        <v>835</v>
      </c>
      <c r="EF17" t="s">
        <v>836</v>
      </c>
      <c r="EG17" t="s">
        <v>837</v>
      </c>
      <c r="EH17">
        <v>9.3279999999999994</v>
      </c>
      <c r="EI17">
        <v>10.7226</v>
      </c>
      <c r="EJ17">
        <v>42.7911</v>
      </c>
      <c r="EK17">
        <v>10.624000000000001</v>
      </c>
      <c r="EL17">
        <v>0.60360000000000003</v>
      </c>
      <c r="EM17">
        <v>1.4001999999999999</v>
      </c>
      <c r="EN17">
        <f t="shared" si="13"/>
        <v>0.13162551621122923</v>
      </c>
      <c r="EO17">
        <v>17.577999999999999</v>
      </c>
      <c r="EP17">
        <v>1.1942999999999999</v>
      </c>
      <c r="EQ17">
        <v>2.4146000000000001</v>
      </c>
      <c r="EU17" s="12">
        <f t="shared" si="14"/>
        <v>20</v>
      </c>
      <c r="EV17" s="12">
        <f t="shared" si="15"/>
        <v>8.6027889967247362E-2</v>
      </c>
      <c r="EW17" s="12">
        <f t="shared" si="16"/>
        <v>0.66738903289328255</v>
      </c>
      <c r="EX17" s="12">
        <f t="shared" si="17"/>
        <v>4.977997468201821E-2</v>
      </c>
      <c r="EY17" s="12">
        <f t="shared" si="18"/>
        <v>0.17877265018298671</v>
      </c>
      <c r="EZ17" s="12">
        <f t="shared" si="19"/>
        <v>0</v>
      </c>
      <c r="FA17" s="12">
        <f t="shared" si="20"/>
        <v>0</v>
      </c>
      <c r="FB17" s="12">
        <f t="shared" si="21"/>
        <v>9.6224409102890776E-2</v>
      </c>
      <c r="FC17" s="12">
        <f t="shared" si="22"/>
        <v>7.3721114137597757E-2</v>
      </c>
      <c r="FD17" s="12">
        <f t="shared" si="23"/>
        <v>0.13162551621122923</v>
      </c>
      <c r="FE17" s="12">
        <f t="shared" si="24"/>
        <v>8.920429200072336</v>
      </c>
      <c r="FF17" s="12">
        <f t="shared" si="25"/>
        <v>21.084483694014104</v>
      </c>
      <c r="FG17" s="12">
        <f t="shared" si="26"/>
        <v>11.850342596499688</v>
      </c>
      <c r="FH17" s="12">
        <f t="shared" si="27"/>
        <v>11.532696599125236</v>
      </c>
      <c r="FI17" s="12">
        <f t="shared" si="28"/>
        <v>0</v>
      </c>
      <c r="FJ17" s="12">
        <f t="shared" si="29"/>
        <v>0</v>
      </c>
      <c r="FK17" s="12">
        <f t="shared" si="30"/>
        <v>3.9592039363852032</v>
      </c>
      <c r="FL17" s="12">
        <f t="shared" si="31"/>
        <v>6.4056673403040154</v>
      </c>
      <c r="FM17" s="12">
        <f t="shared" si="32"/>
        <v>10.230098409630084</v>
      </c>
      <c r="FN17" s="12">
        <f t="shared" si="33"/>
        <v>6.8822311973797887E-3</v>
      </c>
      <c r="FO17" s="12">
        <f t="shared" si="34"/>
        <v>5.3391122631462611E-2</v>
      </c>
      <c r="FP17" s="12">
        <f t="shared" si="35"/>
        <v>3.9823979745614571E-3</v>
      </c>
      <c r="FQ17" s="12">
        <f t="shared" si="36"/>
        <v>1.4301812014638936E-2</v>
      </c>
      <c r="FR17" s="12">
        <f t="shared" si="37"/>
        <v>0</v>
      </c>
      <c r="FS17" s="12">
        <f t="shared" si="38"/>
        <v>0</v>
      </c>
      <c r="FT17" s="12">
        <f t="shared" si="39"/>
        <v>7.6979527282312618E-3</v>
      </c>
      <c r="FU17" s="12">
        <f t="shared" si="40"/>
        <v>5.8976891310078203E-3</v>
      </c>
      <c r="FV17" s="12">
        <f t="shared" si="41"/>
        <v>1.0530041296898338E-2</v>
      </c>
      <c r="FW17" s="12">
        <f t="shared" si="42"/>
        <v>0.71363433600578707</v>
      </c>
      <c r="FX17" s="12">
        <f t="shared" si="43"/>
        <v>1.6867586955211284</v>
      </c>
      <c r="FY17" s="12">
        <f t="shared" si="44"/>
        <v>0.94802740771997507</v>
      </c>
      <c r="FZ17" s="12">
        <f t="shared" si="45"/>
        <v>0.92261572793001867</v>
      </c>
      <c r="GA17" s="12">
        <f t="shared" si="46"/>
        <v>0</v>
      </c>
      <c r="GB17" s="12">
        <f t="shared" si="47"/>
        <v>0</v>
      </c>
      <c r="GC17" s="12">
        <f t="shared" si="48"/>
        <v>0.31673631491081627</v>
      </c>
      <c r="GD17" s="12">
        <f t="shared" si="49"/>
        <v>0.5124533872243211</v>
      </c>
      <c r="GE17" s="12">
        <f t="shared" si="50"/>
        <v>0.81840787277040683</v>
      </c>
    </row>
    <row r="18" spans="2:187" ht="31">
      <c r="B18">
        <v>3</v>
      </c>
      <c r="C18">
        <f t="shared" si="10"/>
        <v>30</v>
      </c>
      <c r="D18" s="5">
        <v>4.4379999999999997</v>
      </c>
      <c r="E18" s="5">
        <v>2.7164999999999999</v>
      </c>
      <c r="F18" s="5">
        <v>4.3653000000000004</v>
      </c>
      <c r="G18" s="5" t="s">
        <v>502</v>
      </c>
      <c r="H18" s="5" t="s">
        <v>515</v>
      </c>
      <c r="I18" s="5" t="s">
        <v>528</v>
      </c>
      <c r="J18" s="192">
        <v>9.5009999999999994</v>
      </c>
      <c r="K18" s="192">
        <v>168.3904</v>
      </c>
      <c r="L18" s="192">
        <v>641.25689999999997</v>
      </c>
      <c r="M18" s="5">
        <v>10.768000000000001</v>
      </c>
      <c r="N18" s="5">
        <v>0.92879999999999996</v>
      </c>
      <c r="O18" s="5">
        <v>3.0928</v>
      </c>
      <c r="P18" s="17">
        <f t="shared" si="51"/>
        <v>1.6980579500472199</v>
      </c>
      <c r="Q18" s="5">
        <v>18.085000000000001</v>
      </c>
      <c r="R18" s="5">
        <v>0.79520000000000002</v>
      </c>
      <c r="S18" s="5">
        <v>1.5714999999999999</v>
      </c>
      <c r="T18" s="6" t="s">
        <v>542</v>
      </c>
      <c r="U18" s="6" t="s">
        <v>551</v>
      </c>
      <c r="V18" s="6" t="s">
        <v>560</v>
      </c>
      <c r="W18" s="6">
        <v>6.5049999999999999</v>
      </c>
      <c r="X18" s="6">
        <v>0.62409999999999999</v>
      </c>
      <c r="Y18" s="6">
        <v>1.9693000000000001</v>
      </c>
      <c r="Z18" s="193">
        <v>9.5850000000000009</v>
      </c>
      <c r="AA18" s="193">
        <v>352.67259999999999</v>
      </c>
      <c r="AB18" s="193">
        <v>1117.6573000000001</v>
      </c>
      <c r="AC18" s="6">
        <v>10.747999999999999</v>
      </c>
      <c r="AD18" s="6">
        <v>0.39290000000000003</v>
      </c>
      <c r="AE18" s="6">
        <v>0.88090000000000002</v>
      </c>
      <c r="AF18" s="19">
        <f t="shared" si="52"/>
        <v>3.5495077059095381</v>
      </c>
      <c r="AG18" s="6">
        <v>18.088000000000001</v>
      </c>
      <c r="AH18" s="6">
        <v>0.75939999999999996</v>
      </c>
      <c r="AI18" s="6">
        <v>1.4967999999999999</v>
      </c>
      <c r="AJ18" s="270" t="s">
        <v>579</v>
      </c>
      <c r="AK18" s="270" t="s">
        <v>580</v>
      </c>
      <c r="AL18" s="270" t="s">
        <v>593</v>
      </c>
      <c r="AM18" s="270">
        <v>6.4950000000000001</v>
      </c>
      <c r="AN18" s="270">
        <v>0.90269999999999995</v>
      </c>
      <c r="AO18" s="270">
        <v>3.3361000000000001</v>
      </c>
      <c r="AP18" s="270">
        <v>9.5180000000000007</v>
      </c>
      <c r="AQ18" s="270">
        <v>230.3235</v>
      </c>
      <c r="AR18" s="270">
        <v>828.41949999999997</v>
      </c>
      <c r="AS18" s="270">
        <v>0.755</v>
      </c>
      <c r="AT18" s="270">
        <v>0.4279</v>
      </c>
      <c r="AU18" s="270">
        <v>1.2137</v>
      </c>
      <c r="AV18" s="16">
        <f t="shared" si="53"/>
        <v>2.3202885446179193</v>
      </c>
      <c r="AW18" s="270">
        <v>18.077999999999999</v>
      </c>
      <c r="AX18" s="270">
        <v>1.3769</v>
      </c>
      <c r="AY18" s="270">
        <v>2.73</v>
      </c>
      <c r="AZ18" s="271" t="s">
        <v>622</v>
      </c>
      <c r="BA18" s="271" t="s">
        <v>623</v>
      </c>
      <c r="BB18" s="271" t="s">
        <v>624</v>
      </c>
      <c r="BC18" s="271" t="s">
        <v>625</v>
      </c>
      <c r="BD18" s="271" t="s">
        <v>626</v>
      </c>
      <c r="BE18" s="271" t="s">
        <v>627</v>
      </c>
      <c r="BF18" s="271">
        <v>9.4469999999999992</v>
      </c>
      <c r="BG18" s="271">
        <v>233.68090000000001</v>
      </c>
      <c r="BH18" s="271">
        <v>854.15309999999999</v>
      </c>
      <c r="BI18" s="271">
        <v>10.664</v>
      </c>
      <c r="BJ18" s="271">
        <v>0.2848</v>
      </c>
      <c r="BK18" s="271">
        <v>0.63019999999999998</v>
      </c>
      <c r="BL18" s="17">
        <f t="shared" si="54"/>
        <v>2.1277666696420603</v>
      </c>
      <c r="BM18" s="271">
        <v>17.757000000000001</v>
      </c>
      <c r="BN18" s="271">
        <v>0.92630000000000001</v>
      </c>
      <c r="BO18" s="271">
        <v>1.8716999999999999</v>
      </c>
      <c r="BP18" s="7" t="s">
        <v>653</v>
      </c>
      <c r="BQ18" s="7" t="s">
        <v>654</v>
      </c>
      <c r="BR18" s="7" t="s">
        <v>655</v>
      </c>
      <c r="BS18" s="7" t="s">
        <v>656</v>
      </c>
      <c r="BT18" s="7" t="s">
        <v>657</v>
      </c>
      <c r="BU18" s="7" t="s">
        <v>658</v>
      </c>
      <c r="BV18" s="200">
        <v>0</v>
      </c>
      <c r="BW18" s="200">
        <v>0</v>
      </c>
      <c r="BX18" s="200">
        <v>0</v>
      </c>
      <c r="BY18" s="7">
        <v>10.670999999999999</v>
      </c>
      <c r="BZ18" s="7">
        <v>0.20069999999999999</v>
      </c>
      <c r="CA18" s="7">
        <v>0.68640000000000001</v>
      </c>
      <c r="CB18" s="18">
        <v>0</v>
      </c>
      <c r="CC18" s="7">
        <v>17.738</v>
      </c>
      <c r="CD18" s="7">
        <v>0.54749999999999999</v>
      </c>
      <c r="CE18" s="7">
        <v>1.0628</v>
      </c>
      <c r="CF18" s="202">
        <v>4.4909999999999997</v>
      </c>
      <c r="CG18" s="203">
        <v>2.8353000000000002</v>
      </c>
      <c r="CH18" s="203">
        <v>5.7687999999999997</v>
      </c>
      <c r="CI18" s="203" t="s">
        <v>700</v>
      </c>
      <c r="CJ18" s="203" t="s">
        <v>701</v>
      </c>
      <c r="CK18" s="203" t="s">
        <v>702</v>
      </c>
      <c r="CL18">
        <v>0</v>
      </c>
      <c r="CM18">
        <v>0</v>
      </c>
      <c r="CN18">
        <v>0</v>
      </c>
      <c r="CO18">
        <v>0</v>
      </c>
      <c r="CP18">
        <v>0</v>
      </c>
      <c r="CQ18">
        <v>0</v>
      </c>
      <c r="CR18" s="18">
        <v>0</v>
      </c>
      <c r="CS18">
        <v>17.724</v>
      </c>
      <c r="CT18">
        <v>0.72340000000000004</v>
      </c>
      <c r="CU18">
        <v>1.4491000000000001</v>
      </c>
      <c r="CV18">
        <v>4.3810000000000002</v>
      </c>
      <c r="CW18">
        <v>9.0378000000000007</v>
      </c>
      <c r="CX18">
        <v>22.254200000000001</v>
      </c>
      <c r="CY18" t="s">
        <v>748</v>
      </c>
      <c r="CZ18" t="s">
        <v>749</v>
      </c>
      <c r="DA18" t="s">
        <v>750</v>
      </c>
      <c r="DB18">
        <v>9.3439999999999994</v>
      </c>
      <c r="DC18">
        <v>74.910399999999996</v>
      </c>
      <c r="DD18">
        <v>293.61989999999997</v>
      </c>
      <c r="DE18">
        <v>10.624000000000001</v>
      </c>
      <c r="DF18">
        <v>0.1003</v>
      </c>
      <c r="DG18">
        <v>0.3604</v>
      </c>
      <c r="DH18">
        <f t="shared" si="11"/>
        <v>0.6956163781741499</v>
      </c>
      <c r="DI18">
        <v>17.594000000000001</v>
      </c>
      <c r="DJ18">
        <v>0.68630000000000002</v>
      </c>
      <c r="DK18">
        <v>1.3894</v>
      </c>
      <c r="DL18">
        <v>4.3710000000000004</v>
      </c>
      <c r="DM18">
        <v>9.5655000000000001</v>
      </c>
      <c r="DN18">
        <v>24.7484</v>
      </c>
      <c r="DO18" t="s">
        <v>794</v>
      </c>
      <c r="DP18" t="s">
        <v>795</v>
      </c>
      <c r="DQ18" t="s">
        <v>796</v>
      </c>
      <c r="DR18">
        <v>9.3550000000000004</v>
      </c>
      <c r="DS18">
        <v>133.15790000000001</v>
      </c>
      <c r="DT18">
        <v>500.84629999999999</v>
      </c>
      <c r="DU18">
        <v>10.615</v>
      </c>
      <c r="DV18">
        <v>0.22509999999999999</v>
      </c>
      <c r="DW18">
        <v>0.78190000000000004</v>
      </c>
      <c r="DX18">
        <f t="shared" si="12"/>
        <v>1.2074123539232053</v>
      </c>
      <c r="DY18">
        <v>17.581</v>
      </c>
      <c r="DZ18">
        <v>0.80159999999999998</v>
      </c>
      <c r="EA18">
        <v>1.6061000000000001</v>
      </c>
      <c r="EB18">
        <v>4.3579999999999997</v>
      </c>
      <c r="EC18">
        <v>7.8863000000000003</v>
      </c>
      <c r="ED18">
        <v>21.2287</v>
      </c>
      <c r="EE18" t="s">
        <v>757</v>
      </c>
      <c r="EF18" t="s">
        <v>838</v>
      </c>
      <c r="EG18" t="s">
        <v>839</v>
      </c>
      <c r="EH18">
        <v>9.3780000000000001</v>
      </c>
      <c r="EI18">
        <v>213.61949999999999</v>
      </c>
      <c r="EJ18">
        <v>759.58950000000004</v>
      </c>
      <c r="EK18">
        <v>10.608000000000001</v>
      </c>
      <c r="EL18">
        <v>0.3599</v>
      </c>
      <c r="EM18">
        <v>1.0055000000000001</v>
      </c>
      <c r="EN18">
        <f t="shared" si="13"/>
        <v>1.9143941657147876</v>
      </c>
      <c r="EO18">
        <v>17.577999999999999</v>
      </c>
      <c r="EP18">
        <v>0.78310000000000002</v>
      </c>
      <c r="EQ18">
        <v>1.5749</v>
      </c>
      <c r="EU18" s="12">
        <f t="shared" si="14"/>
        <v>30</v>
      </c>
      <c r="EV18" s="12">
        <f t="shared" si="15"/>
        <v>1.6980579500472199</v>
      </c>
      <c r="EW18" s="12">
        <f t="shared" si="16"/>
        <v>3.5495077059095381</v>
      </c>
      <c r="EX18" s="12">
        <f t="shared" si="17"/>
        <v>2.3202885446179193</v>
      </c>
      <c r="EY18" s="12">
        <f t="shared" si="18"/>
        <v>2.1277666696420603</v>
      </c>
      <c r="EZ18" s="12">
        <f t="shared" si="19"/>
        <v>0</v>
      </c>
      <c r="FA18" s="12">
        <f t="shared" si="20"/>
        <v>0</v>
      </c>
      <c r="FB18" s="12">
        <f t="shared" si="21"/>
        <v>0.6956163781741499</v>
      </c>
      <c r="FC18" s="12">
        <f t="shared" si="22"/>
        <v>1.2074123539232053</v>
      </c>
      <c r="FD18" s="12">
        <f t="shared" si="23"/>
        <v>1.9143941657147876</v>
      </c>
      <c r="FE18" s="12">
        <f t="shared" si="24"/>
        <v>27.220537705708601</v>
      </c>
      <c r="FF18" s="12">
        <f t="shared" si="25"/>
        <v>32.749628267727608</v>
      </c>
      <c r="FG18" s="12">
        <f t="shared" si="26"/>
        <v>22.346680531275744</v>
      </c>
      <c r="FH18" s="12">
        <f t="shared" si="27"/>
        <v>25.291462108363831</v>
      </c>
      <c r="FI18" s="12">
        <f t="shared" si="28"/>
        <v>0.23394180130322234</v>
      </c>
      <c r="FJ18" s="12">
        <f t="shared" si="29"/>
        <v>0.21375078104079265</v>
      </c>
      <c r="FK18" s="12">
        <f t="shared" si="30"/>
        <v>13.580862841578069</v>
      </c>
      <c r="FL18" s="12">
        <f t="shared" si="31"/>
        <v>19.257837624110362</v>
      </c>
      <c r="FM18" s="12">
        <f t="shared" si="32"/>
        <v>27.177453650821541</v>
      </c>
      <c r="FN18" s="12">
        <f t="shared" si="33"/>
        <v>0.13584463600377761</v>
      </c>
      <c r="FO18" s="12">
        <f t="shared" si="34"/>
        <v>0.28396061647276305</v>
      </c>
      <c r="FP18" s="12">
        <f t="shared" si="35"/>
        <v>0.18562308356943355</v>
      </c>
      <c r="FQ18" s="12">
        <f t="shared" si="36"/>
        <v>0.17022133357136482</v>
      </c>
      <c r="FR18" s="12">
        <f t="shared" si="37"/>
        <v>0</v>
      </c>
      <c r="FS18" s="12">
        <f t="shared" si="38"/>
        <v>0</v>
      </c>
      <c r="FT18" s="12">
        <f t="shared" si="39"/>
        <v>5.5649310253931994E-2</v>
      </c>
      <c r="FU18" s="12">
        <f t="shared" si="40"/>
        <v>9.6592988313856418E-2</v>
      </c>
      <c r="FV18" s="12">
        <f t="shared" si="41"/>
        <v>0.15315153325718303</v>
      </c>
      <c r="FW18" s="12">
        <f t="shared" si="42"/>
        <v>2.1776430164566878</v>
      </c>
      <c r="FX18" s="12">
        <f t="shared" si="43"/>
        <v>2.6199702614182083</v>
      </c>
      <c r="FY18" s="12">
        <f t="shared" si="44"/>
        <v>1.7877344425020594</v>
      </c>
      <c r="FZ18" s="12">
        <f t="shared" si="45"/>
        <v>2.0233169686691062</v>
      </c>
      <c r="GA18" s="12">
        <f t="shared" si="46"/>
        <v>1.8715344104257785E-2</v>
      </c>
      <c r="GB18" s="12">
        <f t="shared" si="47"/>
        <v>1.7100062483263415E-2</v>
      </c>
      <c r="GC18" s="12">
        <f t="shared" si="48"/>
        <v>1.0864690273262456</v>
      </c>
      <c r="GD18" s="12">
        <f t="shared" si="49"/>
        <v>1.5406270099288288</v>
      </c>
      <c r="GE18" s="12">
        <f t="shared" si="50"/>
        <v>2.1741962920657238</v>
      </c>
    </row>
    <row r="19" spans="2:187" ht="31">
      <c r="B19">
        <v>4</v>
      </c>
      <c r="C19">
        <f t="shared" si="10"/>
        <v>40</v>
      </c>
      <c r="D19" s="5">
        <v>4.431</v>
      </c>
      <c r="E19" s="5">
        <v>2.4051</v>
      </c>
      <c r="F19" s="5">
        <v>3.7435</v>
      </c>
      <c r="G19" s="5" t="s">
        <v>503</v>
      </c>
      <c r="H19" s="5" t="s">
        <v>516</v>
      </c>
      <c r="I19" s="5" t="s">
        <v>529</v>
      </c>
      <c r="J19" s="192">
        <v>9.6110000000000007</v>
      </c>
      <c r="K19" s="192">
        <v>372.23520000000002</v>
      </c>
      <c r="L19" s="192">
        <v>1143.8742999999999</v>
      </c>
      <c r="M19" s="5">
        <v>10.773999999999999</v>
      </c>
      <c r="N19" s="5">
        <v>1.2555000000000001</v>
      </c>
      <c r="O19" s="5">
        <v>2.9188000000000001</v>
      </c>
      <c r="P19" s="17">
        <f t="shared" si="51"/>
        <v>3.7460495910945002</v>
      </c>
      <c r="Q19" s="5">
        <v>18.091000000000001</v>
      </c>
      <c r="R19" s="5">
        <v>0.70520000000000005</v>
      </c>
      <c r="S19" s="5">
        <v>1.3878999999999999</v>
      </c>
      <c r="T19" s="6" t="s">
        <v>543</v>
      </c>
      <c r="U19" s="6" t="s">
        <v>552</v>
      </c>
      <c r="V19" s="6" t="s">
        <v>561</v>
      </c>
      <c r="W19" s="6">
        <v>6.4950000000000001</v>
      </c>
      <c r="X19" s="6">
        <v>1.0185999999999999</v>
      </c>
      <c r="Y19" s="6">
        <v>2.5326</v>
      </c>
      <c r="Z19" s="193">
        <v>9.5549999999999997</v>
      </c>
      <c r="AA19" s="193">
        <v>298.01949999999999</v>
      </c>
      <c r="AB19" s="193">
        <v>1000.4934</v>
      </c>
      <c r="AC19" s="6">
        <v>10.755000000000001</v>
      </c>
      <c r="AD19" s="6">
        <v>0.4965</v>
      </c>
      <c r="AE19" s="6">
        <v>1.2836000000000001</v>
      </c>
      <c r="AF19" s="19">
        <f t="shared" si="52"/>
        <v>3.0004179476359836</v>
      </c>
      <c r="AG19" s="6">
        <v>18.085000000000001</v>
      </c>
      <c r="AH19" s="6">
        <v>0.68</v>
      </c>
      <c r="AI19" s="6">
        <v>1.3327</v>
      </c>
      <c r="AJ19" s="270" t="s">
        <v>581</v>
      </c>
      <c r="AK19" s="270" t="s">
        <v>582</v>
      </c>
      <c r="AL19" s="270" t="s">
        <v>594</v>
      </c>
      <c r="AM19" s="270">
        <v>6.4809999999999999</v>
      </c>
      <c r="AN19" s="270">
        <v>1.3689</v>
      </c>
      <c r="AO19" s="270">
        <v>3.8294999999999999</v>
      </c>
      <c r="AP19" s="270">
        <v>9.5579999999999998</v>
      </c>
      <c r="AQ19" s="270">
        <v>213.2792</v>
      </c>
      <c r="AR19" s="270">
        <v>1032.3217999999999</v>
      </c>
      <c r="AS19" s="270">
        <v>10.754</v>
      </c>
      <c r="AT19" s="270">
        <v>1.4089</v>
      </c>
      <c r="AU19" s="270">
        <v>3.4882</v>
      </c>
      <c r="AV19" s="16">
        <f t="shared" si="53"/>
        <v>2.1490475616372295</v>
      </c>
      <c r="AW19" s="270">
        <v>18.077999999999999</v>
      </c>
      <c r="AX19" s="270">
        <v>1.2544999999999999</v>
      </c>
      <c r="AY19" s="270">
        <v>2.2774999999999999</v>
      </c>
      <c r="AZ19" s="271" t="s">
        <v>628</v>
      </c>
      <c r="BA19" s="271" t="s">
        <v>629</v>
      </c>
      <c r="BB19" s="271" t="s">
        <v>630</v>
      </c>
      <c r="BC19" s="271">
        <v>6.4610000000000003</v>
      </c>
      <c r="BD19" s="271">
        <v>1.2133</v>
      </c>
      <c r="BE19" s="271">
        <v>2.7846000000000002</v>
      </c>
      <c r="BF19" s="271">
        <v>9.484</v>
      </c>
      <c r="BG19" s="271">
        <v>323.61399999999998</v>
      </c>
      <c r="BH19" s="271">
        <v>1084.6419000000001</v>
      </c>
      <c r="BI19" s="271">
        <v>10.664</v>
      </c>
      <c r="BJ19" s="271">
        <v>0.90810000000000002</v>
      </c>
      <c r="BK19" s="271">
        <v>1.8326</v>
      </c>
      <c r="BL19" s="17">
        <f t="shared" si="54"/>
        <v>2.9305257520307055</v>
      </c>
      <c r="BM19" s="271">
        <v>17.744</v>
      </c>
      <c r="BN19" s="271">
        <v>0.89190000000000003</v>
      </c>
      <c r="BO19" s="271">
        <v>1.7524999999999999</v>
      </c>
      <c r="BP19" s="7">
        <v>4.4450000000000003</v>
      </c>
      <c r="BQ19" s="7">
        <v>1.4168000000000001</v>
      </c>
      <c r="BR19" s="7">
        <v>3.3285999999999998</v>
      </c>
      <c r="BS19" s="7" t="s">
        <v>656</v>
      </c>
      <c r="BT19" s="7" t="s">
        <v>659</v>
      </c>
      <c r="BU19" s="7" t="s">
        <v>660</v>
      </c>
      <c r="BV19" s="200">
        <v>9.3550000000000004</v>
      </c>
      <c r="BW19" s="200">
        <v>0.54890000000000005</v>
      </c>
      <c r="BX19" s="200">
        <v>2.1743999999999999</v>
      </c>
      <c r="BY19" s="7">
        <v>10.667999999999999</v>
      </c>
      <c r="BZ19" s="7">
        <v>0.45860000000000001</v>
      </c>
      <c r="CA19" s="7">
        <v>1.5792999999999999</v>
      </c>
      <c r="CB19" s="18">
        <f t="shared" ref="CB19:CB30" si="55">(BW19+4.6928)/112.03</f>
        <v>4.6788360260644465E-2</v>
      </c>
      <c r="CC19" s="7">
        <v>17.731000000000002</v>
      </c>
      <c r="CD19" s="7">
        <v>0.80810000000000004</v>
      </c>
      <c r="CE19" s="7">
        <v>1.5281</v>
      </c>
      <c r="CF19" s="202">
        <v>4.4950000000000001</v>
      </c>
      <c r="CG19" s="203">
        <v>1.5794999999999999</v>
      </c>
      <c r="CH19" s="203">
        <v>2.7945000000000002</v>
      </c>
      <c r="CI19" s="203" t="s">
        <v>703</v>
      </c>
      <c r="CJ19" s="203" t="s">
        <v>704</v>
      </c>
      <c r="CK19" s="203" t="s">
        <v>705</v>
      </c>
      <c r="CL19">
        <v>9.3580000000000005</v>
      </c>
      <c r="CM19">
        <v>9.6500000000000002E-2</v>
      </c>
      <c r="CN19">
        <v>0.23849999999999999</v>
      </c>
      <c r="CR19" s="18">
        <f t="shared" ref="CR19:CR30" si="56">(CM19+4.6928)/112.03</f>
        <v>4.275015620815853E-2</v>
      </c>
      <c r="CS19">
        <v>17.718</v>
      </c>
      <c r="CT19">
        <v>0.5927</v>
      </c>
      <c r="CU19">
        <v>1.1791</v>
      </c>
      <c r="CV19">
        <v>4.375</v>
      </c>
      <c r="CW19">
        <v>8.0968999999999998</v>
      </c>
      <c r="CX19">
        <v>20.016500000000001</v>
      </c>
      <c r="CY19" t="s">
        <v>751</v>
      </c>
      <c r="CZ19" t="s">
        <v>752</v>
      </c>
      <c r="DA19" t="s">
        <v>753</v>
      </c>
      <c r="DB19">
        <v>9.391</v>
      </c>
      <c r="DC19">
        <v>225.70179999999999</v>
      </c>
      <c r="DD19">
        <v>799.05420000000004</v>
      </c>
      <c r="DE19">
        <v>10.611000000000001</v>
      </c>
      <c r="DF19">
        <v>0.2392</v>
      </c>
      <c r="DG19">
        <v>0.5847</v>
      </c>
      <c r="DH19">
        <f t="shared" si="11"/>
        <v>2.0205561901414639</v>
      </c>
      <c r="DI19">
        <v>17.597999999999999</v>
      </c>
      <c r="DJ19">
        <v>0.76980000000000004</v>
      </c>
      <c r="DK19">
        <v>1.5489999999999999</v>
      </c>
      <c r="DL19">
        <v>4.3639999999999999</v>
      </c>
      <c r="DM19">
        <v>8.7390000000000008</v>
      </c>
      <c r="DN19">
        <v>22.446000000000002</v>
      </c>
      <c r="DO19" t="s">
        <v>797</v>
      </c>
      <c r="DP19" t="s">
        <v>798</v>
      </c>
      <c r="DQ19" t="s">
        <v>799</v>
      </c>
      <c r="DR19">
        <v>9.4139999999999997</v>
      </c>
      <c r="DS19">
        <v>296.67360000000002</v>
      </c>
      <c r="DT19">
        <v>992.76440000000002</v>
      </c>
      <c r="DU19">
        <v>10.603999999999999</v>
      </c>
      <c r="DV19">
        <v>0.33550000000000002</v>
      </c>
      <c r="DW19">
        <v>0.82169999999999999</v>
      </c>
      <c r="DX19">
        <f t="shared" si="12"/>
        <v>2.6441551708988666</v>
      </c>
      <c r="DY19">
        <v>17.588000000000001</v>
      </c>
      <c r="DZ19">
        <v>0.75070000000000003</v>
      </c>
      <c r="EA19">
        <v>1.5165999999999999</v>
      </c>
      <c r="EB19">
        <v>4.3449999999999998</v>
      </c>
      <c r="EC19">
        <v>6.9363000000000001</v>
      </c>
      <c r="ED19">
        <v>18.7408</v>
      </c>
      <c r="EE19" t="s">
        <v>803</v>
      </c>
      <c r="EF19" t="s">
        <v>840</v>
      </c>
      <c r="EG19" t="s">
        <v>841</v>
      </c>
      <c r="EH19">
        <v>9.4450000000000003</v>
      </c>
      <c r="EI19">
        <v>396.47829999999999</v>
      </c>
      <c r="EJ19">
        <v>1222.1533999999999</v>
      </c>
      <c r="EK19">
        <v>10.605</v>
      </c>
      <c r="EL19">
        <v>1.4266000000000001</v>
      </c>
      <c r="EM19">
        <v>2.3971</v>
      </c>
      <c r="EN19">
        <f t="shared" si="13"/>
        <v>3.5210965644495209</v>
      </c>
      <c r="EO19">
        <v>17.574999999999999</v>
      </c>
      <c r="EP19">
        <v>0.98509999999999998</v>
      </c>
      <c r="EQ19">
        <v>1.9945999999999999</v>
      </c>
      <c r="EU19" s="12">
        <f t="shared" si="14"/>
        <v>40</v>
      </c>
      <c r="EV19" s="12">
        <f t="shared" si="15"/>
        <v>3.7460495910945002</v>
      </c>
      <c r="EW19" s="12">
        <f t="shared" si="16"/>
        <v>3.0004179476359836</v>
      </c>
      <c r="EX19" s="12">
        <f t="shared" si="17"/>
        <v>2.1490475616372295</v>
      </c>
      <c r="EY19" s="12">
        <f t="shared" si="18"/>
        <v>2.9305257520307055</v>
      </c>
      <c r="EZ19" s="12">
        <f t="shared" si="19"/>
        <v>4.6788360260644465E-2</v>
      </c>
      <c r="FA19" s="12">
        <f t="shared" si="20"/>
        <v>4.275015620815853E-2</v>
      </c>
      <c r="FB19" s="12">
        <f t="shared" si="21"/>
        <v>2.0205561901414639</v>
      </c>
      <c r="FC19" s="12">
        <f t="shared" si="22"/>
        <v>2.6441551708988666</v>
      </c>
      <c r="FD19" s="12">
        <f t="shared" si="23"/>
        <v>3.5210965644495209</v>
      </c>
      <c r="FE19" s="12">
        <f t="shared" si="24"/>
        <v>38.339356400827853</v>
      </c>
      <c r="FF19" s="12">
        <f t="shared" si="25"/>
        <v>26.008198203628908</v>
      </c>
      <c r="FG19" s="12">
        <f t="shared" si="26"/>
        <v>23.393413306005986</v>
      </c>
      <c r="FH19" s="12">
        <f t="shared" si="27"/>
        <v>27.322574310452552</v>
      </c>
      <c r="FI19" s="12">
        <f t="shared" si="28"/>
        <v>0.98146478621797728</v>
      </c>
      <c r="FJ19" s="12">
        <f t="shared" si="29"/>
        <v>0.58629831295188795</v>
      </c>
      <c r="FK19" s="12">
        <f t="shared" si="30"/>
        <v>24.541520955979266</v>
      </c>
      <c r="FL19" s="12">
        <f t="shared" si="31"/>
        <v>27.548730340040422</v>
      </c>
      <c r="FM19" s="12">
        <f t="shared" si="32"/>
        <v>34.093726386082068</v>
      </c>
      <c r="FN19" s="12">
        <f t="shared" si="33"/>
        <v>0.29968396728755997</v>
      </c>
      <c r="FO19" s="12">
        <f t="shared" si="34"/>
        <v>0.24003343581087869</v>
      </c>
      <c r="FP19" s="12">
        <f t="shared" si="35"/>
        <v>0.17192380493097834</v>
      </c>
      <c r="FQ19" s="12">
        <f t="shared" si="36"/>
        <v>0.23444206016245644</v>
      </c>
      <c r="FR19" s="12">
        <f t="shared" si="37"/>
        <v>3.7430688208515573E-3</v>
      </c>
      <c r="FS19" s="12">
        <f t="shared" si="38"/>
        <v>3.4200124966526826E-3</v>
      </c>
      <c r="FT19" s="12">
        <f t="shared" si="39"/>
        <v>0.16164449521131713</v>
      </c>
      <c r="FU19" s="12">
        <f t="shared" si="40"/>
        <v>0.21153241367190934</v>
      </c>
      <c r="FV19" s="12">
        <f t="shared" si="41"/>
        <v>0.28168772515596169</v>
      </c>
      <c r="FW19" s="12">
        <f t="shared" si="42"/>
        <v>3.0671485120662281</v>
      </c>
      <c r="FX19" s="12">
        <f t="shared" si="43"/>
        <v>2.0806558562903126</v>
      </c>
      <c r="FY19" s="12">
        <f t="shared" si="44"/>
        <v>1.8714730644804789</v>
      </c>
      <c r="FZ19" s="12">
        <f t="shared" si="45"/>
        <v>2.1858059448362042</v>
      </c>
      <c r="GA19" s="12">
        <f t="shared" si="46"/>
        <v>7.8517182897438198E-2</v>
      </c>
      <c r="GB19" s="12">
        <f t="shared" si="47"/>
        <v>4.690386503615103E-2</v>
      </c>
      <c r="GC19" s="12">
        <f t="shared" si="48"/>
        <v>1.9633216764783412</v>
      </c>
      <c r="GD19" s="12">
        <f t="shared" si="49"/>
        <v>2.2038984272032334</v>
      </c>
      <c r="GE19" s="12">
        <f t="shared" si="50"/>
        <v>2.7274981108865655</v>
      </c>
    </row>
    <row r="20" spans="2:187" ht="31">
      <c r="B20">
        <v>5</v>
      </c>
      <c r="C20">
        <f t="shared" si="10"/>
        <v>50</v>
      </c>
      <c r="D20" s="5">
        <v>4.431</v>
      </c>
      <c r="E20" s="5">
        <v>2.6543999999999999</v>
      </c>
      <c r="F20" s="5">
        <v>4.3430999999999997</v>
      </c>
      <c r="G20" s="5">
        <v>6.4249999999999998</v>
      </c>
      <c r="H20" s="5">
        <v>0.87680000000000002</v>
      </c>
      <c r="I20" s="5">
        <v>2.6322999999999999</v>
      </c>
      <c r="J20" s="192">
        <v>9.6150000000000002</v>
      </c>
      <c r="K20" s="192">
        <v>389.73050000000001</v>
      </c>
      <c r="L20" s="192">
        <v>1177.9047</v>
      </c>
      <c r="M20" s="5">
        <v>10.771000000000001</v>
      </c>
      <c r="N20" s="5">
        <v>1.52</v>
      </c>
      <c r="O20" s="5">
        <v>3.7549999999999999</v>
      </c>
      <c r="P20" s="17">
        <f t="shared" si="51"/>
        <v>3.9218216890710709</v>
      </c>
      <c r="Q20" s="5">
        <v>18.091000000000001</v>
      </c>
      <c r="R20" s="5">
        <v>0.89659999999999995</v>
      </c>
      <c r="S20" s="5">
        <v>1.772</v>
      </c>
      <c r="T20" s="6" t="s">
        <v>544</v>
      </c>
      <c r="U20" s="6" t="s">
        <v>553</v>
      </c>
      <c r="V20" s="6" t="s">
        <v>562</v>
      </c>
      <c r="W20" s="6">
        <v>6.5010000000000003</v>
      </c>
      <c r="X20" s="6">
        <v>0.94330000000000003</v>
      </c>
      <c r="Y20" s="6">
        <v>2.4565999999999999</v>
      </c>
      <c r="Z20" s="193">
        <v>9.5180000000000007</v>
      </c>
      <c r="AA20" s="193">
        <v>218.47229999999999</v>
      </c>
      <c r="AB20" s="193">
        <v>798.91189999999995</v>
      </c>
      <c r="AC20" s="6">
        <v>10.760999999999999</v>
      </c>
      <c r="AD20" s="6">
        <v>0.52959999999999996</v>
      </c>
      <c r="AE20" s="6">
        <v>1.5488999999999999</v>
      </c>
      <c r="AF20" s="19">
        <f t="shared" si="52"/>
        <v>2.2012216930897983</v>
      </c>
      <c r="AG20" s="6">
        <v>18.091000000000001</v>
      </c>
      <c r="AH20" s="6">
        <v>0.68810000000000004</v>
      </c>
      <c r="AI20" s="6">
        <v>1.3540000000000001</v>
      </c>
      <c r="AJ20" s="270" t="s">
        <v>570</v>
      </c>
      <c r="AK20" s="270" t="s">
        <v>583</v>
      </c>
      <c r="AL20" s="270" t="s">
        <v>595</v>
      </c>
      <c r="AM20" s="270">
        <v>6.484</v>
      </c>
      <c r="AN20" s="270">
        <v>1.2998000000000001</v>
      </c>
      <c r="AO20" s="270">
        <v>4.0412999999999997</v>
      </c>
      <c r="AP20" s="270">
        <v>9.5280000000000005</v>
      </c>
      <c r="AQ20" s="270">
        <v>251.16059999999999</v>
      </c>
      <c r="AR20" s="270">
        <v>884.15030000000002</v>
      </c>
      <c r="AS20" s="270">
        <v>10.754</v>
      </c>
      <c r="AT20" s="270">
        <v>1.649</v>
      </c>
      <c r="AU20" s="270">
        <v>4.6959</v>
      </c>
      <c r="AV20" s="16">
        <f t="shared" si="53"/>
        <v>2.5296350995639676</v>
      </c>
      <c r="AW20" s="270">
        <v>18.071000000000002</v>
      </c>
      <c r="AX20" s="270">
        <v>1.321</v>
      </c>
      <c r="AY20" s="270">
        <v>2.4514</v>
      </c>
      <c r="AZ20" s="271" t="s">
        <v>631</v>
      </c>
      <c r="BA20" s="271" t="s">
        <v>632</v>
      </c>
      <c r="BB20" s="271" t="s">
        <v>633</v>
      </c>
      <c r="BC20" s="271">
        <v>6.4640000000000004</v>
      </c>
      <c r="BD20" s="271">
        <v>1.5026999999999999</v>
      </c>
      <c r="BE20" s="271">
        <v>2.7742</v>
      </c>
      <c r="BF20" s="271">
        <v>9.4610000000000003</v>
      </c>
      <c r="BG20" s="271">
        <v>279.19</v>
      </c>
      <c r="BH20" s="271">
        <v>976.96820000000002</v>
      </c>
      <c r="BI20" s="271">
        <v>10.670999999999999</v>
      </c>
      <c r="BJ20" s="271">
        <v>1.6538999999999999</v>
      </c>
      <c r="BK20" s="271">
        <v>3.2947000000000002</v>
      </c>
      <c r="BL20" s="17">
        <f t="shared" si="54"/>
        <v>2.5339891100598053</v>
      </c>
      <c r="BM20" s="271">
        <v>17.744</v>
      </c>
      <c r="BN20" s="271">
        <v>1.0326</v>
      </c>
      <c r="BO20" s="271">
        <v>2.0527000000000002</v>
      </c>
      <c r="BP20" s="7" t="s">
        <v>661</v>
      </c>
      <c r="BQ20" s="7" t="s">
        <v>662</v>
      </c>
      <c r="BR20" s="7" t="s">
        <v>663</v>
      </c>
      <c r="BS20" s="7" t="s">
        <v>616</v>
      </c>
      <c r="BT20" s="7" t="s">
        <v>664</v>
      </c>
      <c r="BU20" s="7" t="s">
        <v>665</v>
      </c>
      <c r="BV20" s="200">
        <v>9.3680000000000003</v>
      </c>
      <c r="BW20" s="200">
        <v>12.0562</v>
      </c>
      <c r="BX20" s="200">
        <v>50.572600000000001</v>
      </c>
      <c r="BY20" s="7">
        <v>10.678000000000001</v>
      </c>
      <c r="BZ20" s="7">
        <v>0.29849999999999999</v>
      </c>
      <c r="CA20" s="7">
        <v>1.0161</v>
      </c>
      <c r="CB20" s="18">
        <f t="shared" si="55"/>
        <v>0.14950459698295102</v>
      </c>
      <c r="CC20" s="7">
        <v>17.744</v>
      </c>
      <c r="CD20" s="7">
        <v>0.67090000000000005</v>
      </c>
      <c r="CE20" s="7">
        <v>1.3095000000000001</v>
      </c>
      <c r="CF20" s="202">
        <v>4.484</v>
      </c>
      <c r="CG20" s="203">
        <v>1.4531000000000001</v>
      </c>
      <c r="CH20" s="203">
        <v>2.5396000000000001</v>
      </c>
      <c r="CI20" s="203" t="s">
        <v>706</v>
      </c>
      <c r="CJ20" s="203" t="s">
        <v>707</v>
      </c>
      <c r="CK20" s="203" t="s">
        <v>708</v>
      </c>
      <c r="CL20">
        <v>9.3670000000000009</v>
      </c>
      <c r="CM20">
        <v>3.6545000000000001</v>
      </c>
      <c r="CN20">
        <v>14.3011</v>
      </c>
      <c r="CR20" s="18">
        <f t="shared" si="56"/>
        <v>7.4509506382219051E-2</v>
      </c>
      <c r="CS20">
        <v>17.731000000000002</v>
      </c>
      <c r="CT20">
        <v>0.63160000000000005</v>
      </c>
      <c r="CU20">
        <v>1.2595000000000001</v>
      </c>
      <c r="CV20">
        <v>4.3680000000000003</v>
      </c>
      <c r="CW20">
        <v>7.5461</v>
      </c>
      <c r="CX20">
        <v>18.947500000000002</v>
      </c>
      <c r="CY20" t="s">
        <v>754</v>
      </c>
      <c r="CZ20" t="s">
        <v>755</v>
      </c>
      <c r="DA20" t="s">
        <v>756</v>
      </c>
      <c r="DB20">
        <v>9.4280000000000008</v>
      </c>
      <c r="DC20">
        <v>324.39690000000002</v>
      </c>
      <c r="DD20">
        <v>1063.3498999999999</v>
      </c>
      <c r="DE20">
        <v>10.608000000000001</v>
      </c>
      <c r="DF20">
        <v>0.35510000000000003</v>
      </c>
      <c r="DG20">
        <v>0.79010000000000002</v>
      </c>
      <c r="DH20">
        <f t="shared" si="11"/>
        <v>2.8877480010543888</v>
      </c>
      <c r="DI20">
        <v>17.600999999999999</v>
      </c>
      <c r="DJ20">
        <v>0.60340000000000005</v>
      </c>
      <c r="DK20">
        <v>1.2168000000000001</v>
      </c>
      <c r="DL20">
        <v>4.3609999999999998</v>
      </c>
      <c r="DM20">
        <v>8.6172000000000004</v>
      </c>
      <c r="DN20">
        <v>22.8919</v>
      </c>
      <c r="DO20" t="s">
        <v>800</v>
      </c>
      <c r="DP20" t="s">
        <v>801</v>
      </c>
      <c r="DQ20" t="s">
        <v>802</v>
      </c>
      <c r="DR20">
        <v>9.4179999999999993</v>
      </c>
      <c r="DS20">
        <v>321.87520000000001</v>
      </c>
      <c r="DT20">
        <v>1060.5196000000001</v>
      </c>
      <c r="DU20">
        <v>10.608000000000001</v>
      </c>
      <c r="DV20">
        <v>1.1505000000000001</v>
      </c>
      <c r="DW20">
        <v>1.9180999999999999</v>
      </c>
      <c r="DX20">
        <f t="shared" si="12"/>
        <v>2.8655908971092172</v>
      </c>
      <c r="DY20">
        <v>17.581</v>
      </c>
      <c r="DZ20">
        <v>0.80779999999999996</v>
      </c>
      <c r="EA20">
        <v>1.6165</v>
      </c>
      <c r="EB20">
        <v>4.351</v>
      </c>
      <c r="EC20">
        <v>7.3295000000000003</v>
      </c>
      <c r="ED20">
        <v>20.1692</v>
      </c>
      <c r="EE20" t="s">
        <v>842</v>
      </c>
      <c r="EF20" t="s">
        <v>843</v>
      </c>
      <c r="EG20" t="s">
        <v>844</v>
      </c>
      <c r="EH20">
        <v>9.4350000000000005</v>
      </c>
      <c r="EI20">
        <v>371.04770000000002</v>
      </c>
      <c r="EJ20">
        <v>1174.8832</v>
      </c>
      <c r="EK20">
        <v>10.605</v>
      </c>
      <c r="EL20">
        <v>1.4187000000000001</v>
      </c>
      <c r="EM20">
        <v>2.3001999999999998</v>
      </c>
      <c r="EN20">
        <f t="shared" si="13"/>
        <v>3.2976487127668923</v>
      </c>
      <c r="EO20">
        <v>17.454999999999998</v>
      </c>
      <c r="EP20">
        <v>25.083200000000001</v>
      </c>
      <c r="EQ20">
        <v>53.606400000000001</v>
      </c>
      <c r="EU20" s="12">
        <f t="shared" si="14"/>
        <v>50</v>
      </c>
      <c r="EV20" s="12">
        <f t="shared" si="15"/>
        <v>3.9218216890710709</v>
      </c>
      <c r="EW20" s="12">
        <f t="shared" si="16"/>
        <v>2.2012216930897983</v>
      </c>
      <c r="EX20" s="12">
        <f t="shared" si="17"/>
        <v>2.5296350995639676</v>
      </c>
      <c r="EY20" s="12">
        <f t="shared" si="18"/>
        <v>2.5339891100598053</v>
      </c>
      <c r="EZ20" s="12">
        <f t="shared" si="19"/>
        <v>0.14950459698295102</v>
      </c>
      <c r="FA20" s="12">
        <f t="shared" si="20"/>
        <v>7.4509506382219051E-2</v>
      </c>
      <c r="FB20" s="12">
        <f t="shared" si="21"/>
        <v>2.8877480010543888</v>
      </c>
      <c r="FC20" s="12">
        <f t="shared" si="22"/>
        <v>2.8655908971092172</v>
      </c>
      <c r="FD20" s="12">
        <f t="shared" si="23"/>
        <v>3.2976487127668923</v>
      </c>
      <c r="FE20" s="12">
        <f t="shared" si="24"/>
        <v>36.424699097795724</v>
      </c>
      <c r="FF20" s="12">
        <f t="shared" si="25"/>
        <v>19.303700243132997</v>
      </c>
      <c r="FG20" s="12">
        <f t="shared" si="26"/>
        <v>21.36787429421102</v>
      </c>
      <c r="FH20" s="12">
        <f t="shared" si="27"/>
        <v>22.839632241363923</v>
      </c>
      <c r="FI20" s="12">
        <f t="shared" si="28"/>
        <v>6.9229938409354643</v>
      </c>
      <c r="FJ20" s="12">
        <f t="shared" si="29"/>
        <v>5.1886325091493344</v>
      </c>
      <c r="FK20" s="12">
        <f t="shared" si="30"/>
        <v>29.279355944117388</v>
      </c>
      <c r="FL20" s="12">
        <f t="shared" si="31"/>
        <v>26.486956330726649</v>
      </c>
      <c r="FM20" s="12">
        <f t="shared" si="32"/>
        <v>29.831385642737899</v>
      </c>
      <c r="FN20" s="12">
        <f t="shared" si="33"/>
        <v>0.31374573512568565</v>
      </c>
      <c r="FO20" s="12">
        <f t="shared" si="34"/>
        <v>0.17609773544718388</v>
      </c>
      <c r="FP20" s="12">
        <f t="shared" si="35"/>
        <v>0.20237080796511742</v>
      </c>
      <c r="FQ20" s="12">
        <f t="shared" si="36"/>
        <v>0.20271912880478443</v>
      </c>
      <c r="FR20" s="12">
        <f t="shared" si="37"/>
        <v>1.1960367758636082E-2</v>
      </c>
      <c r="FS20" s="12">
        <f t="shared" si="38"/>
        <v>5.9607605105775237E-3</v>
      </c>
      <c r="FT20" s="12">
        <f t="shared" si="39"/>
        <v>0.23101984008435111</v>
      </c>
      <c r="FU20" s="12">
        <f t="shared" si="40"/>
        <v>0.22924727176873738</v>
      </c>
      <c r="FV20" s="12">
        <f t="shared" si="41"/>
        <v>0.26381189702135138</v>
      </c>
      <c r="FW20" s="12">
        <f t="shared" si="42"/>
        <v>2.9139759278236577</v>
      </c>
      <c r="FX20" s="12">
        <f t="shared" si="43"/>
        <v>1.5442960194506399</v>
      </c>
      <c r="FY20" s="12">
        <f t="shared" si="44"/>
        <v>1.7094299435368816</v>
      </c>
      <c r="FZ20" s="12">
        <f t="shared" si="45"/>
        <v>1.8271705793091138</v>
      </c>
      <c r="GA20" s="12">
        <f t="shared" si="46"/>
        <v>0.55383950727483711</v>
      </c>
      <c r="GB20" s="12">
        <f t="shared" si="47"/>
        <v>0.41509060073194681</v>
      </c>
      <c r="GC20" s="12">
        <f t="shared" si="48"/>
        <v>2.3423484755293913</v>
      </c>
      <c r="GD20" s="12">
        <f t="shared" si="49"/>
        <v>2.1189565064581322</v>
      </c>
      <c r="GE20" s="12">
        <f t="shared" si="50"/>
        <v>2.3865108514190321</v>
      </c>
    </row>
    <row r="21" spans="2:187" ht="31">
      <c r="B21">
        <v>6</v>
      </c>
      <c r="C21">
        <f t="shared" si="10"/>
        <v>60</v>
      </c>
      <c r="D21" s="5">
        <v>4.431</v>
      </c>
      <c r="E21" s="5">
        <v>3.2987000000000002</v>
      </c>
      <c r="F21" s="5">
        <v>5.4949000000000003</v>
      </c>
      <c r="G21" s="5" t="s">
        <v>504</v>
      </c>
      <c r="H21" s="5" t="s">
        <v>517</v>
      </c>
      <c r="I21" s="5" t="s">
        <v>530</v>
      </c>
      <c r="J21" s="192">
        <v>9.5850000000000009</v>
      </c>
      <c r="K21" s="192">
        <v>334.12049999999999</v>
      </c>
      <c r="L21" s="192">
        <v>1072.1391000000001</v>
      </c>
      <c r="M21" s="5">
        <v>10.768000000000001</v>
      </c>
      <c r="N21" s="5">
        <v>1.2539</v>
      </c>
      <c r="O21" s="5">
        <v>2.9912999999999998</v>
      </c>
      <c r="P21" s="17">
        <f t="shared" si="51"/>
        <v>3.3631181304880742</v>
      </c>
      <c r="Q21" s="5">
        <v>18.085000000000001</v>
      </c>
      <c r="R21" s="5">
        <v>0.7046</v>
      </c>
      <c r="S21" s="5">
        <v>1.3956999999999999</v>
      </c>
      <c r="T21" s="6" t="s">
        <v>545</v>
      </c>
      <c r="U21" s="6" t="s">
        <v>554</v>
      </c>
      <c r="V21" s="6" t="s">
        <v>563</v>
      </c>
      <c r="W21" s="6">
        <v>6.4980000000000002</v>
      </c>
      <c r="X21" s="6">
        <v>0.85680000000000001</v>
      </c>
      <c r="Y21" s="6">
        <v>2.1474000000000002</v>
      </c>
      <c r="Z21" s="193">
        <v>9.4909999999999997</v>
      </c>
      <c r="AA21" s="193">
        <v>164.55439999999999</v>
      </c>
      <c r="AB21" s="193">
        <v>631.2912</v>
      </c>
      <c r="AC21" s="6">
        <v>10.757999999999999</v>
      </c>
      <c r="AD21" s="6">
        <v>0.47870000000000001</v>
      </c>
      <c r="AE21" s="6">
        <v>1.5094000000000001</v>
      </c>
      <c r="AF21" s="19">
        <f t="shared" si="52"/>
        <v>1.6595183555368012</v>
      </c>
      <c r="AG21" s="6">
        <v>18.084</v>
      </c>
      <c r="AH21" s="6">
        <v>0.59089999999999998</v>
      </c>
      <c r="AI21" s="6">
        <v>1.1637</v>
      </c>
      <c r="AJ21" s="270" t="s">
        <v>571</v>
      </c>
      <c r="AK21" s="270" t="s">
        <v>584</v>
      </c>
      <c r="AL21" s="270" t="s">
        <v>596</v>
      </c>
      <c r="AM21" s="270">
        <v>6.4880000000000004</v>
      </c>
      <c r="AN21" s="270">
        <v>1.1477999999999999</v>
      </c>
      <c r="AO21" s="270">
        <v>3.7281</v>
      </c>
      <c r="AP21" s="270">
        <v>9.4809999999999999</v>
      </c>
      <c r="AQ21" s="270">
        <v>172.9572</v>
      </c>
      <c r="AR21" s="270">
        <v>656.88969999999995</v>
      </c>
      <c r="AS21" s="270">
        <v>10.747999999999999</v>
      </c>
      <c r="AT21" s="270">
        <v>1.0117</v>
      </c>
      <c r="AU21" s="270">
        <v>3.3186</v>
      </c>
      <c r="AV21" s="16">
        <f t="shared" si="53"/>
        <v>1.7439397592782364</v>
      </c>
      <c r="AW21" s="270">
        <v>18.071000000000002</v>
      </c>
      <c r="AX21" s="270">
        <v>1.0276000000000001</v>
      </c>
      <c r="AY21" s="270">
        <v>2.0162</v>
      </c>
      <c r="AZ21" s="271" t="s">
        <v>634</v>
      </c>
      <c r="BA21" s="271" t="s">
        <v>635</v>
      </c>
      <c r="BB21" s="271" t="s">
        <v>636</v>
      </c>
      <c r="BC21" s="271">
        <v>6.4710000000000001</v>
      </c>
      <c r="BD21" s="271">
        <v>1.0676000000000001</v>
      </c>
      <c r="BE21" s="271">
        <v>2.4708999999999999</v>
      </c>
      <c r="BF21" s="271">
        <v>9.4339999999999993</v>
      </c>
      <c r="BG21" s="271">
        <v>223.16919999999999</v>
      </c>
      <c r="BH21" s="271">
        <v>822.87099999999998</v>
      </c>
      <c r="BL21" s="17">
        <f t="shared" si="54"/>
        <v>2.0339373382129784</v>
      </c>
      <c r="BM21" s="271">
        <v>17.744</v>
      </c>
      <c r="BN21" s="271">
        <v>0.88829999999999998</v>
      </c>
      <c r="BO21" s="271">
        <v>1.7622</v>
      </c>
      <c r="BP21" s="7" t="s">
        <v>666</v>
      </c>
      <c r="BQ21" s="7" t="s">
        <v>667</v>
      </c>
      <c r="BR21" s="7" t="s">
        <v>668</v>
      </c>
      <c r="BS21" s="7">
        <v>6.4909999999999997</v>
      </c>
      <c r="BT21" s="7">
        <v>37.372599999999998</v>
      </c>
      <c r="BU21" s="7">
        <v>174.21789999999999</v>
      </c>
      <c r="BV21" s="200">
        <v>9.3979999999999997</v>
      </c>
      <c r="BW21" s="200">
        <v>133.6748</v>
      </c>
      <c r="BX21" s="200">
        <v>527.41070000000002</v>
      </c>
      <c r="BY21" s="7" t="s">
        <v>669</v>
      </c>
      <c r="BZ21" s="7" t="s">
        <v>670</v>
      </c>
      <c r="CA21" s="7" t="s">
        <v>671</v>
      </c>
      <c r="CB21" s="18">
        <f t="shared" si="55"/>
        <v>1.2350941712041419</v>
      </c>
      <c r="CC21" s="7" t="s">
        <v>672</v>
      </c>
      <c r="CD21" s="7" t="s">
        <v>673</v>
      </c>
      <c r="CE21" s="7" t="s">
        <v>674</v>
      </c>
      <c r="CF21" s="202">
        <v>4.4340000000000002</v>
      </c>
      <c r="CG21" s="203">
        <v>0.97150000000000003</v>
      </c>
      <c r="CH21" s="203">
        <v>1.4399</v>
      </c>
      <c r="CI21" s="203">
        <v>6.5279999999999996</v>
      </c>
      <c r="CJ21" s="203">
        <v>1.6042000000000001</v>
      </c>
      <c r="CK21" s="203">
        <v>4.6238999999999999</v>
      </c>
      <c r="CL21" s="203">
        <v>9.3840000000000003</v>
      </c>
      <c r="CM21" s="203">
        <v>103.21639999999999</v>
      </c>
      <c r="CN21" s="203">
        <v>395.27640000000002</v>
      </c>
      <c r="CO21" s="203">
        <v>10.661</v>
      </c>
      <c r="CP21" s="203">
        <v>0.1114</v>
      </c>
      <c r="CQ21" s="203">
        <v>0.39929999999999999</v>
      </c>
      <c r="CR21" s="18">
        <f t="shared" si="56"/>
        <v>0.96321699544764794</v>
      </c>
      <c r="CS21" s="203">
        <v>17.724</v>
      </c>
      <c r="CT21" s="203">
        <v>0.35610000000000003</v>
      </c>
      <c r="CU21" s="203">
        <v>0.70899999999999996</v>
      </c>
      <c r="CV21" s="203">
        <v>4.3639999999999999</v>
      </c>
      <c r="CW21" s="203">
        <v>7.4969999999999999</v>
      </c>
      <c r="CX21" s="203">
        <v>19.350000000000001</v>
      </c>
      <c r="CY21" s="203" t="s">
        <v>757</v>
      </c>
      <c r="CZ21" s="203" t="s">
        <v>758</v>
      </c>
      <c r="DA21" s="203" t="s">
        <v>759</v>
      </c>
      <c r="DB21">
        <v>9.4309999999999992</v>
      </c>
      <c r="DC21">
        <v>333.5444</v>
      </c>
      <c r="DD21">
        <v>1088.7818</v>
      </c>
      <c r="DE21">
        <v>10.614000000000001</v>
      </c>
      <c r="DF21">
        <v>0.93130000000000002</v>
      </c>
      <c r="DG21">
        <v>1.6989000000000001</v>
      </c>
      <c r="DH21">
        <f t="shared" si="11"/>
        <v>2.9681231877690886</v>
      </c>
      <c r="DI21">
        <v>17.594000000000001</v>
      </c>
      <c r="DJ21">
        <v>0.8679</v>
      </c>
      <c r="DK21">
        <v>1.7624</v>
      </c>
      <c r="DL21">
        <v>4.3609999999999998</v>
      </c>
      <c r="DM21">
        <v>9.0650999999999993</v>
      </c>
      <c r="DN21">
        <v>24.796099999999999</v>
      </c>
      <c r="DO21" t="s">
        <v>803</v>
      </c>
      <c r="DP21" t="s">
        <v>804</v>
      </c>
      <c r="DQ21" t="s">
        <v>805</v>
      </c>
      <c r="DR21">
        <v>9.3979999999999997</v>
      </c>
      <c r="DS21">
        <v>272.50549999999998</v>
      </c>
      <c r="DT21">
        <v>937.82740000000001</v>
      </c>
      <c r="DU21">
        <v>10.608000000000001</v>
      </c>
      <c r="DV21">
        <v>0.45650000000000002</v>
      </c>
      <c r="DW21">
        <v>1.2865</v>
      </c>
      <c r="DX21">
        <f t="shared" si="12"/>
        <v>2.4318003690361127</v>
      </c>
      <c r="DY21">
        <v>17.584</v>
      </c>
      <c r="DZ21">
        <v>0.67479999999999996</v>
      </c>
      <c r="EA21">
        <v>1.3595999999999999</v>
      </c>
      <c r="EB21">
        <v>4.3550000000000004</v>
      </c>
      <c r="EC21">
        <v>7.9019000000000004</v>
      </c>
      <c r="ED21">
        <v>22.505299999999998</v>
      </c>
      <c r="EE21" t="s">
        <v>845</v>
      </c>
      <c r="EF21" t="s">
        <v>846</v>
      </c>
      <c r="EG21" t="s">
        <v>847</v>
      </c>
      <c r="EH21">
        <v>9.4049999999999994</v>
      </c>
      <c r="EI21">
        <v>299.45890000000003</v>
      </c>
      <c r="EJ21">
        <v>1012.7929</v>
      </c>
      <c r="EK21">
        <v>10.601000000000001</v>
      </c>
      <c r="EL21">
        <v>0.66679999999999995</v>
      </c>
      <c r="EM21">
        <v>1.9554</v>
      </c>
      <c r="EN21">
        <f t="shared" si="13"/>
        <v>2.6686284157806872</v>
      </c>
      <c r="EO21">
        <v>17.561</v>
      </c>
      <c r="EP21">
        <v>2.0684</v>
      </c>
      <c r="EQ21">
        <v>4.2215999999999996</v>
      </c>
      <c r="EU21" s="12">
        <f t="shared" si="14"/>
        <v>60</v>
      </c>
      <c r="EV21" s="12">
        <f t="shared" si="15"/>
        <v>3.3631181304880742</v>
      </c>
      <c r="EW21" s="12">
        <f t="shared" si="16"/>
        <v>1.6595183555368012</v>
      </c>
      <c r="EX21" s="12">
        <f t="shared" si="17"/>
        <v>1.7439397592782364</v>
      </c>
      <c r="EY21" s="12">
        <f t="shared" si="18"/>
        <v>2.0339373382129784</v>
      </c>
      <c r="EZ21" s="12">
        <f t="shared" si="19"/>
        <v>1.2350941712041419</v>
      </c>
      <c r="FA21" s="12">
        <f t="shared" si="20"/>
        <v>0.96321699544764794</v>
      </c>
      <c r="FB21" s="12">
        <f t="shared" si="21"/>
        <v>2.9681231877690886</v>
      </c>
      <c r="FC21" s="12">
        <f t="shared" si="22"/>
        <v>2.4318003690361127</v>
      </c>
      <c r="FD21" s="12">
        <f t="shared" si="23"/>
        <v>2.6686284157806872</v>
      </c>
      <c r="FE21" s="12">
        <f t="shared" si="24"/>
        <v>27.916531034621332</v>
      </c>
      <c r="FF21" s="12">
        <f t="shared" si="25"/>
        <v>14.576340747885141</v>
      </c>
      <c r="FG21" s="12">
        <f t="shared" si="26"/>
        <v>15.225360178431488</v>
      </c>
      <c r="FH21" s="12">
        <f t="shared" si="27"/>
        <v>18.287793448183521</v>
      </c>
      <c r="FI21" s="12">
        <f>((EZ23+EZ21)/2)*($EU23-$EU21)</f>
        <v>27.952084263143803</v>
      </c>
      <c r="FJ21" s="12">
        <f t="shared" si="29"/>
        <v>27.586548246005535</v>
      </c>
      <c r="FK21" s="12">
        <f t="shared" si="30"/>
        <v>27.933024338810295</v>
      </c>
      <c r="FL21" s="12">
        <f t="shared" si="31"/>
        <v>22.13780862841578</v>
      </c>
      <c r="FM21" s="12">
        <f t="shared" si="32"/>
        <v>23.331337316580267</v>
      </c>
      <c r="FN21" s="12">
        <f t="shared" si="33"/>
        <v>0.26904945043904593</v>
      </c>
      <c r="FO21" s="12">
        <f t="shared" si="34"/>
        <v>0.13276146844294409</v>
      </c>
      <c r="FP21" s="12">
        <f t="shared" si="35"/>
        <v>0.13951518074225891</v>
      </c>
      <c r="FQ21" s="12">
        <f t="shared" si="36"/>
        <v>0.1627149870570383</v>
      </c>
      <c r="FR21" s="12">
        <f t="shared" si="37"/>
        <v>9.8807533696331343E-2</v>
      </c>
      <c r="FS21" s="12">
        <f t="shared" si="38"/>
        <v>7.705735963581184E-2</v>
      </c>
      <c r="FT21" s="12">
        <f t="shared" si="39"/>
        <v>0.23744985502152707</v>
      </c>
      <c r="FU21" s="12">
        <f t="shared" si="40"/>
        <v>0.19454402952288902</v>
      </c>
      <c r="FV21" s="12">
        <f t="shared" si="41"/>
        <v>0.21349027326245498</v>
      </c>
      <c r="FW21" s="12">
        <f t="shared" si="42"/>
        <v>2.2333224827697067</v>
      </c>
      <c r="FX21" s="12">
        <f t="shared" si="43"/>
        <v>1.1661072598308113</v>
      </c>
      <c r="FY21" s="12">
        <f t="shared" si="44"/>
        <v>1.218028814274519</v>
      </c>
      <c r="FZ21" s="12">
        <f t="shared" si="45"/>
        <v>1.4630234758546816</v>
      </c>
      <c r="GA21" s="12">
        <f>((FR23+FR21)/2)*($EU23-$EU21)</f>
        <v>2.236166741051504</v>
      </c>
      <c r="GB21" s="12">
        <f t="shared" si="47"/>
        <v>2.2069238596804426</v>
      </c>
      <c r="GC21" s="12">
        <f t="shared" si="48"/>
        <v>2.2346419471048238</v>
      </c>
      <c r="GD21" s="12">
        <f t="shared" si="49"/>
        <v>1.7710246902732623</v>
      </c>
      <c r="GE21" s="12">
        <f t="shared" si="50"/>
        <v>1.8665069853264213</v>
      </c>
    </row>
    <row r="22" spans="2:187" ht="31">
      <c r="B22">
        <v>7</v>
      </c>
      <c r="C22">
        <f t="shared" si="10"/>
        <v>70</v>
      </c>
      <c r="D22" s="5">
        <v>4.4340000000000002</v>
      </c>
      <c r="E22" s="5">
        <v>4.1231999999999998</v>
      </c>
      <c r="F22" s="5">
        <v>7.3879999999999999</v>
      </c>
      <c r="G22" s="5" t="s">
        <v>505</v>
      </c>
      <c r="H22" s="5" t="s">
        <v>518</v>
      </c>
      <c r="I22" s="5" t="s">
        <v>531</v>
      </c>
      <c r="J22" s="192">
        <v>9.5180000000000007</v>
      </c>
      <c r="K22" s="192">
        <v>220.36009999999999</v>
      </c>
      <c r="L22" s="192">
        <v>799.63210000000004</v>
      </c>
      <c r="M22" s="5">
        <v>10.757999999999999</v>
      </c>
      <c r="N22" s="5">
        <v>0.84140000000000004</v>
      </c>
      <c r="O22" s="5">
        <v>2.6484000000000001</v>
      </c>
      <c r="P22" s="17">
        <f t="shared" si="51"/>
        <v>2.2201880764361923</v>
      </c>
      <c r="Q22" s="5">
        <v>18.077999999999999</v>
      </c>
      <c r="R22" s="5">
        <v>0.76470000000000005</v>
      </c>
      <c r="S22" s="5">
        <v>1.5106999999999999</v>
      </c>
      <c r="T22" s="6" t="s">
        <v>546</v>
      </c>
      <c r="U22" s="6" t="s">
        <v>555</v>
      </c>
      <c r="V22" s="6" t="s">
        <v>564</v>
      </c>
      <c r="W22" s="6">
        <v>6.4980000000000002</v>
      </c>
      <c r="X22" s="6">
        <v>0.84799999999999998</v>
      </c>
      <c r="Y22" s="6">
        <v>2.1735000000000002</v>
      </c>
      <c r="Z22" s="193">
        <v>9.468</v>
      </c>
      <c r="AA22" s="193">
        <v>124.3657</v>
      </c>
      <c r="AB22" s="193">
        <v>491.2278</v>
      </c>
      <c r="AC22" s="6">
        <v>10.754</v>
      </c>
      <c r="AD22" s="6">
        <v>0.51629999999999998</v>
      </c>
      <c r="AE22" s="6">
        <v>1.6717</v>
      </c>
      <c r="AF22" s="19">
        <f t="shared" si="52"/>
        <v>1.2557497940402274</v>
      </c>
      <c r="AG22" s="6">
        <v>18.077999999999999</v>
      </c>
      <c r="AH22" s="6">
        <v>0.5575</v>
      </c>
      <c r="AI22" s="6">
        <v>1.0958000000000001</v>
      </c>
      <c r="AJ22" s="270" t="s">
        <v>572</v>
      </c>
      <c r="AK22" s="270" t="s">
        <v>585</v>
      </c>
      <c r="AL22" s="270" t="s">
        <v>597</v>
      </c>
      <c r="AM22" s="270">
        <v>6.4950000000000001</v>
      </c>
      <c r="AN22" s="270">
        <v>1.0185999999999999</v>
      </c>
      <c r="AO22" s="270">
        <v>2.8946000000000001</v>
      </c>
      <c r="AP22" s="270">
        <v>9.468</v>
      </c>
      <c r="AQ22" s="270">
        <v>128.8828</v>
      </c>
      <c r="AR22" s="270">
        <v>506.21280000000002</v>
      </c>
      <c r="AS22" s="270">
        <v>10.750999999999999</v>
      </c>
      <c r="AT22" s="270">
        <v>0.79869999999999997</v>
      </c>
      <c r="AU22" s="270">
        <v>2.6547999999999998</v>
      </c>
      <c r="AV22" s="16">
        <f t="shared" si="53"/>
        <v>1.3011322764080615</v>
      </c>
      <c r="AW22" s="270">
        <v>18.071000000000002</v>
      </c>
      <c r="AX22" s="270">
        <v>0.8679</v>
      </c>
      <c r="AY22" s="270">
        <v>1.6886000000000001</v>
      </c>
      <c r="AZ22" s="271">
        <v>4.4180000000000001</v>
      </c>
      <c r="BA22" s="271">
        <v>5.9627999999999997</v>
      </c>
      <c r="BB22" s="271">
        <v>13.0479</v>
      </c>
      <c r="BC22" s="271">
        <v>6.468</v>
      </c>
      <c r="BD22" s="271">
        <v>1.3273999999999999</v>
      </c>
      <c r="BE22" s="271">
        <v>3.6070000000000002</v>
      </c>
      <c r="BF22" s="271">
        <v>9.4149999999999991</v>
      </c>
      <c r="BG22" s="271">
        <v>177.20150000000001</v>
      </c>
      <c r="BH22" s="271">
        <v>678.55240000000003</v>
      </c>
      <c r="BI22" s="271">
        <v>10.670999999999999</v>
      </c>
      <c r="BJ22" s="271">
        <v>0.77439999999999998</v>
      </c>
      <c r="BK22" s="271">
        <v>2.4573999999999998</v>
      </c>
      <c r="BL22" s="17">
        <f t="shared" si="54"/>
        <v>1.6236213514237259</v>
      </c>
      <c r="BM22" s="271">
        <v>17.745000000000001</v>
      </c>
      <c r="BN22" s="271">
        <v>1.0599000000000001</v>
      </c>
      <c r="BO22" s="271">
        <v>2.1032000000000002</v>
      </c>
      <c r="BP22" s="7" t="s">
        <v>675</v>
      </c>
      <c r="CB22" s="18" t="s">
        <v>182</v>
      </c>
      <c r="CF22" s="202">
        <v>4.3440000000000003</v>
      </c>
      <c r="CG22" s="203">
        <v>0.40400000000000003</v>
      </c>
      <c r="CH22" s="203">
        <v>0.70330000000000004</v>
      </c>
      <c r="CI22" s="203">
        <v>6.5209999999999999</v>
      </c>
      <c r="CJ22" s="203">
        <v>1.3466</v>
      </c>
      <c r="CK22" s="203">
        <v>3.6924999999999999</v>
      </c>
      <c r="CL22" s="203">
        <v>9.5380000000000003</v>
      </c>
      <c r="CM22" s="203">
        <v>505.50220000000002</v>
      </c>
      <c r="CN22" s="203">
        <v>1409.7814000000001</v>
      </c>
      <c r="CO22" s="203">
        <v>10.641</v>
      </c>
      <c r="CP22" s="203">
        <v>1.1079000000000001</v>
      </c>
      <c r="CQ22" s="203">
        <v>1.6479999999999999</v>
      </c>
      <c r="CR22" s="18">
        <f t="shared" si="56"/>
        <v>4.5540926537534592</v>
      </c>
      <c r="CS22" s="203">
        <v>17.728000000000002</v>
      </c>
      <c r="CT22" s="203">
        <v>0.43309999999999998</v>
      </c>
      <c r="CU22" s="203">
        <v>0.86370000000000002</v>
      </c>
      <c r="CV22" s="203">
        <v>4.3639999999999999</v>
      </c>
      <c r="CW22" s="203">
        <v>8.0952000000000002</v>
      </c>
      <c r="CX22" s="203">
        <v>21.1904</v>
      </c>
      <c r="CY22" s="203" t="s">
        <v>760</v>
      </c>
      <c r="CZ22" s="203" t="s">
        <v>761</v>
      </c>
      <c r="DA22" s="203" t="s">
        <v>762</v>
      </c>
      <c r="DB22">
        <v>9.4109999999999996</v>
      </c>
      <c r="DC22">
        <v>293.75170000000003</v>
      </c>
      <c r="DD22">
        <v>994.12990000000002</v>
      </c>
      <c r="DE22">
        <v>10.614000000000001</v>
      </c>
      <c r="DF22">
        <v>1.4361999999999999</v>
      </c>
      <c r="DG22">
        <v>2.5958000000000001</v>
      </c>
      <c r="DH22">
        <f t="shared" si="11"/>
        <v>2.6184816799929709</v>
      </c>
      <c r="DI22">
        <v>17.588000000000001</v>
      </c>
      <c r="DJ22">
        <v>1.2146999999999999</v>
      </c>
      <c r="DK22">
        <v>2.4701</v>
      </c>
      <c r="DL22">
        <v>4.3680000000000003</v>
      </c>
      <c r="DM22">
        <v>9.2361000000000004</v>
      </c>
      <c r="DN22">
        <v>26.3552</v>
      </c>
      <c r="DO22" t="s">
        <v>806</v>
      </c>
      <c r="DP22" t="s">
        <v>807</v>
      </c>
      <c r="DQ22" t="s">
        <v>808</v>
      </c>
      <c r="DR22">
        <v>9.3780000000000001</v>
      </c>
      <c r="DS22">
        <v>222.87989999999999</v>
      </c>
      <c r="DT22">
        <v>799.62869999999998</v>
      </c>
      <c r="DU22">
        <v>10.611000000000001</v>
      </c>
      <c r="DV22">
        <v>0.63629999999999998</v>
      </c>
      <c r="DW22">
        <v>1.9577</v>
      </c>
      <c r="DX22">
        <f t="shared" si="12"/>
        <v>1.9957613566470431</v>
      </c>
      <c r="DY22">
        <v>17.577999999999999</v>
      </c>
      <c r="DZ22">
        <v>0.92689999999999995</v>
      </c>
      <c r="EA22">
        <v>1.8811</v>
      </c>
      <c r="EB22">
        <v>4.3609999999999998</v>
      </c>
      <c r="EC22">
        <v>8.5271000000000008</v>
      </c>
      <c r="ED22">
        <v>25.221900000000002</v>
      </c>
      <c r="EE22" t="s">
        <v>848</v>
      </c>
      <c r="EF22" t="s">
        <v>849</v>
      </c>
      <c r="EG22" t="s">
        <v>850</v>
      </c>
      <c r="EH22">
        <v>9.3680000000000003</v>
      </c>
      <c r="EI22">
        <v>223.09360000000001</v>
      </c>
      <c r="EJ22">
        <v>804.87429999999995</v>
      </c>
      <c r="EK22">
        <v>10.598000000000001</v>
      </c>
      <c r="EL22">
        <v>0.53100000000000003</v>
      </c>
      <c r="EM22">
        <v>1.5999000000000001</v>
      </c>
      <c r="EN22">
        <f t="shared" si="13"/>
        <v>1.997639047535366</v>
      </c>
      <c r="EO22">
        <v>17.564</v>
      </c>
      <c r="EP22">
        <v>0.76759999999999995</v>
      </c>
      <c r="EQ22">
        <v>1.552</v>
      </c>
      <c r="EU22" s="12">
        <f t="shared" si="14"/>
        <v>70</v>
      </c>
      <c r="EV22" s="12">
        <f t="shared" si="15"/>
        <v>2.2201880764361923</v>
      </c>
      <c r="EW22" s="12">
        <f t="shared" si="16"/>
        <v>1.2557497940402274</v>
      </c>
      <c r="EX22" s="12">
        <f t="shared" si="17"/>
        <v>1.3011322764080615</v>
      </c>
      <c r="EY22" s="12">
        <f t="shared" si="18"/>
        <v>1.6236213514237259</v>
      </c>
      <c r="EZ22" s="12" t="str">
        <f t="shared" si="19"/>
        <v>nm</v>
      </c>
      <c r="FA22" s="12">
        <f t="shared" si="20"/>
        <v>4.5540926537534592</v>
      </c>
      <c r="FB22" s="12">
        <f t="shared" si="21"/>
        <v>2.6184816799929709</v>
      </c>
      <c r="FC22" s="12">
        <f t="shared" si="22"/>
        <v>1.9957613566470431</v>
      </c>
      <c r="FD22" s="12">
        <f t="shared" si="23"/>
        <v>1.997639047535366</v>
      </c>
      <c r="FE22" s="12">
        <f t="shared" si="24"/>
        <v>17.238014145919983</v>
      </c>
      <c r="FF22" s="12">
        <f t="shared" si="25"/>
        <v>11.005676452267565</v>
      </c>
      <c r="FG22" s="12">
        <f t="shared" si="26"/>
        <v>11.614588984668554</v>
      </c>
      <c r="FH22" s="12">
        <f t="shared" si="27"/>
        <v>14.709104704097115</v>
      </c>
      <c r="FI22" s="12">
        <f t="shared" ref="FI22:FI28" si="57">((EZ24+EZ23)/2)*($EU24-$EU23)</f>
        <v>20.481915558332592</v>
      </c>
      <c r="FJ22" s="12">
        <f t="shared" si="29"/>
        <v>46.20004463090244</v>
      </c>
      <c r="FK22" s="12">
        <f t="shared" si="30"/>
        <v>23.498119673139442</v>
      </c>
      <c r="FL22" s="12">
        <f t="shared" si="31"/>
        <v>17.721289869080046</v>
      </c>
      <c r="FM22" s="12">
        <f t="shared" si="32"/>
        <v>16.325911607064405</v>
      </c>
      <c r="FN22" s="12">
        <f t="shared" si="33"/>
        <v>0.1776150461148954</v>
      </c>
      <c r="FO22" s="12">
        <f t="shared" si="34"/>
        <v>0.10045998352321818</v>
      </c>
      <c r="FP22" s="12">
        <f t="shared" si="35"/>
        <v>0.10409058211264492</v>
      </c>
      <c r="FQ22" s="12">
        <f t="shared" si="36"/>
        <v>0.12988970811389808</v>
      </c>
      <c r="FR22" s="12" t="e">
        <f t="shared" si="37"/>
        <v>#VALUE!</v>
      </c>
      <c r="FS22" s="12">
        <f t="shared" si="38"/>
        <v>0.36432741230027671</v>
      </c>
      <c r="FT22" s="12">
        <f t="shared" si="39"/>
        <v>0.20947853439943767</v>
      </c>
      <c r="FU22" s="12">
        <f t="shared" si="40"/>
        <v>0.15966090853176346</v>
      </c>
      <c r="FV22" s="12">
        <f t="shared" si="41"/>
        <v>0.15981112380282927</v>
      </c>
      <c r="FW22" s="12">
        <f t="shared" si="42"/>
        <v>1.3790411316735991</v>
      </c>
      <c r="FX22" s="12">
        <f t="shared" si="43"/>
        <v>0.88045411618140523</v>
      </c>
      <c r="FY22" s="12">
        <f t="shared" si="44"/>
        <v>0.92916711877348424</v>
      </c>
      <c r="FZ22" s="12">
        <f t="shared" si="45"/>
        <v>1.1767283763277694</v>
      </c>
      <c r="GA22" s="12">
        <f t="shared" ref="GA22:GA28" si="58">((FR24+FR23)/2)*($EU24-$EU23)</f>
        <v>1.6385532446666073</v>
      </c>
      <c r="GB22" s="12">
        <f t="shared" si="47"/>
        <v>3.696003570472195</v>
      </c>
      <c r="GC22" s="12">
        <f t="shared" si="48"/>
        <v>1.8798495738511556</v>
      </c>
      <c r="GD22" s="12">
        <f t="shared" si="49"/>
        <v>1.4177031895264036</v>
      </c>
      <c r="GE22" s="12">
        <f t="shared" si="50"/>
        <v>1.3060729285651522</v>
      </c>
    </row>
    <row r="23" spans="2:187" ht="31">
      <c r="B23">
        <v>8</v>
      </c>
      <c r="C23">
        <f t="shared" si="10"/>
        <v>80</v>
      </c>
      <c r="D23" s="5">
        <v>4.4379999999999997</v>
      </c>
      <c r="E23" s="5">
        <v>4.8914999999999997</v>
      </c>
      <c r="F23" s="5">
        <v>9.1252999999999993</v>
      </c>
      <c r="G23" s="5" t="s">
        <v>506</v>
      </c>
      <c r="H23" s="5" t="s">
        <v>519</v>
      </c>
      <c r="I23" s="5" t="s">
        <v>532</v>
      </c>
      <c r="J23" s="192">
        <v>9.4710000000000001</v>
      </c>
      <c r="K23" s="192">
        <v>121.5454</v>
      </c>
      <c r="L23" s="192">
        <v>480.83370000000002</v>
      </c>
      <c r="M23" s="5">
        <v>10.757999999999999</v>
      </c>
      <c r="N23" s="5">
        <v>0.92659999999999998</v>
      </c>
      <c r="O23" s="5">
        <v>3.1023999999999998</v>
      </c>
      <c r="P23" s="17">
        <f t="shared" si="51"/>
        <v>1.2274147527478048</v>
      </c>
      <c r="Q23" s="5">
        <v>18.074000000000002</v>
      </c>
      <c r="R23" s="5">
        <v>0.90959999999999996</v>
      </c>
      <c r="S23" s="5">
        <v>1.7951999999999999</v>
      </c>
      <c r="T23" s="6" t="s">
        <v>547</v>
      </c>
      <c r="U23" s="6" t="s">
        <v>556</v>
      </c>
      <c r="V23" s="6" t="s">
        <v>565</v>
      </c>
      <c r="W23" s="6">
        <v>6.4950000000000001</v>
      </c>
      <c r="X23" s="6">
        <v>1.0927</v>
      </c>
      <c r="Y23" s="6">
        <v>3.7686000000000002</v>
      </c>
      <c r="Z23" s="193">
        <v>9.4580000000000002</v>
      </c>
      <c r="AA23" s="193">
        <v>93.4739</v>
      </c>
      <c r="AB23" s="193">
        <v>376.90030000000002</v>
      </c>
      <c r="AC23" s="6">
        <v>10.757999999999999</v>
      </c>
      <c r="AD23" s="6">
        <v>0.8216</v>
      </c>
      <c r="AE23" s="6">
        <v>2.8742999999999999</v>
      </c>
      <c r="AF23" s="19">
        <f t="shared" si="52"/>
        <v>0.94538549641328584</v>
      </c>
      <c r="AG23" s="6">
        <v>18.081</v>
      </c>
      <c r="AH23" s="6">
        <v>0.8286</v>
      </c>
      <c r="AI23" s="6">
        <v>1.6249</v>
      </c>
      <c r="AJ23" s="270" t="s">
        <v>573</v>
      </c>
      <c r="AK23" s="270" t="s">
        <v>586</v>
      </c>
      <c r="AL23" s="270" t="s">
        <v>598</v>
      </c>
      <c r="AM23" s="270">
        <v>6.4980000000000002</v>
      </c>
      <c r="AN23" s="270">
        <v>0.5927</v>
      </c>
      <c r="AO23" s="270">
        <v>2.2732000000000001</v>
      </c>
      <c r="AP23" s="270">
        <v>9.4580000000000002</v>
      </c>
      <c r="AQ23" s="270">
        <v>101.0783</v>
      </c>
      <c r="AR23" s="270">
        <v>404.21480000000003</v>
      </c>
      <c r="AS23" s="270">
        <v>10.750999999999999</v>
      </c>
      <c r="AT23" s="270">
        <v>0.68359999999999999</v>
      </c>
      <c r="AU23" s="270">
        <v>2.3896000000000002</v>
      </c>
      <c r="AV23" s="16">
        <f t="shared" si="53"/>
        <v>1.0217855205256494</v>
      </c>
      <c r="AW23" s="270">
        <v>18.071000000000002</v>
      </c>
      <c r="AX23" s="270">
        <v>0.75839999999999996</v>
      </c>
      <c r="AY23" s="270">
        <v>1.4975000000000001</v>
      </c>
      <c r="AZ23" s="271">
        <v>4.4139999999999997</v>
      </c>
      <c r="BA23" s="271">
        <v>6.0861000000000001</v>
      </c>
      <c r="BB23" s="271">
        <v>13.0783</v>
      </c>
      <c r="BC23" s="271">
        <v>6.468</v>
      </c>
      <c r="BD23" s="271">
        <v>0.69610000000000005</v>
      </c>
      <c r="BE23" s="271">
        <v>2.3620000000000001</v>
      </c>
      <c r="BF23" s="271">
        <v>9.3979999999999997</v>
      </c>
      <c r="BG23" s="271">
        <v>142.98509999999999</v>
      </c>
      <c r="BH23" s="271">
        <v>562.12860000000001</v>
      </c>
      <c r="BI23" s="271">
        <v>10.667999999999999</v>
      </c>
      <c r="BJ23" s="271">
        <v>0.58089999999999997</v>
      </c>
      <c r="BK23" s="271">
        <v>1.8564000000000001</v>
      </c>
      <c r="BL23" s="17">
        <f t="shared" si="54"/>
        <v>1.3181995893956975</v>
      </c>
      <c r="BM23" s="271">
        <v>17.744</v>
      </c>
      <c r="BN23" s="271">
        <v>0.78710000000000002</v>
      </c>
      <c r="BO23" s="271">
        <v>1.5585</v>
      </c>
      <c r="BP23" s="7" t="s">
        <v>676</v>
      </c>
      <c r="BQ23" s="7" t="s">
        <v>677</v>
      </c>
      <c r="BR23" s="7" t="s">
        <v>678</v>
      </c>
      <c r="BS23" s="7" t="s">
        <v>679</v>
      </c>
      <c r="BT23" s="7" t="s">
        <v>680</v>
      </c>
      <c r="BU23" s="7" t="s">
        <v>681</v>
      </c>
      <c r="BV23" s="200">
        <v>9.4139999999999997</v>
      </c>
      <c r="BW23" s="200">
        <v>170.08680000000001</v>
      </c>
      <c r="BX23" s="200">
        <v>652.76110000000006</v>
      </c>
      <c r="BY23" s="7">
        <v>10.673999999999999</v>
      </c>
      <c r="BZ23" s="7">
        <v>0.95409999999999995</v>
      </c>
      <c r="CA23" s="7">
        <v>3.0868000000000002</v>
      </c>
      <c r="CB23" s="18">
        <f t="shared" si="55"/>
        <v>1.5601142551102385</v>
      </c>
      <c r="CC23" s="7" t="s">
        <v>682</v>
      </c>
      <c r="CD23" s="7" t="s">
        <v>683</v>
      </c>
      <c r="CE23" s="7" t="s">
        <v>684</v>
      </c>
      <c r="CF23" s="202">
        <v>4.3449999999999998</v>
      </c>
      <c r="CG23" s="203">
        <v>0.39829999999999999</v>
      </c>
      <c r="CH23" s="203">
        <v>0.74550000000000005</v>
      </c>
      <c r="CI23" s="203" t="s">
        <v>709</v>
      </c>
      <c r="CJ23" s="203" t="s">
        <v>710</v>
      </c>
      <c r="CK23" s="203" t="s">
        <v>711</v>
      </c>
      <c r="CL23">
        <v>9.5410000000000004</v>
      </c>
      <c r="CM23">
        <v>520.2704</v>
      </c>
      <c r="CN23">
        <v>1440.9168999999999</v>
      </c>
      <c r="CO23">
        <v>10.651</v>
      </c>
      <c r="CP23">
        <v>1.6333</v>
      </c>
      <c r="CQ23">
        <v>3.1040999999999999</v>
      </c>
      <c r="CR23" s="18">
        <f t="shared" si="56"/>
        <v>4.6859162724270291</v>
      </c>
      <c r="CS23">
        <v>17.718</v>
      </c>
      <c r="CT23">
        <v>0.7369</v>
      </c>
      <c r="CU23">
        <v>1.4791000000000001</v>
      </c>
      <c r="CV23">
        <v>4.3710000000000004</v>
      </c>
      <c r="CW23">
        <v>8.7071000000000005</v>
      </c>
      <c r="CX23">
        <v>23.779</v>
      </c>
      <c r="CY23" t="s">
        <v>763</v>
      </c>
      <c r="CZ23" t="s">
        <v>764</v>
      </c>
      <c r="DA23" t="s">
        <v>765</v>
      </c>
      <c r="DB23">
        <v>9.3879999999999999</v>
      </c>
      <c r="DC23">
        <v>232.59710000000001</v>
      </c>
      <c r="DD23">
        <v>828.90880000000004</v>
      </c>
      <c r="DE23">
        <v>10.615</v>
      </c>
      <c r="DF23">
        <v>0.54069999999999996</v>
      </c>
      <c r="DG23">
        <v>1.5860000000000001</v>
      </c>
      <c r="DH23">
        <f t="shared" si="11"/>
        <v>2.0811422546349179</v>
      </c>
      <c r="DI23">
        <v>17.588000000000001</v>
      </c>
      <c r="DJ23">
        <v>0.874</v>
      </c>
      <c r="DK23">
        <v>1.7685999999999999</v>
      </c>
      <c r="DL23">
        <v>4.3680000000000003</v>
      </c>
      <c r="DM23">
        <v>9.3894000000000002</v>
      </c>
      <c r="DN23">
        <v>27.590900000000001</v>
      </c>
      <c r="DO23" t="s">
        <v>809</v>
      </c>
      <c r="DP23" t="s">
        <v>810</v>
      </c>
      <c r="DQ23" t="s">
        <v>811</v>
      </c>
      <c r="DR23">
        <v>9.3610000000000007</v>
      </c>
      <c r="DS23">
        <v>171.97669999999999</v>
      </c>
      <c r="DT23">
        <v>640.72109999999998</v>
      </c>
      <c r="DU23">
        <v>10.615</v>
      </c>
      <c r="DV23">
        <v>0.78790000000000004</v>
      </c>
      <c r="DW23">
        <v>2.5224000000000002</v>
      </c>
      <c r="DX23">
        <f t="shared" si="12"/>
        <v>1.5484966171689658</v>
      </c>
      <c r="DY23">
        <v>17.585000000000001</v>
      </c>
      <c r="DZ23">
        <v>0.99680000000000002</v>
      </c>
      <c r="EA23">
        <v>2.0200999999999998</v>
      </c>
      <c r="EB23">
        <v>4.3680000000000003</v>
      </c>
      <c r="EC23">
        <v>8.8190000000000008</v>
      </c>
      <c r="ED23">
        <v>26.946200000000001</v>
      </c>
      <c r="EE23" t="s">
        <v>851</v>
      </c>
      <c r="EF23" t="s">
        <v>852</v>
      </c>
      <c r="EG23" t="s">
        <v>853</v>
      </c>
      <c r="EH23">
        <v>9.3409999999999993</v>
      </c>
      <c r="EI23">
        <v>140.00139999999999</v>
      </c>
      <c r="EJ23">
        <v>534.69569999999999</v>
      </c>
      <c r="EK23">
        <v>10.603999999999999</v>
      </c>
      <c r="EL23">
        <v>0.91830000000000001</v>
      </c>
      <c r="EM23">
        <v>3.0121000000000002</v>
      </c>
      <c r="EN23">
        <f t="shared" si="13"/>
        <v>1.267543273877515</v>
      </c>
      <c r="EO23">
        <v>17.571000000000002</v>
      </c>
      <c r="EP23">
        <v>0.97250000000000003</v>
      </c>
      <c r="EQ23">
        <v>1.9398</v>
      </c>
      <c r="EU23" s="12">
        <f t="shared" si="14"/>
        <v>80</v>
      </c>
      <c r="EV23" s="12">
        <f t="shared" si="15"/>
        <v>1.2274147527478048</v>
      </c>
      <c r="EW23" s="12">
        <f t="shared" si="16"/>
        <v>0.94538549641328584</v>
      </c>
      <c r="EX23" s="12">
        <f t="shared" si="17"/>
        <v>1.0217855205256494</v>
      </c>
      <c r="EY23" s="12">
        <f t="shared" si="18"/>
        <v>1.3181995893956975</v>
      </c>
      <c r="EZ23" s="12">
        <f t="shared" si="19"/>
        <v>1.5601142551102385</v>
      </c>
      <c r="FA23" s="12">
        <f t="shared" si="20"/>
        <v>4.6859162724270291</v>
      </c>
      <c r="FB23" s="12">
        <f t="shared" si="21"/>
        <v>2.0811422546349179</v>
      </c>
      <c r="FC23" s="12">
        <f t="shared" si="22"/>
        <v>1.5484966171689658</v>
      </c>
      <c r="FD23" s="12">
        <f t="shared" si="23"/>
        <v>1.267543273877515</v>
      </c>
      <c r="FE23" s="12">
        <f t="shared" si="24"/>
        <v>9.1483111298651725</v>
      </c>
      <c r="FF23" s="12">
        <f t="shared" si="25"/>
        <v>8.2974109349568987</v>
      </c>
      <c r="FG23" s="12">
        <f t="shared" si="26"/>
        <v>9.1674854823477396</v>
      </c>
      <c r="FH23" s="12">
        <f t="shared" si="27"/>
        <v>11.598299562617155</v>
      </c>
      <c r="FI23" s="12">
        <f t="shared" si="57"/>
        <v>31.802093189324285</v>
      </c>
      <c r="FJ23" s="12">
        <f t="shared" si="29"/>
        <v>37.475671695081672</v>
      </c>
      <c r="FK23" s="12">
        <f t="shared" si="30"/>
        <v>17.749081803005005</v>
      </c>
      <c r="FL23" s="12">
        <f t="shared" si="31"/>
        <v>13.28499692469906</v>
      </c>
      <c r="FM23" s="12">
        <f t="shared" si="32"/>
        <v>10.635405500395393</v>
      </c>
      <c r="FN23" s="12">
        <f t="shared" si="33"/>
        <v>9.8193180219824386E-2</v>
      </c>
      <c r="FO23" s="12">
        <f t="shared" si="34"/>
        <v>7.5630839713062864E-2</v>
      </c>
      <c r="FP23" s="12">
        <f t="shared" si="35"/>
        <v>8.174284164205195E-2</v>
      </c>
      <c r="FQ23" s="12">
        <f t="shared" si="36"/>
        <v>0.1054559671516558</v>
      </c>
      <c r="FR23" s="12">
        <f t="shared" si="37"/>
        <v>0.12480914040881907</v>
      </c>
      <c r="FS23" s="12">
        <f t="shared" si="38"/>
        <v>0.37487330179416234</v>
      </c>
      <c r="FT23" s="12">
        <f t="shared" si="39"/>
        <v>0.16649138037079342</v>
      </c>
      <c r="FU23" s="12">
        <f t="shared" si="40"/>
        <v>0.12387972937351727</v>
      </c>
      <c r="FV23" s="12">
        <f t="shared" si="41"/>
        <v>0.10140346191020121</v>
      </c>
      <c r="FW23" s="12">
        <f t="shared" si="42"/>
        <v>0.73186489038921376</v>
      </c>
      <c r="FX23" s="12">
        <f t="shared" si="43"/>
        <v>0.6637928747965518</v>
      </c>
      <c r="FY23" s="12">
        <f t="shared" si="44"/>
        <v>0.73339883858781918</v>
      </c>
      <c r="FZ23" s="12">
        <f t="shared" si="45"/>
        <v>0.92786396500937252</v>
      </c>
      <c r="GA23" s="12">
        <f t="shared" si="58"/>
        <v>2.544167455145943</v>
      </c>
      <c r="GB23" s="12">
        <f t="shared" si="47"/>
        <v>2.998053735606534</v>
      </c>
      <c r="GC23" s="12">
        <f t="shared" si="48"/>
        <v>1.4199265442404008</v>
      </c>
      <c r="GD23" s="12">
        <f t="shared" si="49"/>
        <v>1.0627997539759246</v>
      </c>
      <c r="GE23" s="12">
        <f t="shared" si="50"/>
        <v>0.85083244003163161</v>
      </c>
    </row>
    <row r="24" spans="2:187" ht="31">
      <c r="B24">
        <v>9</v>
      </c>
      <c r="C24">
        <f t="shared" si="10"/>
        <v>90</v>
      </c>
      <c r="D24" s="5">
        <v>4.4409999999999998</v>
      </c>
      <c r="E24" s="5">
        <v>5.5548000000000002</v>
      </c>
      <c r="F24" s="5">
        <v>10.0677</v>
      </c>
      <c r="G24" s="5" t="s">
        <v>507</v>
      </c>
      <c r="H24" s="5" t="s">
        <v>520</v>
      </c>
      <c r="I24" s="5" t="s">
        <v>533</v>
      </c>
      <c r="J24" s="192">
        <v>9.4480000000000004</v>
      </c>
      <c r="K24" s="192">
        <v>59.32</v>
      </c>
      <c r="L24" s="192">
        <v>243.6953</v>
      </c>
      <c r="M24" s="5">
        <v>10.757999999999999</v>
      </c>
      <c r="N24" s="5">
        <v>0.79279999999999995</v>
      </c>
      <c r="O24" s="5">
        <v>2.7648000000000001</v>
      </c>
      <c r="P24" s="17">
        <f t="shared" si="51"/>
        <v>0.60224747322522953</v>
      </c>
      <c r="Q24" s="5">
        <v>18.074000000000002</v>
      </c>
      <c r="R24" s="5">
        <v>0.84770000000000001</v>
      </c>
      <c r="S24" s="5">
        <v>1.6779999999999999</v>
      </c>
      <c r="T24" s="6">
        <v>4.4349999999999996</v>
      </c>
      <c r="U24" s="6">
        <v>4.5458999999999996</v>
      </c>
      <c r="V24" s="6">
        <v>9.9280000000000008</v>
      </c>
      <c r="W24" s="6">
        <v>6.5010000000000003</v>
      </c>
      <c r="X24" s="6">
        <v>0.68130000000000002</v>
      </c>
      <c r="Y24" s="6">
        <v>2.8041</v>
      </c>
      <c r="Z24" s="193">
        <v>9.4550000000000001</v>
      </c>
      <c r="AA24" s="193">
        <v>70.452799999999996</v>
      </c>
      <c r="AB24" s="193">
        <v>287.94130000000001</v>
      </c>
      <c r="AC24" s="6">
        <v>10.760999999999999</v>
      </c>
      <c r="AD24" s="6">
        <v>0.63700000000000001</v>
      </c>
      <c r="AE24" s="6">
        <v>2.2292999999999998</v>
      </c>
      <c r="AF24" s="19">
        <f t="shared" si="52"/>
        <v>0.71409669057809377</v>
      </c>
      <c r="AG24" s="6">
        <v>18.088000000000001</v>
      </c>
      <c r="AH24" s="6">
        <v>0.63939999999999997</v>
      </c>
      <c r="AI24" s="6">
        <v>1.2495000000000001</v>
      </c>
      <c r="AJ24" s="270" t="s">
        <v>574</v>
      </c>
      <c r="AK24" s="270" t="s">
        <v>587</v>
      </c>
      <c r="AL24" s="270" t="s">
        <v>599</v>
      </c>
      <c r="AM24" s="270">
        <v>6.4909999999999997</v>
      </c>
      <c r="AN24" s="270">
        <v>0.98399999999999999</v>
      </c>
      <c r="AO24" s="270">
        <v>3.2751999999999999</v>
      </c>
      <c r="AP24" s="270">
        <v>9.4440000000000008</v>
      </c>
      <c r="AQ24" s="270">
        <v>80.168800000000005</v>
      </c>
      <c r="AR24" s="270">
        <v>325.23509999999999</v>
      </c>
      <c r="AS24" s="270">
        <v>10.747999999999999</v>
      </c>
      <c r="AT24" s="270">
        <v>0.82720000000000005</v>
      </c>
      <c r="AU24" s="270">
        <v>2.8864999999999998</v>
      </c>
      <c r="AV24" s="16">
        <f t="shared" si="53"/>
        <v>0.81171157594389853</v>
      </c>
      <c r="AW24" s="270">
        <v>18.068000000000001</v>
      </c>
      <c r="AX24" s="270">
        <v>0.86229999999999996</v>
      </c>
      <c r="AY24" s="270">
        <v>1.6792</v>
      </c>
      <c r="AZ24" s="271">
        <v>4.4109999999999996</v>
      </c>
      <c r="BA24" s="271">
        <v>5.7702999999999998</v>
      </c>
      <c r="BB24" s="271">
        <v>13.1012</v>
      </c>
      <c r="BC24" s="271">
        <v>6.4740000000000002</v>
      </c>
      <c r="BD24" s="271">
        <v>0.52470000000000006</v>
      </c>
      <c r="BE24" s="271">
        <v>1.6939</v>
      </c>
      <c r="BF24" s="271">
        <v>9.3879999999999999</v>
      </c>
      <c r="BG24" s="271">
        <v>107.5008</v>
      </c>
      <c r="BH24" s="271">
        <v>431.88720000000001</v>
      </c>
      <c r="BI24" s="271">
        <v>10.670999999999999</v>
      </c>
      <c r="BJ24" s="271">
        <v>0.51270000000000004</v>
      </c>
      <c r="BK24" s="271">
        <v>1.6742999999999999</v>
      </c>
      <c r="BL24" s="17">
        <f t="shared" si="54"/>
        <v>1.0014603231277337</v>
      </c>
      <c r="BM24" s="271">
        <v>17.751000000000001</v>
      </c>
      <c r="BN24" s="271">
        <v>0.65480000000000005</v>
      </c>
      <c r="BO24" s="271">
        <v>1.3087</v>
      </c>
      <c r="BP24" s="7" t="s">
        <v>685</v>
      </c>
      <c r="BQ24" s="7" t="s">
        <v>686</v>
      </c>
      <c r="BR24" s="7" t="s">
        <v>687</v>
      </c>
      <c r="BS24" s="7">
        <v>6.4740000000000002</v>
      </c>
      <c r="BT24" s="7">
        <v>0.82069999999999999</v>
      </c>
      <c r="BU24" s="7">
        <v>2.3687</v>
      </c>
      <c r="BV24" s="200">
        <v>9.4710000000000001</v>
      </c>
      <c r="BW24" s="200">
        <v>279.44540000000001</v>
      </c>
      <c r="BX24" s="200">
        <v>976.86339999999996</v>
      </c>
      <c r="BY24" s="7">
        <v>10.678000000000001</v>
      </c>
      <c r="BZ24" s="7">
        <v>0.95550000000000002</v>
      </c>
      <c r="CA24" s="7">
        <v>2.0973999999999999</v>
      </c>
      <c r="CB24" s="18">
        <f t="shared" si="55"/>
        <v>2.5362688565562794</v>
      </c>
      <c r="CC24" s="7">
        <v>17.760999999999999</v>
      </c>
      <c r="CD24" s="7">
        <v>0.43659999999999999</v>
      </c>
      <c r="CE24" s="7">
        <v>0.86219999999999997</v>
      </c>
      <c r="CF24" s="202">
        <v>4.3479999999999999</v>
      </c>
      <c r="CG24" s="203">
        <v>0.71450000000000002</v>
      </c>
      <c r="CH24" s="203">
        <v>1.1662999999999999</v>
      </c>
      <c r="CI24" s="203">
        <v>6.5110000000000001</v>
      </c>
      <c r="CJ24" s="203">
        <v>1.2932999999999999</v>
      </c>
      <c r="CK24" s="203">
        <v>2.8224</v>
      </c>
      <c r="CL24" s="203">
        <v>9.4480000000000004</v>
      </c>
      <c r="CM24" s="203">
        <v>310.02390000000003</v>
      </c>
      <c r="CN24" s="203">
        <v>1033.0847000000001</v>
      </c>
      <c r="CO24" s="203">
        <v>10.644</v>
      </c>
      <c r="CP24" s="203">
        <v>1.2745</v>
      </c>
      <c r="CQ24" s="203">
        <v>2.5720999999999998</v>
      </c>
      <c r="CR24" s="18">
        <f t="shared" si="56"/>
        <v>2.8092180665893065</v>
      </c>
      <c r="CS24" s="203">
        <v>17.710999999999999</v>
      </c>
      <c r="CT24" s="203">
        <v>0.70589999999999997</v>
      </c>
      <c r="CU24" s="203">
        <v>1.4238</v>
      </c>
      <c r="CV24" s="203">
        <v>4.375</v>
      </c>
      <c r="CW24" s="203">
        <v>9.5139999999999993</v>
      </c>
      <c r="CX24" s="203">
        <v>27.085799999999999</v>
      </c>
      <c r="CY24" s="203" t="s">
        <v>766</v>
      </c>
      <c r="CZ24" s="203" t="s">
        <v>767</v>
      </c>
      <c r="DA24" s="203" t="s">
        <v>768</v>
      </c>
      <c r="DB24">
        <v>9.3580000000000005</v>
      </c>
      <c r="DC24">
        <v>162.8921</v>
      </c>
      <c r="DD24">
        <v>610.48339999999996</v>
      </c>
      <c r="DE24">
        <v>10.615</v>
      </c>
      <c r="DF24">
        <v>0.54290000000000005</v>
      </c>
      <c r="DG24">
        <v>1.6983999999999999</v>
      </c>
      <c r="DH24">
        <f t="shared" si="11"/>
        <v>1.4686741059660837</v>
      </c>
      <c r="DI24">
        <v>17.585000000000001</v>
      </c>
      <c r="DJ24">
        <v>0.9073</v>
      </c>
      <c r="DK24">
        <v>1.8409</v>
      </c>
      <c r="DL24">
        <v>4.375</v>
      </c>
      <c r="DM24">
        <v>9.3299000000000003</v>
      </c>
      <c r="DN24">
        <v>28.473600000000001</v>
      </c>
      <c r="DO24" t="s">
        <v>812</v>
      </c>
      <c r="DP24" t="s">
        <v>813</v>
      </c>
      <c r="DQ24" t="s">
        <v>814</v>
      </c>
      <c r="DR24">
        <v>9.3450000000000006</v>
      </c>
      <c r="DS24">
        <v>121.901</v>
      </c>
      <c r="DT24">
        <v>470.67430000000002</v>
      </c>
      <c r="DU24">
        <v>10.615</v>
      </c>
      <c r="DV24">
        <v>0.49390000000000001</v>
      </c>
      <c r="DW24">
        <v>1.6894</v>
      </c>
      <c r="DX24">
        <f t="shared" si="12"/>
        <v>1.1085027677708461</v>
      </c>
      <c r="DY24">
        <v>17.585000000000001</v>
      </c>
      <c r="DZ24">
        <v>0.67620000000000002</v>
      </c>
      <c r="EA24">
        <v>1.3694999999999999</v>
      </c>
      <c r="EB24">
        <v>4.3680000000000003</v>
      </c>
      <c r="EC24">
        <v>8.6984999999999992</v>
      </c>
      <c r="ED24">
        <v>27.293900000000001</v>
      </c>
      <c r="EE24" t="s">
        <v>854</v>
      </c>
      <c r="EF24" t="s">
        <v>855</v>
      </c>
      <c r="EG24" t="s">
        <v>856</v>
      </c>
      <c r="EH24">
        <v>9.3249999999999993</v>
      </c>
      <c r="EI24">
        <v>93.566299999999998</v>
      </c>
      <c r="EJ24">
        <v>367.78899999999999</v>
      </c>
      <c r="EK24">
        <v>10.601000000000001</v>
      </c>
      <c r="EL24">
        <v>1.0714999999999999</v>
      </c>
      <c r="EM24">
        <v>3.6694</v>
      </c>
      <c r="EN24">
        <f t="shared" si="13"/>
        <v>0.85953782620156394</v>
      </c>
      <c r="EO24">
        <v>17.565000000000001</v>
      </c>
      <c r="EP24">
        <v>0.74419999999999997</v>
      </c>
      <c r="EQ24">
        <v>1.5069999999999999</v>
      </c>
      <c r="EU24" s="12">
        <f t="shared" si="14"/>
        <v>90</v>
      </c>
      <c r="EV24" s="12">
        <f t="shared" si="15"/>
        <v>0.60224747322522953</v>
      </c>
      <c r="EW24" s="12">
        <f t="shared" si="16"/>
        <v>0.71409669057809377</v>
      </c>
      <c r="EX24" s="12">
        <f t="shared" si="17"/>
        <v>0.81171157594389853</v>
      </c>
      <c r="EY24" s="12">
        <f t="shared" si="18"/>
        <v>1.0014603231277337</v>
      </c>
      <c r="EZ24" s="12">
        <f t="shared" si="19"/>
        <v>2.5362688565562794</v>
      </c>
      <c r="FA24" s="12">
        <f t="shared" si="20"/>
        <v>2.8092180665893065</v>
      </c>
      <c r="FB24" s="12">
        <f t="shared" si="21"/>
        <v>1.4686741059660837</v>
      </c>
      <c r="FC24" s="12">
        <f t="shared" si="22"/>
        <v>1.1085027677708461</v>
      </c>
      <c r="FD24" s="12">
        <f t="shared" si="23"/>
        <v>0.85953782620156394</v>
      </c>
      <c r="FE24" s="12">
        <f t="shared" si="24"/>
        <v>4.3259941326581872</v>
      </c>
      <c r="FF24" s="12">
        <f t="shared" si="25"/>
        <v>6.2959591697309447</v>
      </c>
      <c r="FG24" s="12">
        <f t="shared" si="26"/>
        <v>7.677029959611791</v>
      </c>
      <c r="FH24" s="12">
        <f t="shared" si="27"/>
        <v>8.8434928144247085</v>
      </c>
      <c r="FI24" s="12">
        <f t="shared" si="57"/>
        <v>37.59750959564402</v>
      </c>
      <c r="FJ24" s="12">
        <f t="shared" si="29"/>
        <v>22.114424707667588</v>
      </c>
      <c r="FK24" s="12">
        <f t="shared" si="30"/>
        <v>12.004731570160793</v>
      </c>
      <c r="FL24" s="12">
        <f t="shared" si="31"/>
        <v>9.5524646340391879</v>
      </c>
      <c r="FM24" s="12">
        <f t="shared" si="32"/>
        <v>7.1641947104823824</v>
      </c>
      <c r="FN24" s="12">
        <f t="shared" si="33"/>
        <v>4.8179797858018361E-2</v>
      </c>
      <c r="FO24" s="12">
        <f t="shared" si="34"/>
        <v>5.71277352462475E-2</v>
      </c>
      <c r="FP24" s="12">
        <f t="shared" si="35"/>
        <v>6.493692607551188E-2</v>
      </c>
      <c r="FQ24" s="12">
        <f t="shared" si="36"/>
        <v>8.0116825850218704E-2</v>
      </c>
      <c r="FR24" s="12">
        <f t="shared" si="37"/>
        <v>0.20290150852450237</v>
      </c>
      <c r="FS24" s="12">
        <f t="shared" si="38"/>
        <v>0.22473744532714451</v>
      </c>
      <c r="FT24" s="12">
        <f t="shared" si="39"/>
        <v>0.11749392847728671</v>
      </c>
      <c r="FU24" s="12">
        <f t="shared" si="40"/>
        <v>8.8680221421667677E-2</v>
      </c>
      <c r="FV24" s="12">
        <f t="shared" si="41"/>
        <v>6.8763026096125113E-2</v>
      </c>
      <c r="FW24" s="12">
        <f t="shared" si="42"/>
        <v>0.34607953061265495</v>
      </c>
      <c r="FX24" s="12">
        <f t="shared" si="43"/>
        <v>0.50367673357847553</v>
      </c>
      <c r="FY24" s="12">
        <f t="shared" si="44"/>
        <v>0.61416239676894335</v>
      </c>
      <c r="FZ24" s="12">
        <f t="shared" si="45"/>
        <v>0.70747942515397666</v>
      </c>
      <c r="GA24" s="12">
        <f t="shared" si="58"/>
        <v>3.0078007676515215</v>
      </c>
      <c r="GB24" s="12">
        <f t="shared" si="47"/>
        <v>1.769153976613407</v>
      </c>
      <c r="GC24" s="12">
        <f t="shared" si="48"/>
        <v>0.96037852561286363</v>
      </c>
      <c r="GD24" s="12">
        <f t="shared" si="49"/>
        <v>0.76419717072313487</v>
      </c>
      <c r="GE24" s="12">
        <f t="shared" si="50"/>
        <v>0.57313557683859051</v>
      </c>
    </row>
    <row r="25" spans="2:187" ht="31">
      <c r="B25">
        <v>10</v>
      </c>
      <c r="C25">
        <f t="shared" si="10"/>
        <v>100</v>
      </c>
      <c r="D25" s="5">
        <v>4.4379999999999997</v>
      </c>
      <c r="E25" s="5">
        <v>5.4429999999999996</v>
      </c>
      <c r="F25" s="5">
        <v>9.9503000000000004</v>
      </c>
      <c r="G25" s="5" t="s">
        <v>508</v>
      </c>
      <c r="H25" s="5" t="s">
        <v>521</v>
      </c>
      <c r="I25" s="5" t="s">
        <v>534</v>
      </c>
      <c r="J25" s="192">
        <v>9.4350000000000005</v>
      </c>
      <c r="K25" s="192">
        <v>25.548500000000001</v>
      </c>
      <c r="L25" s="192">
        <v>107.2071</v>
      </c>
      <c r="M25" s="5">
        <v>10.757999999999999</v>
      </c>
      <c r="N25" s="5">
        <v>0.77100000000000002</v>
      </c>
      <c r="O25" s="5">
        <v>2.625</v>
      </c>
      <c r="P25" s="17">
        <f t="shared" si="51"/>
        <v>0.26295135330640784</v>
      </c>
      <c r="Q25" s="5">
        <v>18.068000000000001</v>
      </c>
      <c r="R25" s="5">
        <v>0.70169999999999999</v>
      </c>
      <c r="S25" s="5">
        <v>1.3818999999999999</v>
      </c>
      <c r="T25" s="6">
        <v>4.431</v>
      </c>
      <c r="U25" s="6">
        <v>5.0323000000000002</v>
      </c>
      <c r="V25" s="6">
        <v>10.210699999999999</v>
      </c>
      <c r="W25" s="6">
        <v>6.5010000000000003</v>
      </c>
      <c r="X25" s="6">
        <v>0.49459999999999998</v>
      </c>
      <c r="Y25" s="6">
        <v>1.9461999999999999</v>
      </c>
      <c r="Z25" s="193">
        <v>9.4480000000000004</v>
      </c>
      <c r="AA25" s="193">
        <v>53.631399999999999</v>
      </c>
      <c r="AB25" s="193">
        <v>221.5506</v>
      </c>
      <c r="AC25" s="6">
        <v>10.760999999999999</v>
      </c>
      <c r="AD25" s="6">
        <v>0.55759999999999998</v>
      </c>
      <c r="AE25" s="6">
        <v>1.9468000000000001</v>
      </c>
      <c r="AF25" s="19">
        <f t="shared" si="52"/>
        <v>0.54509514336809528</v>
      </c>
      <c r="AG25" s="6">
        <v>18.084</v>
      </c>
      <c r="AH25" s="6">
        <v>0.54410000000000003</v>
      </c>
      <c r="AI25" s="6">
        <v>1.0736000000000001</v>
      </c>
      <c r="AJ25" s="270" t="s">
        <v>574</v>
      </c>
      <c r="AK25" s="270" t="s">
        <v>588</v>
      </c>
      <c r="AL25" s="270" t="s">
        <v>600</v>
      </c>
      <c r="AM25" s="270">
        <v>6.4980000000000002</v>
      </c>
      <c r="AN25" s="270">
        <v>0.46179999999999999</v>
      </c>
      <c r="AO25" s="270">
        <v>1.7132000000000001</v>
      </c>
      <c r="AP25" s="270">
        <v>9.4480000000000004</v>
      </c>
      <c r="AQ25" s="270">
        <v>71.408100000000005</v>
      </c>
      <c r="AR25" s="270">
        <v>291.4212</v>
      </c>
      <c r="AS25" s="270">
        <v>10.754</v>
      </c>
      <c r="AT25" s="270">
        <v>0.64139999999999997</v>
      </c>
      <c r="AU25" s="270">
        <v>2.2433999999999998</v>
      </c>
      <c r="AV25" s="16">
        <f t="shared" si="53"/>
        <v>0.72369441597845963</v>
      </c>
      <c r="AW25" s="270">
        <v>18.071000000000002</v>
      </c>
      <c r="AX25" s="270">
        <v>0.57120000000000004</v>
      </c>
      <c r="AY25" s="270">
        <v>1.1234999999999999</v>
      </c>
      <c r="AZ25" s="271">
        <v>4.4109999999999996</v>
      </c>
      <c r="BA25" s="271">
        <v>5.4309000000000003</v>
      </c>
      <c r="BB25" s="271">
        <v>13.327</v>
      </c>
      <c r="BC25" s="271">
        <v>6.4710000000000001</v>
      </c>
      <c r="BD25" s="271">
        <v>0.48209999999999997</v>
      </c>
      <c r="BE25" s="271">
        <v>1.5379</v>
      </c>
      <c r="BF25" s="271">
        <v>9.3780000000000001</v>
      </c>
      <c r="BG25" s="271">
        <v>81.260900000000007</v>
      </c>
      <c r="BH25" s="271">
        <v>331.39600000000002</v>
      </c>
      <c r="BI25" s="271">
        <v>10.667999999999999</v>
      </c>
      <c r="BJ25" s="271">
        <v>0.46810000000000002</v>
      </c>
      <c r="BK25" s="271">
        <v>1.6474</v>
      </c>
      <c r="BL25" s="17">
        <f t="shared" si="54"/>
        <v>0.76723823975720795</v>
      </c>
      <c r="BM25" s="271">
        <v>17.741</v>
      </c>
      <c r="BN25" s="271">
        <v>0.60150000000000003</v>
      </c>
      <c r="BO25" s="271">
        <v>1.2121999999999999</v>
      </c>
      <c r="BS25" s="7">
        <v>6.5279999999999996</v>
      </c>
      <c r="BT25" s="7">
        <v>0.60089999999999999</v>
      </c>
      <c r="BU25" s="7">
        <v>1.3939999999999999</v>
      </c>
      <c r="BV25" s="200">
        <v>9.5380000000000003</v>
      </c>
      <c r="BW25" s="200">
        <v>423.72669999999999</v>
      </c>
      <c r="BX25" s="200">
        <v>1285.2954999999999</v>
      </c>
      <c r="BY25" s="7">
        <v>10.678000000000001</v>
      </c>
      <c r="BZ25" s="7">
        <v>1.0719000000000001</v>
      </c>
      <c r="CA25" s="7">
        <v>1.873</v>
      </c>
      <c r="CB25" s="18">
        <f t="shared" si="55"/>
        <v>3.8241497813085776</v>
      </c>
      <c r="CC25" s="7" t="s">
        <v>688</v>
      </c>
      <c r="CD25" s="7" t="s">
        <v>689</v>
      </c>
      <c r="CE25" s="7" t="s">
        <v>690</v>
      </c>
      <c r="CF25" s="202">
        <v>4.351</v>
      </c>
      <c r="CG25" s="203">
        <v>0.72009999999999996</v>
      </c>
      <c r="CH25" s="203">
        <v>1.5469999999999999</v>
      </c>
      <c r="CI25" s="203">
        <v>6.508</v>
      </c>
      <c r="CJ25" s="203">
        <v>0.84509999999999996</v>
      </c>
      <c r="CK25" s="203">
        <v>2.3119999999999998</v>
      </c>
      <c r="CL25" s="203">
        <v>9.3940000000000001</v>
      </c>
      <c r="CM25" s="203">
        <v>176.08629999999999</v>
      </c>
      <c r="CN25" s="203">
        <v>651.49279999999999</v>
      </c>
      <c r="CO25" s="203">
        <v>10.651</v>
      </c>
      <c r="CP25" s="203">
        <v>0.68779999999999997</v>
      </c>
      <c r="CQ25" s="203">
        <v>2.1368999999999998</v>
      </c>
      <c r="CR25" s="18">
        <f t="shared" si="56"/>
        <v>1.6136668749442113</v>
      </c>
      <c r="CS25" s="203">
        <v>17.713999999999999</v>
      </c>
      <c r="CT25" s="203">
        <v>0.71379999999999999</v>
      </c>
      <c r="CU25" s="203">
        <v>1.4341999999999999</v>
      </c>
      <c r="CV25" s="203">
        <v>4.3810000000000002</v>
      </c>
      <c r="CW25" s="203">
        <v>10.141999999999999</v>
      </c>
      <c r="CX25" s="203">
        <v>30.04</v>
      </c>
      <c r="CY25" s="203" t="s">
        <v>769</v>
      </c>
      <c r="CZ25" s="203" t="s">
        <v>770</v>
      </c>
      <c r="DA25" s="203" t="s">
        <v>771</v>
      </c>
      <c r="DB25">
        <v>9.3409999999999993</v>
      </c>
      <c r="DC25">
        <v>101.8442</v>
      </c>
      <c r="DD25">
        <v>396.48340000000002</v>
      </c>
      <c r="DE25">
        <v>10.621</v>
      </c>
      <c r="DF25">
        <v>0.50470000000000004</v>
      </c>
      <c r="DG25">
        <v>1.6488</v>
      </c>
      <c r="DH25">
        <f t="shared" si="11"/>
        <v>0.93227220806607503</v>
      </c>
      <c r="DI25">
        <v>17.591000000000001</v>
      </c>
      <c r="DJ25">
        <v>0.83450000000000002</v>
      </c>
      <c r="DK25">
        <v>1.6898</v>
      </c>
      <c r="DL25">
        <v>4.3739999999999997</v>
      </c>
      <c r="DM25">
        <v>9.2337000000000007</v>
      </c>
      <c r="DN25">
        <v>28.457799999999999</v>
      </c>
      <c r="DO25" t="s">
        <v>772</v>
      </c>
      <c r="DP25" t="s">
        <v>815</v>
      </c>
      <c r="DQ25" t="s">
        <v>816</v>
      </c>
      <c r="DR25">
        <v>9.3309999999999995</v>
      </c>
      <c r="DS25">
        <v>87.016800000000003</v>
      </c>
      <c r="DT25">
        <v>343.49090000000001</v>
      </c>
      <c r="DU25">
        <v>10.614000000000001</v>
      </c>
      <c r="DV25">
        <v>0.64459999999999995</v>
      </c>
      <c r="DW25">
        <v>2.2107000000000001</v>
      </c>
      <c r="DX25">
        <f t="shared" si="12"/>
        <v>0.80199015903699145</v>
      </c>
      <c r="DY25">
        <v>17.581</v>
      </c>
      <c r="DZ25">
        <v>0.65710000000000002</v>
      </c>
      <c r="EA25">
        <v>1.3275999999999999</v>
      </c>
      <c r="EB25">
        <v>4.3739999999999997</v>
      </c>
      <c r="EC25">
        <v>8.6411999999999995</v>
      </c>
      <c r="ED25">
        <v>27.493400000000001</v>
      </c>
      <c r="EE25" t="s">
        <v>857</v>
      </c>
      <c r="EF25" t="s">
        <v>858</v>
      </c>
      <c r="EG25" t="s">
        <v>859</v>
      </c>
      <c r="EH25">
        <v>9.3179999999999996</v>
      </c>
      <c r="EI25">
        <v>60.989699999999999</v>
      </c>
      <c r="EJ25">
        <v>244.9684</v>
      </c>
      <c r="EK25">
        <v>10.603999999999999</v>
      </c>
      <c r="EL25">
        <v>0.67100000000000004</v>
      </c>
      <c r="EM25">
        <v>2.3031999999999999</v>
      </c>
      <c r="EN25">
        <f t="shared" si="13"/>
        <v>0.57330111589491251</v>
      </c>
      <c r="EO25">
        <v>17.568000000000001</v>
      </c>
      <c r="EP25">
        <v>0.78049999999999997</v>
      </c>
      <c r="EQ25">
        <v>1.5854999999999999</v>
      </c>
      <c r="EU25" s="12">
        <f t="shared" si="14"/>
        <v>100</v>
      </c>
      <c r="EV25" s="12">
        <f t="shared" si="15"/>
        <v>0.26295135330640784</v>
      </c>
      <c r="EW25" s="12">
        <f t="shared" si="16"/>
        <v>0.54509514336809528</v>
      </c>
      <c r="EX25" s="12">
        <f t="shared" si="17"/>
        <v>0.72369441597845963</v>
      </c>
      <c r="EY25" s="12">
        <f t="shared" si="18"/>
        <v>0.76723823975720795</v>
      </c>
      <c r="EZ25" s="12">
        <f t="shared" si="19"/>
        <v>3.8241497813085776</v>
      </c>
      <c r="FA25" s="12">
        <f t="shared" si="20"/>
        <v>1.6136668749442113</v>
      </c>
      <c r="FB25" s="12">
        <f t="shared" si="21"/>
        <v>0.93227220806607503</v>
      </c>
      <c r="FC25" s="12">
        <f t="shared" si="22"/>
        <v>0.80199015903699145</v>
      </c>
      <c r="FD25" s="12">
        <f t="shared" si="23"/>
        <v>0.57330111589491251</v>
      </c>
      <c r="FE25" s="12">
        <f t="shared" si="24"/>
        <v>2.2624329374886969</v>
      </c>
      <c r="FF25" s="12">
        <f t="shared" si="25"/>
        <v>4.835186971286193</v>
      </c>
      <c r="FG25" s="12">
        <f t="shared" si="26"/>
        <v>6.9547642011774871</v>
      </c>
      <c r="FH25" s="12">
        <f t="shared" si="27"/>
        <v>6.5661117557797022</v>
      </c>
      <c r="FI25" s="12">
        <f t="shared" si="57"/>
        <v>32.280393644559489</v>
      </c>
      <c r="FJ25" s="12">
        <f t="shared" si="29"/>
        <v>12.428612871552263</v>
      </c>
      <c r="FK25" s="12">
        <f t="shared" si="30"/>
        <v>7.2382215973991739</v>
      </c>
      <c r="FL25" s="12">
        <f t="shared" si="31"/>
        <v>7.1324180651963793</v>
      </c>
      <c r="FM25" s="12">
        <f t="shared" si="32"/>
        <v>4.7335427466830682</v>
      </c>
      <c r="FN25" s="12">
        <f t="shared" si="33"/>
        <v>2.1036108264512628E-2</v>
      </c>
      <c r="FO25" s="12">
        <f t="shared" si="34"/>
        <v>4.3607611469447617E-2</v>
      </c>
      <c r="FP25" s="12">
        <f t="shared" si="35"/>
        <v>5.7895553278276772E-2</v>
      </c>
      <c r="FQ25" s="12">
        <f t="shared" si="36"/>
        <v>6.137905918057663E-2</v>
      </c>
      <c r="FR25" s="12">
        <f t="shared" si="37"/>
        <v>0.30593198250468623</v>
      </c>
      <c r="FS25" s="12">
        <f t="shared" si="38"/>
        <v>0.1290933499955369</v>
      </c>
      <c r="FT25" s="12">
        <f t="shared" si="39"/>
        <v>7.4581776645285994E-2</v>
      </c>
      <c r="FU25" s="12">
        <f t="shared" si="40"/>
        <v>6.4159212722959311E-2</v>
      </c>
      <c r="FV25" s="12">
        <f t="shared" si="41"/>
        <v>4.5864089271593002E-2</v>
      </c>
      <c r="FW25" s="12">
        <f t="shared" si="42"/>
        <v>0.18099463499909579</v>
      </c>
      <c r="FX25" s="12">
        <f t="shared" si="43"/>
        <v>0.38681495770289542</v>
      </c>
      <c r="FY25" s="12">
        <f t="shared" si="44"/>
        <v>0.55638113609419892</v>
      </c>
      <c r="FZ25" s="12">
        <f t="shared" si="45"/>
        <v>0.52528894046237617</v>
      </c>
      <c r="GA25" s="12">
        <f t="shared" si="58"/>
        <v>2.5824314915647593</v>
      </c>
      <c r="GB25" s="12">
        <f t="shared" si="47"/>
        <v>0.99428902972418109</v>
      </c>
      <c r="GC25" s="12">
        <f t="shared" si="48"/>
        <v>0.57905772779193387</v>
      </c>
      <c r="GD25" s="12">
        <f t="shared" si="49"/>
        <v>0.57059344521571032</v>
      </c>
      <c r="GE25" s="12">
        <f t="shared" si="50"/>
        <v>0.37868341973464548</v>
      </c>
    </row>
    <row r="26" spans="2:187" ht="31">
      <c r="B26">
        <v>11</v>
      </c>
      <c r="C26">
        <f t="shared" si="10"/>
        <v>110</v>
      </c>
      <c r="D26" s="5">
        <v>4.4409999999999998</v>
      </c>
      <c r="E26" s="5">
        <v>5.0857000000000001</v>
      </c>
      <c r="F26" s="5">
        <v>9.2805999999999997</v>
      </c>
      <c r="G26" s="5" t="s">
        <v>509</v>
      </c>
      <c r="H26" s="5" t="s">
        <v>522</v>
      </c>
      <c r="I26" s="5" t="s">
        <v>535</v>
      </c>
      <c r="J26" s="192">
        <v>9.4380000000000006</v>
      </c>
      <c r="K26" s="192">
        <v>18.241099999999999</v>
      </c>
      <c r="L26" s="192">
        <v>76.892700000000005</v>
      </c>
      <c r="M26" s="5">
        <v>10.760999999999999</v>
      </c>
      <c r="N26" s="5">
        <v>0.77739999999999998</v>
      </c>
      <c r="O26" s="5">
        <v>2.6587000000000001</v>
      </c>
      <c r="P26" s="17">
        <f t="shared" si="51"/>
        <v>0.18953523419133159</v>
      </c>
      <c r="Q26" s="5">
        <v>18.077999999999999</v>
      </c>
      <c r="R26" s="5">
        <v>0.71189999999999998</v>
      </c>
      <c r="S26" s="5">
        <v>1.4060999999999999</v>
      </c>
      <c r="T26" s="6">
        <v>4.431</v>
      </c>
      <c r="U26" s="6">
        <v>5.0224000000000002</v>
      </c>
      <c r="V26" s="6">
        <v>10.3582</v>
      </c>
      <c r="W26" s="6">
        <v>6.5049999999999999</v>
      </c>
      <c r="X26" s="6">
        <v>0.45340000000000003</v>
      </c>
      <c r="Y26" s="6">
        <v>1.7613000000000001</v>
      </c>
      <c r="Z26" s="193">
        <v>9.4450000000000003</v>
      </c>
      <c r="AA26" s="193">
        <v>41.3735</v>
      </c>
      <c r="AB26" s="193">
        <v>172.25649999999999</v>
      </c>
      <c r="AC26" s="6">
        <v>10.760999999999999</v>
      </c>
      <c r="AD26" s="6">
        <v>0.58420000000000005</v>
      </c>
      <c r="AE26" s="6">
        <v>2.0367000000000002</v>
      </c>
      <c r="AF26" s="19">
        <f t="shared" si="52"/>
        <v>0.42194225088914339</v>
      </c>
      <c r="AG26" s="6">
        <v>18.085000000000001</v>
      </c>
      <c r="AH26" s="6">
        <v>0.496</v>
      </c>
      <c r="AI26" s="6">
        <v>0.98140000000000005</v>
      </c>
      <c r="AJ26" s="270" t="s">
        <v>575</v>
      </c>
      <c r="AK26" s="270" t="s">
        <v>589</v>
      </c>
      <c r="AL26" s="270" t="s">
        <v>601</v>
      </c>
      <c r="AM26" s="270">
        <v>6.4939999999999998</v>
      </c>
      <c r="AN26" s="270">
        <v>0.96250000000000002</v>
      </c>
      <c r="AO26" s="270">
        <v>3.1877</v>
      </c>
      <c r="AP26" s="270">
        <v>9.4440000000000008</v>
      </c>
      <c r="AQ26" s="270">
        <v>65.790800000000004</v>
      </c>
      <c r="AR26" s="270">
        <v>269.43299999999999</v>
      </c>
      <c r="AS26" s="270">
        <v>10.754</v>
      </c>
      <c r="AT26" s="270">
        <v>0.86099999999999999</v>
      </c>
      <c r="AU26" s="270">
        <v>3.0082</v>
      </c>
      <c r="AV26" s="16">
        <f t="shared" si="53"/>
        <v>0.66725842425703774</v>
      </c>
      <c r="AW26" s="270">
        <v>18.077999999999999</v>
      </c>
      <c r="AX26" s="270">
        <v>0.66190000000000004</v>
      </c>
      <c r="AY26" s="270">
        <v>1.3058000000000001</v>
      </c>
      <c r="AZ26" s="271">
        <v>4.4109999999999996</v>
      </c>
      <c r="BA26" s="271">
        <v>5.9646999999999997</v>
      </c>
      <c r="BB26" s="271">
        <v>13.7155</v>
      </c>
      <c r="BC26" s="271">
        <v>6.468</v>
      </c>
      <c r="BD26" s="271">
        <v>0.47220000000000001</v>
      </c>
      <c r="BE26" s="271">
        <v>1.5324</v>
      </c>
      <c r="BF26" s="271">
        <v>9.3710000000000004</v>
      </c>
      <c r="BG26" s="271">
        <v>56.473799999999997</v>
      </c>
      <c r="BH26" s="271">
        <v>233.76079999999999</v>
      </c>
      <c r="BI26" s="271">
        <v>10.670999999999999</v>
      </c>
      <c r="BJ26" s="271">
        <v>0.48709999999999998</v>
      </c>
      <c r="BK26" s="271">
        <v>1.7101999999999999</v>
      </c>
      <c r="BL26" s="17">
        <f t="shared" si="54"/>
        <v>0.54598411139873249</v>
      </c>
      <c r="BM26" s="271">
        <v>17.741</v>
      </c>
      <c r="BN26" s="271">
        <v>0.6038</v>
      </c>
      <c r="BO26" s="271">
        <v>1.2118</v>
      </c>
      <c r="BP26" s="7">
        <v>4.3810000000000002</v>
      </c>
      <c r="BQ26" s="7">
        <v>0.10730000000000001</v>
      </c>
      <c r="BR26" s="7">
        <v>0.20480000000000001</v>
      </c>
      <c r="BS26" s="7">
        <v>6.5279999999999996</v>
      </c>
      <c r="BT26" s="7">
        <v>0.62709999999999999</v>
      </c>
      <c r="BU26" s="7">
        <v>1.4856</v>
      </c>
      <c r="BV26" s="200">
        <v>9.5280000000000005</v>
      </c>
      <c r="BW26" s="200">
        <v>409.29750000000001</v>
      </c>
      <c r="BX26" s="200">
        <v>1259.3554999999999</v>
      </c>
      <c r="BY26" s="7">
        <v>10.678000000000001</v>
      </c>
      <c r="BZ26" s="7">
        <v>1.1674</v>
      </c>
      <c r="CA26" s="7">
        <v>2.2404999999999999</v>
      </c>
      <c r="CB26" s="18">
        <f t="shared" si="55"/>
        <v>3.6953521378202265</v>
      </c>
      <c r="CC26" s="7">
        <v>17.757999999999999</v>
      </c>
      <c r="CD26" s="7">
        <v>0.45190000000000002</v>
      </c>
      <c r="CE26" s="7">
        <v>0.91339999999999999</v>
      </c>
      <c r="CF26" s="202">
        <v>4.3550000000000004</v>
      </c>
      <c r="CG26" s="203">
        <v>0.83030000000000004</v>
      </c>
      <c r="CH26" s="203">
        <v>1.8673</v>
      </c>
      <c r="CI26" s="203">
        <v>6.5010000000000003</v>
      </c>
      <c r="CJ26" s="203">
        <v>0.82830000000000004</v>
      </c>
      <c r="CK26" s="203">
        <v>2.3549000000000002</v>
      </c>
      <c r="CL26" s="203">
        <v>9.3650000000000002</v>
      </c>
      <c r="CM26" s="203">
        <v>93.003600000000006</v>
      </c>
      <c r="CN26" s="203">
        <v>362.72859999999997</v>
      </c>
      <c r="CO26" s="203">
        <v>10.648</v>
      </c>
      <c r="CP26" s="203">
        <v>0.66180000000000005</v>
      </c>
      <c r="CQ26" s="203">
        <v>2.1722000000000001</v>
      </c>
      <c r="CR26" s="18">
        <f t="shared" si="56"/>
        <v>0.87205569936624128</v>
      </c>
      <c r="CS26" s="203">
        <v>17.704999999999998</v>
      </c>
      <c r="CT26" s="203">
        <v>0.74680000000000002</v>
      </c>
      <c r="CU26" s="203">
        <v>1.5073000000000001</v>
      </c>
      <c r="CV26" s="203">
        <v>4.3810000000000002</v>
      </c>
      <c r="CW26" s="203">
        <v>10.4183</v>
      </c>
      <c r="CX26" s="203">
        <v>31.922899999999998</v>
      </c>
      <c r="CY26" s="203" t="s">
        <v>772</v>
      </c>
      <c r="CZ26" s="203" t="s">
        <v>773</v>
      </c>
      <c r="DA26" s="203" t="s">
        <v>774</v>
      </c>
      <c r="DB26">
        <v>9.3239999999999998</v>
      </c>
      <c r="DC26">
        <v>54.396799999999999</v>
      </c>
      <c r="DD26">
        <v>218.55</v>
      </c>
      <c r="DE26">
        <v>10.618</v>
      </c>
      <c r="DF26">
        <v>0.5776</v>
      </c>
      <c r="DG26">
        <v>1.9819</v>
      </c>
      <c r="DH26">
        <f t="shared" si="11"/>
        <v>0.51537211141375971</v>
      </c>
      <c r="DI26">
        <v>17.581</v>
      </c>
      <c r="DJ26">
        <v>0.86680000000000001</v>
      </c>
      <c r="DK26">
        <v>1.7579</v>
      </c>
      <c r="DL26">
        <v>4.3739999999999997</v>
      </c>
      <c r="DM26">
        <v>8.8404000000000007</v>
      </c>
      <c r="DN26">
        <v>27.545200000000001</v>
      </c>
      <c r="DO26" t="s">
        <v>817</v>
      </c>
      <c r="DP26" t="s">
        <v>818</v>
      </c>
      <c r="DQ26" t="s">
        <v>819</v>
      </c>
      <c r="DR26">
        <v>9.3239999999999998</v>
      </c>
      <c r="DS26">
        <v>66.815899999999999</v>
      </c>
      <c r="DT26">
        <v>267.47800000000001</v>
      </c>
      <c r="DU26">
        <v>10.611000000000001</v>
      </c>
      <c r="DV26">
        <v>1.0664</v>
      </c>
      <c r="DW26">
        <v>3.6657999999999999</v>
      </c>
      <c r="DX26">
        <f t="shared" si="12"/>
        <v>0.62449345400228451</v>
      </c>
      <c r="DY26">
        <v>17.581</v>
      </c>
      <c r="DZ26">
        <v>0.65100000000000002</v>
      </c>
      <c r="EA26">
        <v>1.3157000000000001</v>
      </c>
      <c r="EB26">
        <v>4.375</v>
      </c>
      <c r="EC26">
        <v>8.6176999999999992</v>
      </c>
      <c r="ED26">
        <v>27.131599999999999</v>
      </c>
      <c r="EE26" t="s">
        <v>860</v>
      </c>
      <c r="EF26" t="s">
        <v>861</v>
      </c>
      <c r="EG26" t="s">
        <v>862</v>
      </c>
      <c r="EH26">
        <v>9.3109999999999999</v>
      </c>
      <c r="EI26">
        <v>38.239800000000002</v>
      </c>
      <c r="EJ26">
        <v>156.32830000000001</v>
      </c>
      <c r="EK26">
        <v>10.605</v>
      </c>
      <c r="EL26">
        <v>0.63080000000000003</v>
      </c>
      <c r="EM26">
        <v>2.1684000000000001</v>
      </c>
      <c r="EN26">
        <f t="shared" si="13"/>
        <v>0.37340743344170108</v>
      </c>
      <c r="EO26">
        <v>17.565000000000001</v>
      </c>
      <c r="EP26">
        <v>0.77180000000000004</v>
      </c>
      <c r="EQ26">
        <v>1.5618000000000001</v>
      </c>
      <c r="EU26" s="12">
        <f t="shared" si="14"/>
        <v>110</v>
      </c>
      <c r="EV26" s="12">
        <f t="shared" si="15"/>
        <v>0.18953523419133159</v>
      </c>
      <c r="EW26" s="12">
        <f t="shared" si="16"/>
        <v>0.42194225088914339</v>
      </c>
      <c r="EX26" s="12">
        <f t="shared" si="17"/>
        <v>0.66725842425703774</v>
      </c>
      <c r="EY26" s="12">
        <f t="shared" si="18"/>
        <v>0.54598411139873249</v>
      </c>
      <c r="EZ26" s="12">
        <f t="shared" si="19"/>
        <v>3.6953521378202265</v>
      </c>
      <c r="FA26" s="12">
        <f t="shared" si="20"/>
        <v>0.87205569936624128</v>
      </c>
      <c r="FB26" s="12">
        <f t="shared" si="21"/>
        <v>0.51537211141375971</v>
      </c>
      <c r="FC26" s="12">
        <f t="shared" si="22"/>
        <v>0.62449345400228451</v>
      </c>
      <c r="FD26" s="12">
        <f t="shared" si="23"/>
        <v>0.37340743344170108</v>
      </c>
      <c r="FE26" s="12">
        <f t="shared" si="24"/>
        <v>1.4508459420901398</v>
      </c>
      <c r="FF26" s="12">
        <f t="shared" si="25"/>
        <v>3.7393704663732996</v>
      </c>
      <c r="FG26" s="12">
        <f t="shared" si="26"/>
        <v>6.1993740832278412</v>
      </c>
      <c r="FH26" s="12">
        <f t="shared" si="27"/>
        <v>4.5956395608319198</v>
      </c>
      <c r="FI26" s="12">
        <f t="shared" si="57"/>
        <v>22.83125948406677</v>
      </c>
      <c r="FJ26" s="12">
        <f t="shared" si="29"/>
        <v>6.8029010086583952</v>
      </c>
      <c r="FK26" s="12">
        <f t="shared" si="30"/>
        <v>4.0234513663122744</v>
      </c>
      <c r="FL26" s="12">
        <f t="shared" si="31"/>
        <v>5.4695896669888411</v>
      </c>
      <c r="FM26" s="12">
        <f t="shared" si="32"/>
        <v>3.156453738687286</v>
      </c>
      <c r="FN26" s="12">
        <f t="shared" si="33"/>
        <v>1.5162818735306527E-2</v>
      </c>
      <c r="FO26" s="12">
        <f t="shared" si="34"/>
        <v>3.375538007113147E-2</v>
      </c>
      <c r="FP26" s="12">
        <f t="shared" si="35"/>
        <v>5.338067394056302E-2</v>
      </c>
      <c r="FQ26" s="12">
        <f t="shared" si="36"/>
        <v>4.3678728911898605E-2</v>
      </c>
      <c r="FR26" s="12">
        <f t="shared" si="37"/>
        <v>0.29562817102561817</v>
      </c>
      <c r="FS26" s="12">
        <f t="shared" si="38"/>
        <v>6.9764455949299309E-2</v>
      </c>
      <c r="FT26" s="12">
        <f t="shared" si="39"/>
        <v>4.1229768913100776E-2</v>
      </c>
      <c r="FU26" s="12">
        <f t="shared" si="40"/>
        <v>4.9959476320182758E-2</v>
      </c>
      <c r="FV26" s="12">
        <f t="shared" si="41"/>
        <v>2.9872594675336085E-2</v>
      </c>
      <c r="FW26" s="12">
        <f t="shared" si="42"/>
        <v>0.11606767536721119</v>
      </c>
      <c r="FX26" s="12">
        <f t="shared" si="43"/>
        <v>0.29914963730986394</v>
      </c>
      <c r="FY26" s="12">
        <f t="shared" si="44"/>
        <v>0.49594992665822729</v>
      </c>
      <c r="FZ26" s="12">
        <f t="shared" si="45"/>
        <v>0.36765116486655364</v>
      </c>
      <c r="GA26" s="12">
        <f t="shared" si="58"/>
        <v>1.8265007587253412</v>
      </c>
      <c r="GB26" s="12">
        <f t="shared" si="47"/>
        <v>0.5442320806926717</v>
      </c>
      <c r="GC26" s="12">
        <f t="shared" si="48"/>
        <v>0.32187610930498201</v>
      </c>
      <c r="GD26" s="12">
        <f t="shared" si="49"/>
        <v>0.43756717335910722</v>
      </c>
      <c r="GE26" s="12">
        <f t="shared" si="50"/>
        <v>0.25251629909498285</v>
      </c>
    </row>
    <row r="27" spans="2:187" ht="31">
      <c r="B27">
        <v>12</v>
      </c>
      <c r="C27">
        <f t="shared" si="10"/>
        <v>120</v>
      </c>
      <c r="D27" s="5">
        <v>4.4409999999999998</v>
      </c>
      <c r="E27" s="5">
        <v>4.8102</v>
      </c>
      <c r="F27" s="5">
        <v>8.7563999999999993</v>
      </c>
      <c r="G27" s="5" t="s">
        <v>510</v>
      </c>
      <c r="H27" s="5" t="s">
        <v>523</v>
      </c>
      <c r="I27" s="5" t="s">
        <v>536</v>
      </c>
      <c r="J27" s="192">
        <v>9.4339999999999993</v>
      </c>
      <c r="K27" s="192">
        <v>9.3924000000000003</v>
      </c>
      <c r="L27" s="192">
        <v>39.499899999999997</v>
      </c>
      <c r="M27" s="5">
        <v>10.760999999999999</v>
      </c>
      <c r="N27" s="5">
        <v>0.77180000000000004</v>
      </c>
      <c r="O27" s="5">
        <v>2.6532</v>
      </c>
      <c r="P27" s="17">
        <f t="shared" si="51"/>
        <v>0.10063395422669641</v>
      </c>
      <c r="Q27" s="5">
        <v>18.077999999999999</v>
      </c>
      <c r="R27" s="5">
        <v>0.69499999999999995</v>
      </c>
      <c r="S27" s="5">
        <v>1.3661000000000001</v>
      </c>
      <c r="T27" s="6">
        <v>4.431</v>
      </c>
      <c r="U27" s="6">
        <v>5.0555000000000003</v>
      </c>
      <c r="V27" s="6">
        <v>10.5709</v>
      </c>
      <c r="W27" s="6">
        <v>6.5049999999999999</v>
      </c>
      <c r="X27" s="6">
        <v>0.49519999999999997</v>
      </c>
      <c r="Y27" s="6">
        <v>1.9874000000000001</v>
      </c>
      <c r="Z27" s="193">
        <v>9.4410000000000007</v>
      </c>
      <c r="AA27" s="193">
        <v>31.8172</v>
      </c>
      <c r="AB27" s="193">
        <v>133.25200000000001</v>
      </c>
      <c r="AC27" s="6">
        <v>10.760999999999999</v>
      </c>
      <c r="AD27" s="6">
        <v>0.65029999999999999</v>
      </c>
      <c r="AE27" s="6">
        <v>2.2111000000000001</v>
      </c>
      <c r="AF27" s="19">
        <f t="shared" si="52"/>
        <v>0.32593184238551648</v>
      </c>
      <c r="AG27" s="6">
        <v>19.085000000000001</v>
      </c>
      <c r="AH27" s="6">
        <v>0.55940000000000001</v>
      </c>
      <c r="AI27" s="6">
        <v>1.105</v>
      </c>
      <c r="AJ27" s="270">
        <v>4.4139999999999997</v>
      </c>
      <c r="AK27" s="270">
        <v>4.7573999999999996</v>
      </c>
      <c r="AL27" s="270">
        <v>10.721</v>
      </c>
      <c r="AM27" s="270">
        <v>6.4980000000000002</v>
      </c>
      <c r="AN27" s="270">
        <v>0.4461</v>
      </c>
      <c r="AO27" s="270">
        <v>1.667</v>
      </c>
      <c r="AP27" s="270">
        <v>9.4410000000000007</v>
      </c>
      <c r="AQ27" s="270">
        <v>56.370699999999999</v>
      </c>
      <c r="AR27" s="270">
        <v>232.56489999999999</v>
      </c>
      <c r="AS27" s="270">
        <v>10.754</v>
      </c>
      <c r="AT27" s="270">
        <v>0.69899999999999995</v>
      </c>
      <c r="AU27" s="270">
        <v>2.4436</v>
      </c>
      <c r="AV27" s="16">
        <f t="shared" si="53"/>
        <v>0.57261639238853046</v>
      </c>
      <c r="AW27" s="270">
        <v>18.077999999999999</v>
      </c>
      <c r="AX27" s="270">
        <v>0.53759999999999997</v>
      </c>
      <c r="AY27" s="270">
        <v>1.0593999999999999</v>
      </c>
      <c r="AZ27" s="271">
        <v>4.4109999999999996</v>
      </c>
      <c r="BA27" s="271">
        <v>5.7933000000000003</v>
      </c>
      <c r="BB27" s="271">
        <v>13.7148</v>
      </c>
      <c r="BC27" s="271">
        <v>6.4640000000000004</v>
      </c>
      <c r="BD27" s="271">
        <v>0.53300000000000003</v>
      </c>
      <c r="BE27" s="271">
        <v>1.8355999999999999</v>
      </c>
      <c r="BF27" s="271">
        <v>9.3640000000000008</v>
      </c>
      <c r="BG27" s="271">
        <v>37.110500000000002</v>
      </c>
      <c r="BH27" s="271">
        <v>155.60749999999999</v>
      </c>
      <c r="BI27" s="271">
        <v>10.670999999999999</v>
      </c>
      <c r="BJ27" s="271">
        <v>0.51200000000000001</v>
      </c>
      <c r="BK27" s="271">
        <v>1.7948999999999999</v>
      </c>
      <c r="BL27" s="17">
        <f t="shared" si="54"/>
        <v>0.37314380076765152</v>
      </c>
      <c r="BM27" s="271">
        <v>17.738</v>
      </c>
      <c r="BN27" s="271">
        <v>0.7903</v>
      </c>
      <c r="BO27" s="271">
        <v>1.5934999999999999</v>
      </c>
      <c r="BP27" s="7">
        <v>4.3739999999999997</v>
      </c>
      <c r="BQ27" s="7">
        <v>8.7900000000000006E-2</v>
      </c>
      <c r="BR27" s="7">
        <v>0.24990000000000001</v>
      </c>
      <c r="BS27" s="7">
        <v>6.5039999999999996</v>
      </c>
      <c r="BT27" s="7">
        <v>1.6763999999999999</v>
      </c>
      <c r="BU27" s="7">
        <v>1.9743999999999999</v>
      </c>
      <c r="BV27" s="200">
        <v>9.4740000000000002</v>
      </c>
      <c r="BW27" s="200">
        <v>304.59140000000002</v>
      </c>
      <c r="BX27" s="200">
        <v>1037.9694</v>
      </c>
      <c r="BY27" s="7">
        <v>10.670999999999999</v>
      </c>
      <c r="BZ27" s="7">
        <v>1.4379999999999999</v>
      </c>
      <c r="CA27" s="7">
        <v>2.4060999999999999</v>
      </c>
      <c r="CB27" s="18">
        <f t="shared" si="55"/>
        <v>2.7607265910916716</v>
      </c>
      <c r="CC27" s="7">
        <v>17.748000000000001</v>
      </c>
      <c r="CD27" s="7">
        <v>0.6411</v>
      </c>
      <c r="CE27" s="7">
        <v>1.2844</v>
      </c>
      <c r="CF27" s="202">
        <v>4.3579999999999997</v>
      </c>
      <c r="CG27" s="203">
        <v>1.0031000000000001</v>
      </c>
      <c r="CH27" s="203">
        <v>2.0640999999999998</v>
      </c>
      <c r="CI27" s="203">
        <v>6.4939999999999998</v>
      </c>
      <c r="CJ27" s="203">
        <v>1.0230999999999999</v>
      </c>
      <c r="CK27" s="203">
        <v>2.7743000000000002</v>
      </c>
      <c r="CL27" s="203">
        <v>9.3539999999999992</v>
      </c>
      <c r="CM27" s="203">
        <v>50.0366</v>
      </c>
      <c r="CN27" s="203">
        <v>200.6344</v>
      </c>
      <c r="CO27" s="203">
        <v>10.654</v>
      </c>
      <c r="CP27" s="203">
        <v>0.60770000000000002</v>
      </c>
      <c r="CQ27" s="203">
        <v>2.0768</v>
      </c>
      <c r="CR27" s="18">
        <f t="shared" si="56"/>
        <v>0.48852450236543782</v>
      </c>
      <c r="CS27" s="203">
        <v>17.707999999999998</v>
      </c>
      <c r="CT27" s="203">
        <v>0.78769999999999996</v>
      </c>
      <c r="CU27" s="203">
        <v>1.5891</v>
      </c>
      <c r="CV27" s="203">
        <v>4.3879999999999999</v>
      </c>
      <c r="CW27" s="203">
        <v>10.623699999999999</v>
      </c>
      <c r="CX27" s="203">
        <v>31.872</v>
      </c>
      <c r="CY27" s="203" t="s">
        <v>775</v>
      </c>
      <c r="CZ27" s="203" t="s">
        <v>776</v>
      </c>
      <c r="DA27" s="203" t="s">
        <v>777</v>
      </c>
      <c r="DB27">
        <v>9.3239999999999998</v>
      </c>
      <c r="DC27">
        <v>28.669599999999999</v>
      </c>
      <c r="DD27">
        <v>117.5245</v>
      </c>
      <c r="DE27">
        <v>10.621</v>
      </c>
      <c r="DF27">
        <v>0.78459999999999996</v>
      </c>
      <c r="DG27">
        <v>2.6913999999999998</v>
      </c>
      <c r="DH27">
        <f t="shared" si="11"/>
        <v>0.28931816184869519</v>
      </c>
      <c r="DI27">
        <v>17.588000000000001</v>
      </c>
      <c r="DJ27">
        <v>1.0174000000000001</v>
      </c>
      <c r="DK27">
        <v>2.0653999999999999</v>
      </c>
      <c r="DL27">
        <v>4.3780000000000001</v>
      </c>
      <c r="DM27">
        <v>8.8935999999999993</v>
      </c>
      <c r="DN27">
        <v>26.6892</v>
      </c>
      <c r="DO27" t="s">
        <v>820</v>
      </c>
      <c r="DP27" t="s">
        <v>821</v>
      </c>
      <c r="DQ27" t="s">
        <v>822</v>
      </c>
      <c r="DR27">
        <v>9.3239999999999998</v>
      </c>
      <c r="DS27">
        <v>49.167499999999997</v>
      </c>
      <c r="DT27">
        <v>198.61949999999999</v>
      </c>
      <c r="DU27">
        <v>10.614000000000001</v>
      </c>
      <c r="DV27">
        <v>1.0071000000000001</v>
      </c>
      <c r="DW27">
        <v>2.7978999999999998</v>
      </c>
      <c r="DX27">
        <f t="shared" si="12"/>
        <v>0.46942447939548365</v>
      </c>
      <c r="DY27">
        <v>17.581</v>
      </c>
      <c r="DZ27">
        <v>0.70409999999999995</v>
      </c>
      <c r="EA27">
        <v>1.4184000000000001</v>
      </c>
      <c r="EB27">
        <v>4.3739999999999997</v>
      </c>
      <c r="EC27">
        <v>8.3402999999999992</v>
      </c>
      <c r="ED27">
        <v>26.456900000000001</v>
      </c>
      <c r="EE27" t="s">
        <v>863</v>
      </c>
      <c r="EF27" t="s">
        <v>864</v>
      </c>
      <c r="EG27" t="s">
        <v>865</v>
      </c>
      <c r="EH27">
        <v>9.3109999999999999</v>
      </c>
      <c r="EI27">
        <v>25.091999999999999</v>
      </c>
      <c r="EJ27">
        <v>103.83540000000001</v>
      </c>
      <c r="EK27">
        <v>10.603999999999999</v>
      </c>
      <c r="EL27">
        <v>0.60460000000000003</v>
      </c>
      <c r="EM27">
        <v>2.0821000000000001</v>
      </c>
      <c r="EN27">
        <f t="shared" si="13"/>
        <v>0.25788331429575606</v>
      </c>
      <c r="EO27">
        <v>17.564</v>
      </c>
      <c r="EP27">
        <v>0.78800000000000003</v>
      </c>
      <c r="EQ27">
        <v>1.5981000000000001</v>
      </c>
      <c r="EU27" s="12">
        <f t="shared" si="14"/>
        <v>120</v>
      </c>
      <c r="EV27" s="12">
        <f t="shared" si="15"/>
        <v>0.10063395422669641</v>
      </c>
      <c r="EW27" s="12">
        <f t="shared" si="16"/>
        <v>0.32593184238551648</v>
      </c>
      <c r="EX27" s="12">
        <f t="shared" si="17"/>
        <v>0.57261639238853046</v>
      </c>
      <c r="EY27" s="12">
        <f t="shared" si="18"/>
        <v>0.37314380076765152</v>
      </c>
      <c r="EZ27" s="12">
        <f t="shared" si="19"/>
        <v>2.7607265910916716</v>
      </c>
      <c r="FA27" s="12">
        <f t="shared" si="20"/>
        <v>0.48852450236543782</v>
      </c>
      <c r="FB27" s="12">
        <f t="shared" si="21"/>
        <v>0.28931816184869519</v>
      </c>
      <c r="FC27" s="12">
        <f t="shared" si="22"/>
        <v>0.46942447939548365</v>
      </c>
      <c r="FD27" s="12">
        <f t="shared" si="23"/>
        <v>0.25788331429575606</v>
      </c>
      <c r="FE27" s="12">
        <f t="shared" si="24"/>
        <v>0.79640625313963076</v>
      </c>
      <c r="FF27" s="12">
        <f t="shared" si="25"/>
        <v>2.6878905700564628</v>
      </c>
      <c r="FG27" s="12">
        <f t="shared" si="26"/>
        <v>5.3641770651234744</v>
      </c>
      <c r="FH27" s="12">
        <f t="shared" si="27"/>
        <v>3.1712175310184771</v>
      </c>
      <c r="FI27" s="12">
        <f t="shared" si="57"/>
        <v>15.083812371686156</v>
      </c>
      <c r="FJ27" s="12">
        <f t="shared" si="29"/>
        <v>3.827126662501116</v>
      </c>
      <c r="FK27" s="12">
        <f t="shared" si="30"/>
        <v>2.2728363061242423</v>
      </c>
      <c r="FL27" s="12">
        <f t="shared" si="31"/>
        <v>4.2280028117037167</v>
      </c>
      <c r="FM27" s="12">
        <f t="shared" si="32"/>
        <v>2.2264300149371756</v>
      </c>
      <c r="FN27" s="12">
        <f t="shared" si="33"/>
        <v>8.0507163381357133E-3</v>
      </c>
      <c r="FO27" s="12">
        <f t="shared" si="34"/>
        <v>2.6074547390841318E-2</v>
      </c>
      <c r="FP27" s="12">
        <f t="shared" si="35"/>
        <v>4.5809311391082436E-2</v>
      </c>
      <c r="FQ27" s="12">
        <f t="shared" si="36"/>
        <v>2.9851504061412123E-2</v>
      </c>
      <c r="FR27" s="12">
        <f t="shared" si="37"/>
        <v>0.22085812728733373</v>
      </c>
      <c r="FS27" s="12">
        <f t="shared" si="38"/>
        <v>3.9081960189235029E-2</v>
      </c>
      <c r="FT27" s="12">
        <f t="shared" si="39"/>
        <v>2.3145452947895613E-2</v>
      </c>
      <c r="FU27" s="12">
        <f t="shared" si="40"/>
        <v>3.7553958351638689E-2</v>
      </c>
      <c r="FV27" s="12">
        <f t="shared" si="41"/>
        <v>2.0630665143660486E-2</v>
      </c>
      <c r="FW27" s="12">
        <f t="shared" si="42"/>
        <v>6.3712500251170451E-2</v>
      </c>
      <c r="FX27" s="12">
        <f t="shared" si="43"/>
        <v>0.21503124560451703</v>
      </c>
      <c r="FY27" s="12">
        <f t="shared" si="44"/>
        <v>0.42913416520987796</v>
      </c>
      <c r="FZ27" s="12">
        <f t="shared" si="45"/>
        <v>0.25369740248147815</v>
      </c>
      <c r="GA27" s="12">
        <f t="shared" si="58"/>
        <v>1.2067049897348925</v>
      </c>
      <c r="GB27" s="12">
        <f t="shared" si="47"/>
        <v>0.30617013300008927</v>
      </c>
      <c r="GC27" s="12">
        <f t="shared" si="48"/>
        <v>0.18182690448993938</v>
      </c>
      <c r="GD27" s="12">
        <f t="shared" si="49"/>
        <v>0.3382402249362973</v>
      </c>
      <c r="GE27" s="12">
        <f t="shared" si="50"/>
        <v>0.17811440119497407</v>
      </c>
    </row>
    <row r="28" spans="2:187" ht="31">
      <c r="B28">
        <v>13</v>
      </c>
      <c r="C28">
        <f t="shared" si="10"/>
        <v>130</v>
      </c>
      <c r="D28" s="5">
        <v>4.4379999999999997</v>
      </c>
      <c r="E28" s="5">
        <v>4.0622999999999996</v>
      </c>
      <c r="F28" s="5">
        <v>8.0008999999999997</v>
      </c>
      <c r="G28" s="5">
        <v>6.5010000000000003</v>
      </c>
      <c r="H28" s="5">
        <v>0.55800000000000005</v>
      </c>
      <c r="I28" s="5">
        <v>1.8717999999999999</v>
      </c>
      <c r="J28" s="192">
        <v>9.4350000000000005</v>
      </c>
      <c r="K28" s="192">
        <v>5.2133000000000003</v>
      </c>
      <c r="L28" s="192">
        <v>21.618400000000001</v>
      </c>
      <c r="M28" s="5">
        <v>10.760999999999999</v>
      </c>
      <c r="N28" s="5">
        <v>0.82130000000000003</v>
      </c>
      <c r="O28" s="5">
        <v>2.8483999999999998</v>
      </c>
      <c r="P28" s="17">
        <f t="shared" si="51"/>
        <v>5.8647296401229732E-2</v>
      </c>
      <c r="Q28" s="5">
        <v>18.077999999999999</v>
      </c>
      <c r="R28" s="5">
        <v>0.69379999999999997</v>
      </c>
      <c r="S28" s="5">
        <v>1.3674999999999999</v>
      </c>
      <c r="T28" s="6">
        <v>4.4279999999999999</v>
      </c>
      <c r="U28" s="6">
        <v>4.9378000000000002</v>
      </c>
      <c r="V28" s="6">
        <v>10.3628</v>
      </c>
      <c r="W28" s="6">
        <v>6.5049999999999999</v>
      </c>
      <c r="X28" s="6">
        <v>0.43809999999999999</v>
      </c>
      <c r="Y28" s="6">
        <v>1.7191000000000001</v>
      </c>
      <c r="Z28" s="193">
        <v>9.4380000000000006</v>
      </c>
      <c r="AA28" s="193">
        <v>20.4419</v>
      </c>
      <c r="AB28" s="193">
        <v>86.252899999999997</v>
      </c>
      <c r="AC28" s="6">
        <v>10.765000000000001</v>
      </c>
      <c r="AD28" s="6">
        <v>0.62360000000000004</v>
      </c>
      <c r="AE28" s="6">
        <v>2.1328999999999998</v>
      </c>
      <c r="AF28" s="19">
        <f t="shared" si="52"/>
        <v>0.21164627162577609</v>
      </c>
      <c r="AG28" s="6">
        <v>18.085000000000001</v>
      </c>
      <c r="AH28" s="6">
        <v>0.47910000000000003</v>
      </c>
      <c r="AI28" s="6">
        <v>0.9466</v>
      </c>
      <c r="AJ28" s="270" t="s">
        <v>566</v>
      </c>
      <c r="AK28" s="270">
        <v>4.7805999999999997</v>
      </c>
      <c r="AL28" s="270">
        <v>10.911899999999999</v>
      </c>
      <c r="AM28" s="270">
        <v>6.4939999999999998</v>
      </c>
      <c r="AN28" s="270">
        <v>0.502</v>
      </c>
      <c r="AO28" s="270">
        <v>1.9301999999999999</v>
      </c>
      <c r="AP28" s="270">
        <v>9.4380000000000006</v>
      </c>
      <c r="AQ28" s="270">
        <v>49.164700000000003</v>
      </c>
      <c r="AR28" s="270">
        <v>203.89949999999999</v>
      </c>
      <c r="AS28" s="270">
        <v>10.754</v>
      </c>
      <c r="AT28" s="270">
        <v>0.75870000000000004</v>
      </c>
      <c r="AU28" s="270">
        <v>2.6549</v>
      </c>
      <c r="AV28" s="16">
        <f t="shared" si="53"/>
        <v>0.50021902063616452</v>
      </c>
      <c r="AW28" s="270">
        <v>18.081</v>
      </c>
      <c r="AX28" s="270">
        <v>0.59379999999999999</v>
      </c>
      <c r="AY28" s="270">
        <v>1.1725000000000001</v>
      </c>
      <c r="AZ28" s="271">
        <v>4.4109999999999996</v>
      </c>
      <c r="BA28" s="271">
        <v>5.73</v>
      </c>
      <c r="BB28" s="271">
        <v>13.7293</v>
      </c>
      <c r="BC28" s="271">
        <v>6.4710000000000001</v>
      </c>
      <c r="BD28" s="271">
        <v>0.44219999999999998</v>
      </c>
      <c r="BE28" s="271">
        <v>1.4434</v>
      </c>
      <c r="BF28" s="271">
        <v>9.3710000000000004</v>
      </c>
      <c r="BG28" s="271">
        <v>24.558199999999999</v>
      </c>
      <c r="BH28" s="271">
        <v>103.86539999999999</v>
      </c>
      <c r="BI28" s="271">
        <v>10.678000000000001</v>
      </c>
      <c r="BJ28" s="271">
        <v>0.51949999999999996</v>
      </c>
      <c r="BK28" s="271">
        <v>1.8176000000000001</v>
      </c>
      <c r="BL28" s="17">
        <f t="shared" si="54"/>
        <v>0.26109970543604388</v>
      </c>
      <c r="BM28" s="271">
        <v>17.751000000000001</v>
      </c>
      <c r="BN28" s="271">
        <v>0.59050000000000002</v>
      </c>
      <c r="BO28" s="271">
        <v>1.1881999999999999</v>
      </c>
      <c r="BP28" s="7">
        <v>4.3710000000000004</v>
      </c>
      <c r="BQ28" s="7">
        <v>6.9400000000000003E-2</v>
      </c>
      <c r="BR28" s="7">
        <v>0.24540000000000001</v>
      </c>
      <c r="BS28" s="7">
        <v>6.4939999999999998</v>
      </c>
      <c r="BT28" s="7">
        <v>1.173</v>
      </c>
      <c r="BU28" s="7">
        <v>1.9891000000000001</v>
      </c>
      <c r="BV28" s="200">
        <v>9.4209999999999994</v>
      </c>
      <c r="BW28" s="200">
        <v>197.58019999999999</v>
      </c>
      <c r="BX28" s="200">
        <v>740.1798</v>
      </c>
      <c r="BY28" s="7">
        <v>10.667999999999999</v>
      </c>
      <c r="BZ28" s="7">
        <v>0.70899999999999996</v>
      </c>
      <c r="CA28" s="7">
        <v>2.1989000000000001</v>
      </c>
      <c r="CB28" s="18">
        <f t="shared" si="55"/>
        <v>1.8055253057216816</v>
      </c>
      <c r="CC28" s="7">
        <v>17.744</v>
      </c>
      <c r="CD28" s="7">
        <v>0.60150000000000003</v>
      </c>
      <c r="CE28" s="7">
        <v>1.2124999999999999</v>
      </c>
      <c r="CF28" s="202">
        <v>4.3579999999999997</v>
      </c>
      <c r="CG28" s="203">
        <v>1.0214000000000001</v>
      </c>
      <c r="CH28" s="203">
        <v>2.1324999999999998</v>
      </c>
      <c r="CI28" s="203">
        <v>6.4880000000000004</v>
      </c>
      <c r="CJ28" s="203">
        <v>1.5464</v>
      </c>
      <c r="CK28" s="203">
        <v>5.7695999999999996</v>
      </c>
      <c r="CL28" s="203">
        <v>9.3510000000000009</v>
      </c>
      <c r="CM28" s="203">
        <v>26.328399999999998</v>
      </c>
      <c r="CN28" s="203">
        <v>107.6814</v>
      </c>
      <c r="CO28" s="203">
        <v>10.654999999999999</v>
      </c>
      <c r="CP28" s="203">
        <v>0.61240000000000006</v>
      </c>
      <c r="CQ28" s="203">
        <v>2.0910000000000002</v>
      </c>
      <c r="CR28" s="18">
        <f t="shared" si="56"/>
        <v>0.27690083013478534</v>
      </c>
      <c r="CS28" s="203">
        <v>17.715</v>
      </c>
      <c r="CT28" s="203">
        <v>0.86499999999999999</v>
      </c>
      <c r="CU28" s="203">
        <v>1.7444</v>
      </c>
      <c r="CV28" s="203">
        <v>4.3879999999999999</v>
      </c>
      <c r="CW28" s="203">
        <v>10.1602</v>
      </c>
      <c r="CX28" s="203">
        <v>30.575500000000002</v>
      </c>
      <c r="CY28" s="203" t="s">
        <v>778</v>
      </c>
      <c r="CZ28" s="203" t="s">
        <v>779</v>
      </c>
      <c r="DA28" s="203" t="s">
        <v>780</v>
      </c>
      <c r="DB28">
        <v>9.3179999999999996</v>
      </c>
      <c r="DC28">
        <v>14.549300000000001</v>
      </c>
      <c r="DD28">
        <v>60.1892</v>
      </c>
      <c r="DE28">
        <v>10.618</v>
      </c>
      <c r="DF28">
        <v>1.2242</v>
      </c>
      <c r="DG28">
        <v>4.2192999999999996</v>
      </c>
      <c r="DH28">
        <f t="shared" si="11"/>
        <v>0.16524909937615326</v>
      </c>
      <c r="DI28">
        <v>17.581</v>
      </c>
      <c r="DJ28">
        <v>0.99870000000000003</v>
      </c>
      <c r="DK28">
        <v>2.0192999999999999</v>
      </c>
      <c r="DL28">
        <v>4.3780000000000001</v>
      </c>
      <c r="DM28">
        <v>8.7070000000000007</v>
      </c>
      <c r="DN28">
        <v>26.6952</v>
      </c>
      <c r="DO28" t="s">
        <v>820</v>
      </c>
      <c r="DP28" t="s">
        <v>823</v>
      </c>
      <c r="DQ28" t="s">
        <v>824</v>
      </c>
      <c r="DR28">
        <v>9.3209999999999997</v>
      </c>
      <c r="DS28">
        <v>38.554900000000004</v>
      </c>
      <c r="DT28">
        <v>157.81110000000001</v>
      </c>
      <c r="DU28">
        <v>10.614000000000001</v>
      </c>
      <c r="DV28">
        <v>0.6845</v>
      </c>
      <c r="DW28">
        <v>2.3571</v>
      </c>
      <c r="DX28">
        <f t="shared" si="12"/>
        <v>0.37617608294525967</v>
      </c>
      <c r="DY28">
        <v>17.577999999999999</v>
      </c>
      <c r="DZ28">
        <v>0.83020000000000005</v>
      </c>
      <c r="EA28">
        <v>1.6812</v>
      </c>
      <c r="EB28">
        <v>4.375</v>
      </c>
      <c r="EC28">
        <v>7.8033999999999999</v>
      </c>
      <c r="ED28">
        <v>25.333200000000001</v>
      </c>
      <c r="EE28" t="s">
        <v>863</v>
      </c>
      <c r="EF28" t="s">
        <v>866</v>
      </c>
      <c r="EG28" t="s">
        <v>867</v>
      </c>
      <c r="EH28">
        <v>9.3079999999999998</v>
      </c>
      <c r="EI28">
        <v>17.070599999999999</v>
      </c>
      <c r="EJ28">
        <v>70.421199999999999</v>
      </c>
      <c r="EK28">
        <v>10.605</v>
      </c>
      <c r="EL28">
        <v>0.73209999999999997</v>
      </c>
      <c r="EM28">
        <v>2.2172000000000001</v>
      </c>
      <c r="EN28">
        <f t="shared" si="13"/>
        <v>0.18740268869167909</v>
      </c>
      <c r="EO28">
        <v>17.568000000000001</v>
      </c>
      <c r="EP28">
        <v>0.79090000000000005</v>
      </c>
      <c r="EQ28">
        <v>1.6007</v>
      </c>
      <c r="EU28" s="12">
        <f t="shared" si="14"/>
        <v>130</v>
      </c>
      <c r="EV28" s="12">
        <f t="shared" si="15"/>
        <v>5.8647296401229732E-2</v>
      </c>
      <c r="EW28" s="12">
        <f t="shared" si="16"/>
        <v>0.21164627162577609</v>
      </c>
      <c r="EX28" s="12">
        <f t="shared" si="17"/>
        <v>0.50021902063616452</v>
      </c>
      <c r="EY28" s="12">
        <f t="shared" si="18"/>
        <v>0.26109970543604388</v>
      </c>
      <c r="EZ28" s="12">
        <f t="shared" si="19"/>
        <v>1.8055253057216816</v>
      </c>
      <c r="FA28" s="12">
        <f t="shared" si="20"/>
        <v>0.27690083013478534</v>
      </c>
      <c r="FB28" s="12">
        <f t="shared" si="21"/>
        <v>0.16524909937615326</v>
      </c>
      <c r="FC28" s="12">
        <f t="shared" si="22"/>
        <v>0.37617608294525967</v>
      </c>
      <c r="FD28" s="12">
        <f t="shared" si="23"/>
        <v>0.18740268869167909</v>
      </c>
      <c r="FE28" s="12">
        <f t="shared" si="24"/>
        <v>0.48406072296903568</v>
      </c>
      <c r="FF28" s="12">
        <f t="shared" si="25"/>
        <v>1.8760574276126751</v>
      </c>
      <c r="FG28" s="12">
        <f t="shared" si="26"/>
        <v>4.4746418309321436</v>
      </c>
      <c r="FH28" s="12">
        <f t="shared" si="27"/>
        <v>2.208827992502008</v>
      </c>
      <c r="FI28" s="12">
        <f t="shared" si="57"/>
        <v>9.850321342497546</v>
      </c>
      <c r="FJ28" s="12">
        <f t="shared" si="29"/>
        <v>2.2146835669017229</v>
      </c>
      <c r="FK28" s="12">
        <f t="shared" si="30"/>
        <v>1.3929883138564274</v>
      </c>
      <c r="FL28" s="12">
        <f t="shared" si="31"/>
        <v>3.2829540462173803</v>
      </c>
      <c r="FM28" s="12">
        <f t="shared" si="32"/>
        <v>1.6377471223969773</v>
      </c>
      <c r="FN28" s="12">
        <f t="shared" si="33"/>
        <v>4.6917837120983782E-3</v>
      </c>
      <c r="FO28" s="12">
        <f t="shared" si="34"/>
        <v>1.6931701730062088E-2</v>
      </c>
      <c r="FP28" s="12">
        <f t="shared" si="35"/>
        <v>4.0017521650893159E-2</v>
      </c>
      <c r="FQ28" s="12">
        <f t="shared" si="36"/>
        <v>2.0887976434883514E-2</v>
      </c>
      <c r="FR28" s="12">
        <f t="shared" si="37"/>
        <v>0.14444202445773452</v>
      </c>
      <c r="FS28" s="12">
        <f t="shared" si="38"/>
        <v>2.2152066410782826E-2</v>
      </c>
      <c r="FT28" s="12">
        <f t="shared" si="39"/>
        <v>1.3219927950092261E-2</v>
      </c>
      <c r="FU28" s="12">
        <f t="shared" si="40"/>
        <v>3.0094086635620774E-2</v>
      </c>
      <c r="FV28" s="12">
        <f t="shared" si="41"/>
        <v>1.4992215095334327E-2</v>
      </c>
      <c r="FW28" s="12">
        <f t="shared" si="42"/>
        <v>3.8724857837522858E-2</v>
      </c>
      <c r="FX28" s="12">
        <f t="shared" si="43"/>
        <v>0.15008459420901402</v>
      </c>
      <c r="FY28" s="12">
        <f t="shared" si="44"/>
        <v>0.35797134647457152</v>
      </c>
      <c r="FZ28" s="12">
        <f t="shared" si="45"/>
        <v>0.17670623940016067</v>
      </c>
      <c r="GA28" s="12">
        <f t="shared" si="58"/>
        <v>0.78802570739980371</v>
      </c>
      <c r="GB28" s="12">
        <f t="shared" si="47"/>
        <v>0.17717468535213782</v>
      </c>
      <c r="GC28" s="12">
        <f t="shared" si="48"/>
        <v>0.1114390651085142</v>
      </c>
      <c r="GD28" s="12">
        <f t="shared" si="49"/>
        <v>0.26263632369739043</v>
      </c>
      <c r="GE28" s="12">
        <f t="shared" si="50"/>
        <v>0.13101976979175817</v>
      </c>
    </row>
    <row r="29" spans="2:187" ht="31">
      <c r="B29">
        <v>14</v>
      </c>
      <c r="C29">
        <f t="shared" si="10"/>
        <v>140</v>
      </c>
      <c r="D29" s="5">
        <v>4.4379999999999997</v>
      </c>
      <c r="E29" s="5">
        <v>3.8698000000000001</v>
      </c>
      <c r="F29" s="5">
        <v>7.4840999999999998</v>
      </c>
      <c r="G29" s="5" t="s">
        <v>511</v>
      </c>
      <c r="H29" s="5" t="s">
        <v>524</v>
      </c>
      <c r="I29" s="5" t="s">
        <v>537</v>
      </c>
      <c r="J29" s="192">
        <v>9.4339999999999993</v>
      </c>
      <c r="K29" s="192">
        <v>3.1745999999999999</v>
      </c>
      <c r="L29" s="192">
        <v>13.030200000000001</v>
      </c>
      <c r="M29" s="5">
        <v>10.760999999999999</v>
      </c>
      <c r="N29" s="5">
        <v>0.8276</v>
      </c>
      <c r="O29" s="5">
        <v>2.8744000000000001</v>
      </c>
      <c r="P29" s="17">
        <f t="shared" si="51"/>
        <v>3.8164848192577407E-2</v>
      </c>
      <c r="Q29" s="5">
        <v>18.074000000000002</v>
      </c>
      <c r="R29" s="5">
        <v>0.71579999999999999</v>
      </c>
      <c r="S29" s="5">
        <v>1.4105000000000001</v>
      </c>
      <c r="T29" s="6">
        <v>4.4240000000000004</v>
      </c>
      <c r="U29" s="6">
        <v>4.9124999999999996</v>
      </c>
      <c r="V29" s="6">
        <v>10.4093</v>
      </c>
      <c r="W29" s="6">
        <v>6.4980000000000002</v>
      </c>
      <c r="X29" s="6">
        <v>0.51319999999999999</v>
      </c>
      <c r="Y29" s="6">
        <v>2.0741000000000001</v>
      </c>
      <c r="Z29" s="193">
        <v>9.4339999999999993</v>
      </c>
      <c r="AA29" s="193">
        <v>15.6562</v>
      </c>
      <c r="AB29" s="193">
        <v>66.16</v>
      </c>
      <c r="AC29" s="6">
        <v>10.757999999999999</v>
      </c>
      <c r="AD29" s="6">
        <v>0.67059999999999997</v>
      </c>
      <c r="AE29" s="6">
        <v>2.3022999999999998</v>
      </c>
      <c r="AF29" s="19">
        <f t="shared" si="52"/>
        <v>0.1635652138967589</v>
      </c>
      <c r="AG29" s="6">
        <v>18.081</v>
      </c>
      <c r="AH29" s="6">
        <v>0.54100000000000004</v>
      </c>
      <c r="AI29" s="6">
        <v>1.0663</v>
      </c>
      <c r="AJ29" s="270">
        <v>4.4139999999999997</v>
      </c>
      <c r="AK29" s="270">
        <v>4.718</v>
      </c>
      <c r="AL29" s="270">
        <v>10.8842</v>
      </c>
      <c r="AM29" s="270">
        <v>6.4939999999999998</v>
      </c>
      <c r="AN29" s="270">
        <v>0.53800000000000003</v>
      </c>
      <c r="AO29" s="270">
        <v>2.1251000000000002</v>
      </c>
      <c r="AP29" s="270">
        <v>9.4380000000000006</v>
      </c>
      <c r="AQ29" s="270">
        <v>38.6629</v>
      </c>
      <c r="AR29" s="270">
        <v>161.2586</v>
      </c>
      <c r="AS29" s="270">
        <v>10.754</v>
      </c>
      <c r="AT29" s="270">
        <v>0.85029999999999994</v>
      </c>
      <c r="AU29" s="270">
        <v>2.9043999999999999</v>
      </c>
      <c r="AV29" s="16">
        <f t="shared" si="53"/>
        <v>0.39470934555026421</v>
      </c>
      <c r="AW29" s="270">
        <v>18.077999999999999</v>
      </c>
      <c r="AX29" s="270">
        <v>0.6573</v>
      </c>
      <c r="AY29" s="270">
        <v>1.3002</v>
      </c>
      <c r="AZ29" s="271">
        <v>4.4080000000000004</v>
      </c>
      <c r="BA29" s="271">
        <v>5.5674000000000001</v>
      </c>
      <c r="BB29" s="271">
        <v>13.390599999999999</v>
      </c>
      <c r="BC29" s="271">
        <v>6.4649999999999999</v>
      </c>
      <c r="BD29" s="271">
        <v>0.42349999999999999</v>
      </c>
      <c r="BE29" s="271">
        <v>1.373</v>
      </c>
      <c r="BF29" s="271">
        <v>9.3610000000000007</v>
      </c>
      <c r="BG29" s="271">
        <v>15.5472</v>
      </c>
      <c r="BH29" s="271">
        <v>66.172899999999998</v>
      </c>
      <c r="BI29" s="271">
        <v>10.670999999999999</v>
      </c>
      <c r="BJ29" s="271">
        <v>0.55449999999999999</v>
      </c>
      <c r="BK29" s="271">
        <v>1.9381999999999999</v>
      </c>
      <c r="BL29" s="17">
        <f t="shared" si="54"/>
        <v>0.18066589306435779</v>
      </c>
      <c r="BM29" s="271">
        <v>17.745000000000001</v>
      </c>
      <c r="BN29" s="271">
        <v>0.56840000000000002</v>
      </c>
      <c r="BO29" s="271">
        <v>1.1469</v>
      </c>
      <c r="BP29" s="7">
        <v>4.3680000000000003</v>
      </c>
      <c r="BQ29" s="7">
        <v>0.10970000000000001</v>
      </c>
      <c r="BR29" s="7">
        <v>0.30649999999999999</v>
      </c>
      <c r="BS29" s="7">
        <v>6.4909999999999997</v>
      </c>
      <c r="BT29" s="7">
        <v>1.0767</v>
      </c>
      <c r="BU29" s="7">
        <v>1.9483999999999999</v>
      </c>
      <c r="BV29" s="200">
        <v>9.3879999999999999</v>
      </c>
      <c r="BW29" s="200">
        <v>131.00210000000001</v>
      </c>
      <c r="BX29" s="200">
        <v>513.55380000000002</v>
      </c>
      <c r="BY29" s="7">
        <v>10.664</v>
      </c>
      <c r="BZ29" s="7">
        <v>0.71079999999999999</v>
      </c>
      <c r="CA29" s="7">
        <v>2.3081</v>
      </c>
      <c r="CB29" s="18">
        <f t="shared" si="55"/>
        <v>1.2112371686155496</v>
      </c>
      <c r="CC29" s="7">
        <v>17.738</v>
      </c>
      <c r="CD29" s="7">
        <v>0.58720000000000006</v>
      </c>
      <c r="CE29" s="7">
        <v>1.1826000000000001</v>
      </c>
      <c r="CF29" s="202">
        <v>4.3579999999999997</v>
      </c>
      <c r="CG29" s="203">
        <v>0.82030000000000003</v>
      </c>
      <c r="CH29" s="203">
        <v>1.9351</v>
      </c>
      <c r="CI29" s="203">
        <v>6.4880000000000004</v>
      </c>
      <c r="CJ29" s="203">
        <v>0.72350000000000003</v>
      </c>
      <c r="CK29" s="203">
        <v>2.2090999999999998</v>
      </c>
      <c r="CL29" s="203">
        <v>9.3510000000000009</v>
      </c>
      <c r="CM29" s="203">
        <v>13.908200000000001</v>
      </c>
      <c r="CN29" s="203">
        <v>57.313499999999998</v>
      </c>
      <c r="CO29" s="203">
        <v>10.657999999999999</v>
      </c>
      <c r="CP29" s="203">
        <v>0.60409999999999997</v>
      </c>
      <c r="CQ29" s="203">
        <v>2.0644</v>
      </c>
      <c r="CR29" s="18">
        <f t="shared" si="56"/>
        <v>0.16603588324555921</v>
      </c>
      <c r="CS29" s="203">
        <v>17.718</v>
      </c>
      <c r="CT29" s="203">
        <v>0.72460000000000002</v>
      </c>
      <c r="CU29" s="203">
        <v>1.4598</v>
      </c>
      <c r="CV29" s="203">
        <v>4.3879999999999999</v>
      </c>
      <c r="CW29" s="203">
        <v>9.7489000000000008</v>
      </c>
      <c r="CX29" s="203">
        <v>28.9984</v>
      </c>
      <c r="CY29" s="203" t="s">
        <v>778</v>
      </c>
      <c r="CZ29" s="203" t="s">
        <v>781</v>
      </c>
      <c r="DA29" s="203" t="s">
        <v>782</v>
      </c>
      <c r="DB29">
        <v>9.3179999999999996</v>
      </c>
      <c r="DC29">
        <v>8.6425000000000001</v>
      </c>
      <c r="DD29">
        <v>33.416699999999999</v>
      </c>
      <c r="DE29">
        <v>10.618</v>
      </c>
      <c r="DF29">
        <v>0.97450000000000003</v>
      </c>
      <c r="DG29">
        <v>3.3595999999999999</v>
      </c>
      <c r="DH29">
        <f t="shared" si="11"/>
        <v>0.11334856339513223</v>
      </c>
      <c r="DI29">
        <v>17.585000000000001</v>
      </c>
      <c r="DJ29">
        <v>0.87</v>
      </c>
      <c r="DK29">
        <v>1.7587999999999999</v>
      </c>
      <c r="DL29">
        <v>4.3780000000000001</v>
      </c>
      <c r="DM29">
        <v>8.3108000000000004</v>
      </c>
      <c r="DN29">
        <v>26.460100000000001</v>
      </c>
      <c r="DO29" t="s">
        <v>825</v>
      </c>
      <c r="DP29" t="s">
        <v>826</v>
      </c>
      <c r="DQ29" t="s">
        <v>827</v>
      </c>
      <c r="DR29">
        <v>9.3140000000000001</v>
      </c>
      <c r="DS29">
        <v>27.656300000000002</v>
      </c>
      <c r="DT29">
        <v>114.5376</v>
      </c>
      <c r="DU29">
        <v>10.611000000000001</v>
      </c>
      <c r="DV29">
        <v>0.61070000000000002</v>
      </c>
      <c r="DW29">
        <v>2.1092</v>
      </c>
      <c r="DX29">
        <f t="shared" si="12"/>
        <v>0.28041472629821634</v>
      </c>
      <c r="DY29">
        <v>17.577999999999999</v>
      </c>
      <c r="DZ29">
        <v>0.73080000000000001</v>
      </c>
      <c r="EA29">
        <v>1.4782</v>
      </c>
      <c r="EB29">
        <v>4.375</v>
      </c>
      <c r="EC29">
        <v>7.2869999999999999</v>
      </c>
      <c r="ED29">
        <v>24.053699999999999</v>
      </c>
      <c r="EE29" t="s">
        <v>863</v>
      </c>
      <c r="EF29" t="s">
        <v>868</v>
      </c>
      <c r="EG29" t="s">
        <v>869</v>
      </c>
      <c r="EH29">
        <v>9.3109999999999999</v>
      </c>
      <c r="EI29">
        <v>11.692399999999999</v>
      </c>
      <c r="EJ29">
        <v>48.748399999999997</v>
      </c>
      <c r="EK29">
        <v>10.608000000000001</v>
      </c>
      <c r="EL29">
        <v>0.62549999999999994</v>
      </c>
      <c r="EM29">
        <v>2.1352000000000002</v>
      </c>
      <c r="EN29">
        <f t="shared" si="13"/>
        <v>0.14014673578771636</v>
      </c>
      <c r="EO29">
        <v>17.568000000000001</v>
      </c>
      <c r="EP29">
        <v>0.74070000000000003</v>
      </c>
      <c r="EQ29">
        <v>1.5006999999999999</v>
      </c>
      <c r="EU29" s="12">
        <f t="shared" si="14"/>
        <v>140</v>
      </c>
      <c r="EV29" s="12">
        <f t="shared" si="15"/>
        <v>3.8164848192577407E-2</v>
      </c>
      <c r="EW29" s="12">
        <f t="shared" si="16"/>
        <v>0.1635652138967589</v>
      </c>
      <c r="EX29" s="12">
        <f t="shared" si="17"/>
        <v>0.39470934555026421</v>
      </c>
      <c r="EY29" s="12">
        <f t="shared" si="18"/>
        <v>0.18066589306435779</v>
      </c>
      <c r="EZ29" s="12">
        <f t="shared" si="19"/>
        <v>1.2112371686155496</v>
      </c>
      <c r="FA29" s="12">
        <f t="shared" si="20"/>
        <v>0.16603588324555921</v>
      </c>
      <c r="FB29" s="12">
        <f t="shared" si="21"/>
        <v>0.11334856339513223</v>
      </c>
      <c r="FC29" s="12">
        <f t="shared" si="22"/>
        <v>0.28041472629821634</v>
      </c>
      <c r="FD29" s="12">
        <f t="shared" si="23"/>
        <v>0.14014673578771636</v>
      </c>
      <c r="FE29" s="12">
        <f t="shared" si="24"/>
        <v>0.29494946450459136</v>
      </c>
      <c r="FF29" s="12">
        <f t="shared" si="25"/>
        <v>1.4129945546245504</v>
      </c>
      <c r="FG29" s="12">
        <f t="shared" si="26"/>
        <v>3.4542769304961118</v>
      </c>
      <c r="FH29" s="12">
        <f t="shared" si="27"/>
        <v>1.6066812460947961</v>
      </c>
      <c r="FI29" s="12"/>
      <c r="FJ29" s="12">
        <f t="shared" si="29"/>
        <v>1.3956395608319201</v>
      </c>
      <c r="FK29" s="12">
        <f t="shared" si="30"/>
        <v>0.99155610227572266</v>
      </c>
      <c r="FL29" s="12">
        <f t="shared" si="31"/>
        <v>2.418970213513751</v>
      </c>
      <c r="FM29" s="12">
        <f t="shared" si="32"/>
        <v>1.2502108777787542</v>
      </c>
      <c r="FN29" s="12">
        <f t="shared" si="33"/>
        <v>3.0531878554061922E-3</v>
      </c>
      <c r="FO29" s="12">
        <f t="shared" si="34"/>
        <v>1.3085217111740714E-2</v>
      </c>
      <c r="FP29" s="12">
        <f t="shared" si="35"/>
        <v>3.1576747644021137E-2</v>
      </c>
      <c r="FQ29" s="12">
        <f t="shared" si="36"/>
        <v>1.4453271445148623E-2</v>
      </c>
      <c r="FR29" s="12">
        <f t="shared" si="37"/>
        <v>9.6898973489243978E-2</v>
      </c>
      <c r="FS29" s="12">
        <f t="shared" si="38"/>
        <v>1.3282870659644737E-2</v>
      </c>
      <c r="FT29" s="12">
        <f t="shared" si="39"/>
        <v>9.0678850716105798E-3</v>
      </c>
      <c r="FU29" s="12">
        <f t="shared" si="40"/>
        <v>2.243317810385731E-2</v>
      </c>
      <c r="FV29" s="12">
        <f t="shared" si="41"/>
        <v>1.1211738863017309E-2</v>
      </c>
      <c r="FW29" s="12">
        <f t="shared" si="42"/>
        <v>2.3595957160367307E-2</v>
      </c>
      <c r="FX29" s="12">
        <f t="shared" si="43"/>
        <v>0.11303956436996404</v>
      </c>
      <c r="FY29" s="12">
        <f t="shared" si="44"/>
        <v>0.2763421544396889</v>
      </c>
      <c r="FZ29" s="12">
        <f t="shared" si="45"/>
        <v>0.12853449968758368</v>
      </c>
      <c r="GA29" s="12"/>
      <c r="GB29" s="12">
        <f t="shared" si="47"/>
        <v>0.11165116486655359</v>
      </c>
      <c r="GC29" s="12">
        <f t="shared" si="48"/>
        <v>7.9324488182057826E-2</v>
      </c>
      <c r="GD29" s="12">
        <f t="shared" si="49"/>
        <v>0.1935176170811001</v>
      </c>
      <c r="GE29" s="12">
        <f t="shared" si="50"/>
        <v>0.10001687022230032</v>
      </c>
    </row>
    <row r="30" spans="2:187" ht="31">
      <c r="B30">
        <v>15</v>
      </c>
      <c r="C30">
        <f t="shared" si="10"/>
        <v>150</v>
      </c>
      <c r="D30" s="5">
        <v>4.4340000000000002</v>
      </c>
      <c r="E30" s="5">
        <v>3.6524000000000001</v>
      </c>
      <c r="F30" s="5">
        <v>7.0804</v>
      </c>
      <c r="G30" s="5" t="s">
        <v>512</v>
      </c>
      <c r="H30" s="5" t="s">
        <v>525</v>
      </c>
      <c r="I30" s="5" t="s">
        <v>538</v>
      </c>
      <c r="J30" s="192">
        <v>9.4339999999999993</v>
      </c>
      <c r="K30" s="192">
        <v>1.4487000000000001</v>
      </c>
      <c r="L30" s="192">
        <v>5.8464</v>
      </c>
      <c r="M30" s="5">
        <v>10.763999999999999</v>
      </c>
      <c r="N30" s="5">
        <v>0.80520000000000003</v>
      </c>
      <c r="O30" s="5">
        <v>2.7959000000000001</v>
      </c>
      <c r="P30" s="17">
        <f t="shared" si="51"/>
        <v>2.0825044708340866E-2</v>
      </c>
      <c r="Q30" s="5">
        <v>18.081</v>
      </c>
      <c r="R30" s="5">
        <v>0.67730000000000001</v>
      </c>
      <c r="S30" s="5">
        <v>1.333</v>
      </c>
      <c r="T30" s="6">
        <v>4.4279999999999999</v>
      </c>
      <c r="U30" s="6">
        <v>4.7817999999999996</v>
      </c>
      <c r="V30" s="6">
        <v>10.213699999999999</v>
      </c>
      <c r="W30" s="6">
        <v>6.4980000000000002</v>
      </c>
      <c r="X30" s="6">
        <v>0.44750000000000001</v>
      </c>
      <c r="Y30" s="6">
        <v>1.7544</v>
      </c>
      <c r="Z30" s="193">
        <v>9.4309999999999992</v>
      </c>
      <c r="AA30" s="193">
        <v>11.223800000000001</v>
      </c>
      <c r="AB30" s="193">
        <v>47.349699999999999</v>
      </c>
      <c r="AC30" s="6">
        <v>10.757999999999999</v>
      </c>
      <c r="AD30" s="6">
        <v>0.65700000000000003</v>
      </c>
      <c r="AE30" s="6">
        <v>2.577</v>
      </c>
      <c r="AF30" s="19">
        <f t="shared" si="52"/>
        <v>0.11903369702815118</v>
      </c>
      <c r="AG30" s="6">
        <v>18.074000000000002</v>
      </c>
      <c r="AH30" s="6">
        <v>0.52029999999999998</v>
      </c>
      <c r="AI30" s="6">
        <v>1.0257000000000001</v>
      </c>
      <c r="AJ30" s="270">
        <v>4.4139999999999997</v>
      </c>
      <c r="AK30" s="270">
        <v>4.3902999999999999</v>
      </c>
      <c r="AL30" s="270">
        <v>10.6867</v>
      </c>
      <c r="AM30" s="270">
        <v>6.4939999999999998</v>
      </c>
      <c r="AN30" s="270">
        <v>0.78100000000000003</v>
      </c>
      <c r="AO30" s="270">
        <v>2.448</v>
      </c>
      <c r="AP30" s="270">
        <v>9.4380000000000006</v>
      </c>
      <c r="AQ30" s="270">
        <v>28.852499999999999</v>
      </c>
      <c r="AR30" s="270">
        <v>121.5121</v>
      </c>
      <c r="AS30" s="270">
        <v>10.757999999999999</v>
      </c>
      <c r="AT30" s="270">
        <v>0.83279999999999998</v>
      </c>
      <c r="AU30" s="270">
        <v>2.9102000000000001</v>
      </c>
      <c r="AV30" s="16">
        <f t="shared" si="53"/>
        <v>0.2961460405489581</v>
      </c>
      <c r="AW30" s="270">
        <v>18.081</v>
      </c>
      <c r="AX30" s="270">
        <v>0.56830000000000003</v>
      </c>
      <c r="AY30" s="270">
        <v>1.1174999999999999</v>
      </c>
      <c r="AZ30" s="271">
        <v>4.4080000000000004</v>
      </c>
      <c r="BA30" s="271">
        <v>5.4081000000000001</v>
      </c>
      <c r="BB30" s="271">
        <v>13.057399999999999</v>
      </c>
      <c r="BC30" s="271">
        <v>6.4649999999999999</v>
      </c>
      <c r="BD30" s="271">
        <v>0.45179999999999998</v>
      </c>
      <c r="BE30" s="271">
        <v>1.4979</v>
      </c>
      <c r="BF30" s="271">
        <v>9.3650000000000002</v>
      </c>
      <c r="BG30" s="271">
        <v>11.0665</v>
      </c>
      <c r="BH30" s="271">
        <v>47.079099999999997</v>
      </c>
      <c r="BI30" s="271">
        <v>10.675000000000001</v>
      </c>
      <c r="BJ30" s="271">
        <v>0.55900000000000005</v>
      </c>
      <c r="BK30" s="271">
        <v>1.9534</v>
      </c>
      <c r="BL30" s="17">
        <f t="shared" si="54"/>
        <v>0.14067035615460144</v>
      </c>
      <c r="BM30" s="271">
        <v>17.748000000000001</v>
      </c>
      <c r="BN30" s="271">
        <v>0.60019999999999996</v>
      </c>
      <c r="BO30" s="271">
        <v>1.2089000000000001</v>
      </c>
      <c r="BP30" s="7">
        <v>4.3730000000000002</v>
      </c>
      <c r="BQ30" s="7">
        <v>0.1162</v>
      </c>
      <c r="BR30" s="7">
        <v>0.33660000000000001</v>
      </c>
      <c r="BS30" s="7">
        <v>6.4870000000000001</v>
      </c>
      <c r="BT30" s="7">
        <v>1.0834999999999999</v>
      </c>
      <c r="BU30" s="7">
        <v>1.9878</v>
      </c>
      <c r="BV30" s="200">
        <v>9.3740000000000006</v>
      </c>
      <c r="BW30" s="200">
        <v>80.318600000000004</v>
      </c>
      <c r="BX30" s="200">
        <v>323.7577</v>
      </c>
      <c r="BY30" s="7">
        <v>10.664</v>
      </c>
      <c r="BZ30" s="7">
        <v>0.68340000000000001</v>
      </c>
      <c r="CA30" s="7">
        <v>2.3723000000000001</v>
      </c>
      <c r="CB30" s="18">
        <f t="shared" si="55"/>
        <v>0.75882709988395969</v>
      </c>
      <c r="CC30" s="7">
        <v>17.734000000000002</v>
      </c>
      <c r="CD30" s="7">
        <v>0.6038</v>
      </c>
      <c r="CE30" s="7">
        <v>1.2186999999999999</v>
      </c>
      <c r="CF30" s="202">
        <v>4.3609999999999998</v>
      </c>
      <c r="CG30" s="203">
        <v>0.75209999999999999</v>
      </c>
      <c r="CH30" s="203">
        <v>1.7655000000000001</v>
      </c>
      <c r="CI30" s="203">
        <v>6.4870000000000001</v>
      </c>
      <c r="CJ30" s="203">
        <v>0.65249999999999997</v>
      </c>
      <c r="CK30" s="203">
        <v>2.0034000000000001</v>
      </c>
      <c r="CL30" s="203">
        <v>9.3469999999999995</v>
      </c>
      <c r="CM30" s="203">
        <v>7.9768999999999997</v>
      </c>
      <c r="CN30" s="203">
        <v>32.830100000000002</v>
      </c>
      <c r="CO30" s="203">
        <v>10.657</v>
      </c>
      <c r="CP30" s="203">
        <v>0.63109999999999999</v>
      </c>
      <c r="CQ30" s="203">
        <v>2.1593</v>
      </c>
      <c r="CR30" s="18">
        <f t="shared" si="56"/>
        <v>0.11309202892082476</v>
      </c>
      <c r="CS30" s="203">
        <v>17.710999999999999</v>
      </c>
      <c r="CT30" s="203">
        <v>0.69189999999999996</v>
      </c>
      <c r="CU30" s="203">
        <v>1.3977999999999999</v>
      </c>
      <c r="CV30" s="203">
        <v>4.3840000000000003</v>
      </c>
      <c r="CW30" s="203">
        <v>9.0854999999999997</v>
      </c>
      <c r="CX30" s="203">
        <v>27.026199999999999</v>
      </c>
      <c r="CY30" s="203" t="s">
        <v>783</v>
      </c>
      <c r="CZ30" s="203" t="s">
        <v>784</v>
      </c>
      <c r="DA30" s="203" t="s">
        <v>785</v>
      </c>
      <c r="DB30">
        <v>9.3109999999999999</v>
      </c>
      <c r="DC30">
        <v>5.4119000000000002</v>
      </c>
      <c r="DD30">
        <v>19.741800000000001</v>
      </c>
      <c r="DE30">
        <v>10.611000000000001</v>
      </c>
      <c r="DF30">
        <v>0.78649999999999998</v>
      </c>
      <c r="DG30">
        <v>2.7128000000000001</v>
      </c>
      <c r="DH30">
        <f t="shared" si="11"/>
        <v>8.4962657060012298E-2</v>
      </c>
      <c r="DI30">
        <v>17.577999999999999</v>
      </c>
      <c r="DJ30">
        <v>0.80879999999999996</v>
      </c>
      <c r="DK30">
        <v>1.6361000000000001</v>
      </c>
      <c r="DL30">
        <v>4.3810000000000002</v>
      </c>
      <c r="DM30">
        <v>8.1384000000000007</v>
      </c>
      <c r="DN30">
        <v>26.197500000000002</v>
      </c>
      <c r="DO30" t="s">
        <v>817</v>
      </c>
      <c r="DP30" t="s">
        <v>828</v>
      </c>
      <c r="DQ30" t="s">
        <v>829</v>
      </c>
      <c r="DR30">
        <v>9.3179999999999996</v>
      </c>
      <c r="DS30">
        <v>18.8889</v>
      </c>
      <c r="DT30">
        <v>78.786500000000004</v>
      </c>
      <c r="DU30">
        <v>10.614000000000001</v>
      </c>
      <c r="DV30">
        <v>0.63670000000000004</v>
      </c>
      <c r="DW30">
        <v>2.1602999999999999</v>
      </c>
      <c r="DX30">
        <f t="shared" si="12"/>
        <v>0.20337931640453386</v>
      </c>
      <c r="DY30">
        <v>17.577999999999999</v>
      </c>
      <c r="DZ30">
        <v>0.74039999999999995</v>
      </c>
      <c r="EA30">
        <v>1.4974000000000001</v>
      </c>
      <c r="EB30">
        <v>4.3739999999999997</v>
      </c>
      <c r="EC30">
        <v>7.3901000000000003</v>
      </c>
      <c r="ED30">
        <v>23.452200000000001</v>
      </c>
      <c r="EE30" t="s">
        <v>870</v>
      </c>
      <c r="EF30" t="s">
        <v>871</v>
      </c>
      <c r="EG30" t="s">
        <v>872</v>
      </c>
      <c r="EH30">
        <v>9.3070000000000004</v>
      </c>
      <c r="EI30">
        <v>8.2494999999999994</v>
      </c>
      <c r="EJ30">
        <v>34.298400000000001</v>
      </c>
      <c r="EK30">
        <v>10.603999999999999</v>
      </c>
      <c r="EL30">
        <v>0.70720000000000005</v>
      </c>
      <c r="EM30">
        <v>2.4291999999999998</v>
      </c>
      <c r="EN30">
        <f t="shared" si="13"/>
        <v>0.10989543976803444</v>
      </c>
      <c r="EO30">
        <v>17.567</v>
      </c>
      <c r="EP30">
        <v>0.82330000000000003</v>
      </c>
      <c r="EQ30">
        <v>1.6713</v>
      </c>
      <c r="EU30" s="12">
        <f t="shared" si="14"/>
        <v>150</v>
      </c>
      <c r="EV30" s="12">
        <f t="shared" si="15"/>
        <v>2.0825044708340866E-2</v>
      </c>
      <c r="EW30" s="12">
        <f t="shared" si="16"/>
        <v>0.11903369702815118</v>
      </c>
      <c r="EX30" s="12">
        <f t="shared" si="17"/>
        <v>0.2961460405489581</v>
      </c>
      <c r="EY30" s="12">
        <f t="shared" si="18"/>
        <v>0.14067035615460144</v>
      </c>
      <c r="EZ30" s="12">
        <f t="shared" si="19"/>
        <v>0.75882709988395969</v>
      </c>
      <c r="FA30" s="12">
        <f t="shared" si="20"/>
        <v>0.11309202892082476</v>
      </c>
      <c r="FB30" s="12">
        <f t="shared" si="21"/>
        <v>8.4962657060012298E-2</v>
      </c>
      <c r="FC30" s="12">
        <f t="shared" si="22"/>
        <v>0.20337931640453386</v>
      </c>
      <c r="FD30" s="12">
        <f t="shared" si="23"/>
        <v>0.10989543976803444</v>
      </c>
      <c r="FN30" s="12">
        <f t="shared" si="33"/>
        <v>1.6660035766672694E-3</v>
      </c>
      <c r="FO30" s="12">
        <f t="shared" si="34"/>
        <v>9.5226957622520942E-3</v>
      </c>
      <c r="FP30" s="12">
        <f t="shared" si="35"/>
        <v>2.3691683243916649E-2</v>
      </c>
      <c r="FQ30" s="12">
        <f t="shared" si="36"/>
        <v>1.1253628492368115E-2</v>
      </c>
      <c r="FR30" s="12">
        <f t="shared" si="37"/>
        <v>6.0706167990716778E-2</v>
      </c>
      <c r="FS30" s="12">
        <f t="shared" si="38"/>
        <v>9.0473623136659818E-3</v>
      </c>
      <c r="FT30" s="12">
        <f t="shared" si="39"/>
        <v>6.7970125648009836E-3</v>
      </c>
      <c r="FU30" s="12">
        <f t="shared" si="40"/>
        <v>1.6270345312362707E-2</v>
      </c>
      <c r="FV30" s="12">
        <f t="shared" si="41"/>
        <v>8.7916351814427557E-3</v>
      </c>
      <c r="FW30" s="12"/>
    </row>
    <row r="31" spans="2:187">
      <c r="FE31" s="12">
        <f>SUM(FE15:FE29)</f>
        <v>175.25270761749752</v>
      </c>
      <c r="FF31" s="12">
        <f t="shared" ref="FF31:FM31" si="59">SUM(FF15:FF29)</f>
        <v>157.20984286776374</v>
      </c>
      <c r="FG31" s="12">
        <f t="shared" si="59"/>
        <v>149.33890931741917</v>
      </c>
      <c r="FH31" s="12">
        <f t="shared" si="59"/>
        <v>159.46739712576985</v>
      </c>
      <c r="FI31" s="12">
        <f t="shared" si="59"/>
        <v>206.01778987771132</v>
      </c>
      <c r="FJ31" s="12">
        <f t="shared" si="59"/>
        <v>166.03433455324469</v>
      </c>
      <c r="FK31" s="12">
        <f t="shared" si="59"/>
        <v>169.32018276074157</v>
      </c>
      <c r="FL31" s="12">
        <f t="shared" si="59"/>
        <v>165.67039803180742</v>
      </c>
      <c r="FM31" s="12">
        <f t="shared" si="59"/>
        <v>172.82613127141724</v>
      </c>
      <c r="FV31" t="s">
        <v>1020</v>
      </c>
      <c r="FW31" s="12">
        <f>SUM(FW15:FW29)</f>
        <v>14.0202166093998</v>
      </c>
      <c r="FX31" s="12">
        <f t="shared" ref="FX31:GE31" si="60">SUM(FX15:FX29)</f>
        <v>12.576787429421101</v>
      </c>
      <c r="FY31" s="12">
        <f t="shared" si="60"/>
        <v>11.947112745393531</v>
      </c>
      <c r="FZ31" s="12">
        <f t="shared" si="60"/>
        <v>12.75739177006159</v>
      </c>
      <c r="GA31" s="12">
        <f>SUM(GA15:GA28)</f>
        <v>16.481423190216905</v>
      </c>
      <c r="GB31" s="12">
        <f t="shared" si="60"/>
        <v>13.282746764259572</v>
      </c>
      <c r="GC31" s="12">
        <f t="shared" si="60"/>
        <v>13.545614620859329</v>
      </c>
      <c r="GD31" s="12">
        <f t="shared" si="60"/>
        <v>13.253631842544593</v>
      </c>
      <c r="GE31" s="12">
        <f t="shared" si="60"/>
        <v>13.826090501713381</v>
      </c>
    </row>
    <row r="32" spans="2:187" ht="16" customHeight="1">
      <c r="D32" s="677" t="s">
        <v>297</v>
      </c>
      <c r="E32" s="677"/>
      <c r="F32" s="677"/>
      <c r="G32" s="677"/>
      <c r="H32" s="677"/>
      <c r="I32" s="677"/>
      <c r="J32" s="677"/>
      <c r="K32" s="677"/>
      <c r="L32" s="677"/>
      <c r="M32" s="677"/>
      <c r="N32" s="677"/>
      <c r="O32" s="677"/>
      <c r="P32" s="677"/>
      <c r="Q32" s="677"/>
      <c r="R32" s="677"/>
      <c r="S32" s="677"/>
      <c r="T32" s="675" t="s">
        <v>116</v>
      </c>
      <c r="U32" s="675"/>
      <c r="V32" s="675"/>
      <c r="W32" s="675"/>
      <c r="X32" s="675"/>
      <c r="Y32" s="675"/>
      <c r="Z32" s="675"/>
      <c r="AA32" s="675"/>
      <c r="AB32" s="675"/>
      <c r="AC32" s="675"/>
      <c r="AD32" s="675"/>
      <c r="AE32" s="675"/>
      <c r="AF32" s="675"/>
      <c r="AG32" s="675"/>
      <c r="AH32" s="675"/>
      <c r="AI32" s="675"/>
      <c r="AJ32" s="676" t="s">
        <v>117</v>
      </c>
      <c r="AK32" s="676"/>
      <c r="AL32" s="676"/>
      <c r="AM32" s="676"/>
      <c r="AN32" s="676"/>
      <c r="AO32" s="676"/>
      <c r="AP32" s="676"/>
      <c r="AQ32" s="676"/>
      <c r="AR32" s="676"/>
      <c r="AS32" s="676"/>
      <c r="AT32" s="676"/>
      <c r="AU32" s="676"/>
      <c r="AV32" s="676"/>
      <c r="AW32" s="676"/>
      <c r="AX32" s="676"/>
      <c r="AY32" s="676"/>
      <c r="AZ32" s="678" t="s">
        <v>118</v>
      </c>
      <c r="BA32" s="678"/>
      <c r="BB32" s="678"/>
      <c r="BC32" s="678"/>
      <c r="BD32" s="678"/>
      <c r="BE32" s="678"/>
      <c r="BF32" s="678"/>
      <c r="BG32" s="678"/>
      <c r="BH32" s="678"/>
      <c r="BI32" s="678"/>
      <c r="BJ32" s="678"/>
      <c r="BK32" s="678"/>
      <c r="BL32" s="678"/>
      <c r="BM32" s="678"/>
      <c r="BN32" s="678"/>
      <c r="BO32" s="678"/>
      <c r="EZ32" s="9" t="s">
        <v>1016</v>
      </c>
      <c r="FD32" t="s">
        <v>1017</v>
      </c>
      <c r="FH32" t="s">
        <v>1018</v>
      </c>
      <c r="FV32" t="s">
        <v>1019</v>
      </c>
      <c r="FW32">
        <v>3.15</v>
      </c>
      <c r="FX32">
        <v>2.65</v>
      </c>
      <c r="FY32">
        <v>2.56</v>
      </c>
      <c r="FZ32">
        <v>2.7</v>
      </c>
      <c r="GA32">
        <v>2.73</v>
      </c>
      <c r="GB32">
        <v>3.15</v>
      </c>
      <c r="GC32">
        <v>2.81</v>
      </c>
      <c r="GD32">
        <v>2.84</v>
      </c>
      <c r="GE32">
        <v>2.87</v>
      </c>
    </row>
    <row r="33" spans="1:187" ht="31">
      <c r="B33" s="10" t="s">
        <v>1085</v>
      </c>
      <c r="C33" s="10" t="s">
        <v>1188</v>
      </c>
      <c r="D33" s="268" t="s">
        <v>2</v>
      </c>
      <c r="E33" s="268" t="s">
        <v>4</v>
      </c>
      <c r="F33" s="268" t="s">
        <v>3</v>
      </c>
      <c r="G33" s="268" t="s">
        <v>2</v>
      </c>
      <c r="H33" s="268" t="s">
        <v>4</v>
      </c>
      <c r="I33" s="268" t="s">
        <v>3</v>
      </c>
      <c r="J33" s="151" t="s">
        <v>2</v>
      </c>
      <c r="K33" s="151" t="s">
        <v>4</v>
      </c>
      <c r="L33" s="151" t="s">
        <v>3</v>
      </c>
      <c r="M33" s="268" t="s">
        <v>2</v>
      </c>
      <c r="N33" s="268" t="s">
        <v>4</v>
      </c>
      <c r="O33" s="268" t="s">
        <v>3</v>
      </c>
      <c r="P33" s="151" t="s">
        <v>85</v>
      </c>
      <c r="Q33" s="268" t="s">
        <v>2</v>
      </c>
      <c r="R33" s="268" t="s">
        <v>4</v>
      </c>
      <c r="S33" s="268" t="s">
        <v>3</v>
      </c>
      <c r="T33" s="269" t="s">
        <v>2</v>
      </c>
      <c r="U33" s="269" t="s">
        <v>4</v>
      </c>
      <c r="V33" s="269" t="s">
        <v>3</v>
      </c>
      <c r="W33" s="269" t="s">
        <v>2</v>
      </c>
      <c r="X33" s="269" t="s">
        <v>4</v>
      </c>
      <c r="Y33" s="269" t="s">
        <v>3</v>
      </c>
      <c r="Z33" s="151" t="s">
        <v>2</v>
      </c>
      <c r="AA33" s="151" t="s">
        <v>4</v>
      </c>
      <c r="AB33" s="151" t="s">
        <v>3</v>
      </c>
      <c r="AC33" s="269" t="s">
        <v>2</v>
      </c>
      <c r="AD33" s="269" t="s">
        <v>4</v>
      </c>
      <c r="AE33" s="269" t="s">
        <v>3</v>
      </c>
      <c r="AF33" s="151" t="s">
        <v>85</v>
      </c>
      <c r="AG33" s="269" t="s">
        <v>2</v>
      </c>
      <c r="AH33" s="269" t="s">
        <v>4</v>
      </c>
      <c r="AI33" s="269" t="s">
        <v>3</v>
      </c>
      <c r="AJ33" s="270" t="s">
        <v>2</v>
      </c>
      <c r="AK33" s="270" t="s">
        <v>4</v>
      </c>
      <c r="AL33" s="270" t="s">
        <v>3</v>
      </c>
      <c r="AM33" s="270" t="s">
        <v>2</v>
      </c>
      <c r="AN33" s="270" t="s">
        <v>4</v>
      </c>
      <c r="AO33" s="270" t="s">
        <v>3</v>
      </c>
      <c r="AP33" s="151" t="s">
        <v>2</v>
      </c>
      <c r="AQ33" s="151" t="s">
        <v>4</v>
      </c>
      <c r="AR33" s="151" t="s">
        <v>3</v>
      </c>
      <c r="AS33" s="270" t="s">
        <v>2</v>
      </c>
      <c r="AT33" s="270" t="s">
        <v>4</v>
      </c>
      <c r="AU33" s="270" t="s">
        <v>3</v>
      </c>
      <c r="AV33" s="151" t="s">
        <v>85</v>
      </c>
      <c r="AW33" s="270" t="s">
        <v>2</v>
      </c>
      <c r="AX33" s="270" t="s">
        <v>4</v>
      </c>
      <c r="AY33" s="270" t="s">
        <v>3</v>
      </c>
      <c r="AZ33" s="271" t="s">
        <v>2</v>
      </c>
      <c r="BA33" s="271" t="s">
        <v>4</v>
      </c>
      <c r="BB33" s="271" t="s">
        <v>3</v>
      </c>
      <c r="BC33" s="271" t="s">
        <v>2</v>
      </c>
      <c r="BD33" s="271" t="s">
        <v>4</v>
      </c>
      <c r="BE33" s="271" t="s">
        <v>3</v>
      </c>
      <c r="BF33" s="151" t="s">
        <v>2</v>
      </c>
      <c r="BG33" s="151" t="s">
        <v>4</v>
      </c>
      <c r="BH33" s="151" t="s">
        <v>3</v>
      </c>
      <c r="BI33" s="271" t="s">
        <v>2</v>
      </c>
      <c r="BJ33" s="271" t="s">
        <v>4</v>
      </c>
      <c r="BK33" s="271" t="s">
        <v>3</v>
      </c>
      <c r="BL33" s="151" t="s">
        <v>85</v>
      </c>
      <c r="BM33" s="271" t="s">
        <v>2</v>
      </c>
      <c r="BN33" s="271" t="s">
        <v>4</v>
      </c>
      <c r="BO33" s="271" t="s">
        <v>3</v>
      </c>
      <c r="EU33" t="s">
        <v>1</v>
      </c>
      <c r="EV33" t="s">
        <v>171</v>
      </c>
      <c r="EW33" s="9" t="s">
        <v>172</v>
      </c>
      <c r="EX33" s="9" t="s">
        <v>173</v>
      </c>
      <c r="EY33" s="9" t="s">
        <v>174</v>
      </c>
      <c r="EZ33" t="s">
        <v>171</v>
      </c>
      <c r="FA33" s="9" t="s">
        <v>172</v>
      </c>
      <c r="FB33" s="9" t="s">
        <v>173</v>
      </c>
      <c r="FC33" s="9" t="s">
        <v>174</v>
      </c>
      <c r="FD33" t="s">
        <v>171</v>
      </c>
      <c r="FE33" s="9" t="s">
        <v>172</v>
      </c>
      <c r="FF33" s="9" t="s">
        <v>173</v>
      </c>
      <c r="FG33" s="9" t="s">
        <v>174</v>
      </c>
      <c r="FH33" t="s">
        <v>171</v>
      </c>
      <c r="FI33" s="9" t="s">
        <v>172</v>
      </c>
      <c r="FJ33" s="9" t="s">
        <v>173</v>
      </c>
      <c r="FK33" s="9" t="s">
        <v>174</v>
      </c>
      <c r="FV33" t="s">
        <v>1021</v>
      </c>
      <c r="FW33" s="305">
        <f>FW31*FW32</f>
        <v>44.163682319609364</v>
      </c>
      <c r="FX33" s="305">
        <f t="shared" ref="FX33:GE33" si="61">FX31*FX32</f>
        <v>33.328486687965913</v>
      </c>
      <c r="FY33" s="305">
        <f t="shared" si="61"/>
        <v>30.584608628207437</v>
      </c>
      <c r="FZ33" s="305">
        <f t="shared" si="61"/>
        <v>34.444957779166295</v>
      </c>
      <c r="GA33" s="305">
        <f t="shared" si="61"/>
        <v>44.994285309292152</v>
      </c>
      <c r="GB33" s="305">
        <f t="shared" si="61"/>
        <v>41.840652307417649</v>
      </c>
      <c r="GC33" s="305">
        <f t="shared" si="61"/>
        <v>38.063177084614715</v>
      </c>
      <c r="GD33" s="305">
        <f t="shared" si="61"/>
        <v>37.640314432826642</v>
      </c>
      <c r="GE33" s="305">
        <f t="shared" si="61"/>
        <v>39.680879739917401</v>
      </c>
    </row>
    <row r="34" spans="1:187" ht="31">
      <c r="A34" t="s">
        <v>1071</v>
      </c>
      <c r="B34">
        <v>0</v>
      </c>
      <c r="C34">
        <f>B34*10</f>
        <v>0</v>
      </c>
      <c r="D34" s="268">
        <v>4.4409999999999998</v>
      </c>
      <c r="E34" s="268">
        <v>7.6483999999999996</v>
      </c>
      <c r="F34" s="268">
        <v>16.1555</v>
      </c>
      <c r="G34" s="268" t="s">
        <v>1086</v>
      </c>
      <c r="H34" s="268" t="s">
        <v>1087</v>
      </c>
      <c r="I34" s="268" t="s">
        <v>1088</v>
      </c>
      <c r="J34" s="268">
        <v>0</v>
      </c>
      <c r="K34" s="268">
        <v>0</v>
      </c>
      <c r="L34" s="268">
        <v>0</v>
      </c>
      <c r="M34" s="268">
        <v>10.337999999999999</v>
      </c>
      <c r="N34" s="268">
        <v>1.3911</v>
      </c>
      <c r="O34" s="268">
        <v>5.0075000000000003</v>
      </c>
      <c r="P34" s="23">
        <v>0</v>
      </c>
      <c r="Q34" s="268" t="s">
        <v>1089</v>
      </c>
      <c r="R34" s="268" t="s">
        <v>1090</v>
      </c>
      <c r="S34" s="268" t="s">
        <v>1091</v>
      </c>
      <c r="T34" s="6">
        <v>4.3849999999999998</v>
      </c>
      <c r="U34" s="6">
        <v>9.1137999999999995</v>
      </c>
      <c r="V34" s="6">
        <v>23.502099999999999</v>
      </c>
      <c r="W34" s="6">
        <v>6.4109999999999996</v>
      </c>
      <c r="X34" s="6">
        <v>33.977800000000002</v>
      </c>
      <c r="Y34" s="6">
        <v>167.6978</v>
      </c>
      <c r="Z34" s="193">
        <v>0</v>
      </c>
      <c r="AA34" s="193">
        <v>0</v>
      </c>
      <c r="AB34" s="193">
        <v>0</v>
      </c>
      <c r="AC34" s="6">
        <v>10.335000000000001</v>
      </c>
      <c r="AD34" s="6">
        <v>3.7059000000000002</v>
      </c>
      <c r="AE34" s="6">
        <v>13.5603</v>
      </c>
      <c r="AF34" s="19">
        <v>0</v>
      </c>
      <c r="AG34" s="6">
        <v>16.901</v>
      </c>
      <c r="AH34" s="6">
        <v>16.664100000000001</v>
      </c>
      <c r="AI34" s="6">
        <v>36.9465</v>
      </c>
      <c r="AJ34" s="270">
        <v>4.3979999999999997</v>
      </c>
      <c r="AK34" s="270">
        <v>7.8818000000000001</v>
      </c>
      <c r="AL34" s="270">
        <v>16.125399999999999</v>
      </c>
      <c r="AM34" s="270">
        <v>6.4240000000000004</v>
      </c>
      <c r="AN34" s="270" t="s">
        <v>1190</v>
      </c>
      <c r="AO34" s="270" t="s">
        <v>1191</v>
      </c>
      <c r="AP34" s="270">
        <v>0</v>
      </c>
      <c r="AQ34" s="270">
        <v>0</v>
      </c>
      <c r="AR34" s="270">
        <v>0</v>
      </c>
      <c r="AS34" s="270">
        <v>10.301</v>
      </c>
      <c r="AT34" s="270">
        <v>3.5373000000000001</v>
      </c>
      <c r="AU34" s="270">
        <v>13.0497</v>
      </c>
      <c r="AV34" s="270">
        <v>0</v>
      </c>
      <c r="AW34" s="270">
        <v>16.831</v>
      </c>
      <c r="AX34" s="270">
        <v>17.156500000000001</v>
      </c>
      <c r="AY34" s="270">
        <v>38.243600000000001</v>
      </c>
      <c r="AZ34" s="271">
        <v>4.3810000000000002</v>
      </c>
      <c r="BA34" s="271">
        <v>8.3453999999999997</v>
      </c>
      <c r="BB34" s="271">
        <v>21.500800000000002</v>
      </c>
      <c r="BC34" s="271" t="s">
        <v>1230</v>
      </c>
      <c r="BD34" s="271" t="s">
        <v>1231</v>
      </c>
      <c r="BE34" s="271" t="s">
        <v>1232</v>
      </c>
      <c r="BF34" s="271">
        <v>0</v>
      </c>
      <c r="BG34" s="271">
        <v>0</v>
      </c>
      <c r="BH34" s="271">
        <v>0</v>
      </c>
      <c r="BI34" s="271">
        <v>10.311</v>
      </c>
      <c r="BJ34" s="271">
        <v>3.1568000000000001</v>
      </c>
      <c r="BK34" s="271">
        <v>11.537000000000001</v>
      </c>
      <c r="BL34" s="275">
        <v>0</v>
      </c>
      <c r="BM34" s="271">
        <v>16.858000000000001</v>
      </c>
      <c r="BN34" s="271">
        <v>14.2745</v>
      </c>
      <c r="BO34" s="271">
        <v>31.785299999999999</v>
      </c>
      <c r="EU34" s="12">
        <f>C34</f>
        <v>0</v>
      </c>
      <c r="EV34" s="12">
        <f>P34</f>
        <v>0</v>
      </c>
      <c r="EW34" s="12">
        <f>AF34</f>
        <v>0</v>
      </c>
      <c r="EX34" s="12">
        <f>AV34</f>
        <v>0</v>
      </c>
      <c r="EY34" s="12">
        <f>BL34</f>
        <v>0</v>
      </c>
      <c r="EZ34" s="12">
        <f>((EV35+EV34)/2)*($EU35-$EU34)</f>
        <v>0</v>
      </c>
      <c r="FA34" s="12">
        <f t="shared" ref="FA34:FC34" si="62">((EW35+EW34)/2)*($EU35-$EU34)</f>
        <v>0</v>
      </c>
      <c r="FB34" s="12">
        <f t="shared" si="62"/>
        <v>0</v>
      </c>
      <c r="FC34" s="12">
        <f t="shared" si="62"/>
        <v>2.7665918653576438</v>
      </c>
      <c r="FD34" s="12">
        <f>(EV34*80)/1000</f>
        <v>0</v>
      </c>
      <c r="FE34" s="12">
        <f t="shared" ref="FE34:FG34" si="63">(EW34*80)/1000</f>
        <v>0</v>
      </c>
      <c r="FF34" s="12">
        <f t="shared" si="63"/>
        <v>0</v>
      </c>
      <c r="FG34" s="12">
        <f t="shared" si="63"/>
        <v>0</v>
      </c>
      <c r="FH34" s="12">
        <f>((FD35+FD34)/2)*($EU35-$EU34)</f>
        <v>0</v>
      </c>
      <c r="FI34" s="12">
        <f t="shared" ref="FI34:FK34" si="64">((FE35+FE34)/2)*($EU35-$EU34)</f>
        <v>0</v>
      </c>
      <c r="FJ34" s="12">
        <f t="shared" si="64"/>
        <v>0</v>
      </c>
      <c r="FK34" s="12">
        <f t="shared" si="64"/>
        <v>0.2213273492286115</v>
      </c>
      <c r="FV34" t="s">
        <v>1314</v>
      </c>
      <c r="FW34">
        <v>48</v>
      </c>
      <c r="FX34">
        <v>37.6</v>
      </c>
      <c r="FY34">
        <v>35.200000000000003</v>
      </c>
      <c r="FZ34">
        <v>39.200000000000003</v>
      </c>
      <c r="GA34">
        <v>35.200000000000003</v>
      </c>
      <c r="GB34">
        <v>40</v>
      </c>
      <c r="GC34">
        <v>40.799999999999997</v>
      </c>
      <c r="GD34">
        <v>39.200000000000003</v>
      </c>
      <c r="GE34">
        <v>41.6</v>
      </c>
    </row>
    <row r="35" spans="1:187" ht="31">
      <c r="A35" t="s">
        <v>1072</v>
      </c>
      <c r="B35">
        <v>1</v>
      </c>
      <c r="C35">
        <f t="shared" ref="C35:C49" si="65">B35*10</f>
        <v>10</v>
      </c>
      <c r="D35" s="268">
        <v>4.431</v>
      </c>
      <c r="E35" s="268">
        <v>5.5460000000000003</v>
      </c>
      <c r="F35" s="268">
        <v>12.204800000000001</v>
      </c>
      <c r="G35" s="268" t="s">
        <v>1092</v>
      </c>
      <c r="H35" s="268" t="s">
        <v>1093</v>
      </c>
      <c r="I35" s="268" t="s">
        <v>1094</v>
      </c>
      <c r="J35" s="268">
        <v>0</v>
      </c>
      <c r="K35" s="268">
        <v>0</v>
      </c>
      <c r="L35" s="268">
        <v>0</v>
      </c>
      <c r="M35" s="268">
        <v>10.340999999999999</v>
      </c>
      <c r="N35" s="268">
        <v>2.1095999999999999</v>
      </c>
      <c r="O35" s="268">
        <v>7.6264000000000003</v>
      </c>
      <c r="P35" s="23">
        <v>0</v>
      </c>
      <c r="Q35" s="268" t="s">
        <v>1095</v>
      </c>
      <c r="R35" s="268" t="s">
        <v>1096</v>
      </c>
      <c r="S35" s="268" t="s">
        <v>1097</v>
      </c>
      <c r="T35" s="6">
        <v>4.3810000000000002</v>
      </c>
      <c r="U35" s="6">
        <v>8.2423999999999999</v>
      </c>
      <c r="V35" s="6">
        <v>20.264199999999999</v>
      </c>
      <c r="W35" s="6">
        <v>6.3840000000000003</v>
      </c>
      <c r="X35" s="6">
        <v>17.057400000000001</v>
      </c>
      <c r="Y35" s="6">
        <v>87.180599999999998</v>
      </c>
      <c r="Z35" s="193">
        <v>0</v>
      </c>
      <c r="AA35" s="193">
        <v>0</v>
      </c>
      <c r="AB35" s="193">
        <v>0</v>
      </c>
      <c r="AC35" s="6">
        <v>10.334</v>
      </c>
      <c r="AD35" s="6">
        <v>3.7250000000000001</v>
      </c>
      <c r="AE35" s="6">
        <v>13.633900000000001</v>
      </c>
      <c r="AF35" s="19">
        <v>0</v>
      </c>
      <c r="AG35" s="6" t="s">
        <v>1171</v>
      </c>
      <c r="AH35" s="6" t="s">
        <v>1172</v>
      </c>
      <c r="AI35" s="6" t="s">
        <v>1173</v>
      </c>
      <c r="AJ35" s="270">
        <v>4.3940000000000001</v>
      </c>
      <c r="AK35" s="270">
        <v>6.7167000000000003</v>
      </c>
      <c r="AL35" s="270">
        <v>14.916399999999999</v>
      </c>
      <c r="AM35" s="270" t="s">
        <v>1189</v>
      </c>
      <c r="AN35" s="270">
        <v>29.691800000000001</v>
      </c>
      <c r="AO35" s="270">
        <v>147.7064</v>
      </c>
      <c r="AP35" s="270">
        <v>0</v>
      </c>
      <c r="AQ35" s="270">
        <v>0</v>
      </c>
      <c r="AR35" s="270">
        <v>0</v>
      </c>
      <c r="AS35" s="270">
        <v>10.301</v>
      </c>
      <c r="AT35" s="270">
        <v>3.6103000000000001</v>
      </c>
      <c r="AU35" s="270">
        <v>13.321099999999999</v>
      </c>
      <c r="AV35" s="275">
        <v>0</v>
      </c>
      <c r="AW35" s="270">
        <v>16.847999999999999</v>
      </c>
      <c r="AX35" s="270">
        <v>13.1492</v>
      </c>
      <c r="AY35" s="270">
        <v>29.1465</v>
      </c>
      <c r="AZ35" s="271">
        <v>4.3710000000000004</v>
      </c>
      <c r="BA35" s="271">
        <v>6.2682000000000002</v>
      </c>
      <c r="BB35" s="271">
        <v>16.063600000000001</v>
      </c>
      <c r="BC35" s="271" t="s">
        <v>1233</v>
      </c>
      <c r="BD35" s="271" t="s">
        <v>1234</v>
      </c>
      <c r="BE35" s="271" t="s">
        <v>1235</v>
      </c>
      <c r="BF35" s="271">
        <v>9.0980000000000008</v>
      </c>
      <c r="BG35" s="271">
        <v>54.723100000000002</v>
      </c>
      <c r="BH35" s="271">
        <v>232.9442</v>
      </c>
      <c r="BI35" s="271">
        <v>10.308</v>
      </c>
      <c r="BJ35" s="271">
        <v>3.9016000000000002</v>
      </c>
      <c r="BK35" s="271">
        <v>13.3429</v>
      </c>
      <c r="BL35" s="275">
        <f t="shared" ref="BL35:BL49" si="66">(BG35+4.4543)/106.95</f>
        <v>0.55331837307152876</v>
      </c>
      <c r="BM35" s="271">
        <v>16.878</v>
      </c>
      <c r="BN35" s="271">
        <v>9.5867000000000004</v>
      </c>
      <c r="BO35" s="271">
        <v>21.1753</v>
      </c>
      <c r="EU35" s="12">
        <f t="shared" ref="EU35:EU49" si="67">C35</f>
        <v>10</v>
      </c>
      <c r="EV35" s="12">
        <f t="shared" ref="EV35:EV49" si="68">P35</f>
        <v>0</v>
      </c>
      <c r="EW35" s="12">
        <f t="shared" ref="EW35:EW49" si="69">AF35</f>
        <v>0</v>
      </c>
      <c r="EX35" s="12">
        <f t="shared" ref="EX35:EX49" si="70">AV35</f>
        <v>0</v>
      </c>
      <c r="EY35" s="12">
        <f t="shared" ref="EY35:EY49" si="71">BL35</f>
        <v>0.55331837307152876</v>
      </c>
      <c r="EZ35" s="12">
        <f t="shared" ref="EZ35:EZ48" si="72">((EV36+EV35)/2)*($EU36-$EU35)</f>
        <v>0</v>
      </c>
      <c r="FA35" s="12">
        <f t="shared" ref="FA35:FA48" si="73">((EW36+EW35)/2)*($EU36-$EU35)</f>
        <v>0</v>
      </c>
      <c r="FB35" s="12">
        <f t="shared" ref="FB35:FB48" si="74">((EX36+EX35)/2)*($EU36-$EU35)</f>
        <v>0.21312295465170639</v>
      </c>
      <c r="FC35" s="12">
        <f t="shared" ref="FC35:FC48" si="75">((EY36+EY35)/2)*($EU36-$EU35)</f>
        <v>12.144296400187002</v>
      </c>
      <c r="FD35" s="12">
        <f t="shared" ref="FD35:FD49" si="76">(EV35*80)/1000</f>
        <v>0</v>
      </c>
      <c r="FE35" s="12">
        <f t="shared" ref="FE35:FE49" si="77">(EW35*80)/1000</f>
        <v>0</v>
      </c>
      <c r="FF35" s="12">
        <f t="shared" ref="FF35:FF49" si="78">(EX35*80)/1000</f>
        <v>0</v>
      </c>
      <c r="FG35" s="12">
        <f t="shared" ref="FG35:FG49" si="79">(EY35*80)/1000</f>
        <v>4.4265469845722299E-2</v>
      </c>
      <c r="FH35" s="12">
        <f t="shared" ref="FH35:FH48" si="80">((FD36+FD35)/2)*($EU36-$EU35)</f>
        <v>0</v>
      </c>
      <c r="FI35" s="12">
        <f t="shared" ref="FI35:FI48" si="81">((FE36+FE35)/2)*($EU36-$EU35)</f>
        <v>0</v>
      </c>
      <c r="FJ35" s="12">
        <f t="shared" ref="FJ35:FJ48" si="82">((FF36+FF35)/2)*($EU36-$EU35)</f>
        <v>1.7049836372136511E-2</v>
      </c>
      <c r="FK35" s="12">
        <f t="shared" ref="FK35:FK48" si="83">((FG36+FG35)/2)*($EU36-$EU35)</f>
        <v>0.97154371201496015</v>
      </c>
      <c r="FV35" t="s">
        <v>1315</v>
      </c>
      <c r="FW35" s="12">
        <f>FW33/FW34</f>
        <v>0.92007671499186172</v>
      </c>
      <c r="FX35" s="12">
        <f t="shared" ref="FX35:GE35" si="84">FX33/FX34</f>
        <v>0.88639592255228494</v>
      </c>
      <c r="FY35" s="12">
        <f t="shared" si="84"/>
        <v>0.86888092693771124</v>
      </c>
      <c r="FZ35" s="12">
        <f t="shared" si="84"/>
        <v>0.87869790252975233</v>
      </c>
      <c r="GA35" s="12">
        <f t="shared" si="84"/>
        <v>1.2782467417412542</v>
      </c>
      <c r="GB35" s="12">
        <f t="shared" si="84"/>
        <v>1.0460163076854412</v>
      </c>
      <c r="GC35" s="12">
        <f t="shared" si="84"/>
        <v>0.9329210069758509</v>
      </c>
      <c r="GD35" s="12">
        <f t="shared" si="84"/>
        <v>0.96021210287823056</v>
      </c>
      <c r="GE35" s="12">
        <f t="shared" si="84"/>
        <v>0.95386730144032206</v>
      </c>
    </row>
    <row r="36" spans="1:187" ht="31">
      <c r="B36">
        <v>2</v>
      </c>
      <c r="C36">
        <f t="shared" si="65"/>
        <v>20</v>
      </c>
      <c r="D36" s="268">
        <v>4.4210000000000003</v>
      </c>
      <c r="E36" s="268">
        <v>4.0458999999999996</v>
      </c>
      <c r="F36" s="268">
        <v>8.9695999999999998</v>
      </c>
      <c r="G36" s="268" t="s">
        <v>1098</v>
      </c>
      <c r="H36" s="268" t="s">
        <v>1099</v>
      </c>
      <c r="I36" s="268" t="s">
        <v>1100</v>
      </c>
      <c r="J36" s="268">
        <v>0</v>
      </c>
      <c r="K36" s="268">
        <v>0</v>
      </c>
      <c r="L36" s="268">
        <v>0</v>
      </c>
      <c r="M36" s="268">
        <v>10.340999999999999</v>
      </c>
      <c r="N36" s="268">
        <v>2.7210999999999999</v>
      </c>
      <c r="O36" s="268">
        <v>9.8894000000000002</v>
      </c>
      <c r="P36" s="23">
        <v>0</v>
      </c>
      <c r="Q36" s="268" t="s">
        <v>1101</v>
      </c>
      <c r="R36" s="268" t="s">
        <v>1102</v>
      </c>
      <c r="S36" s="268" t="s">
        <v>1103</v>
      </c>
      <c r="T36" s="6">
        <v>4.3780000000000001</v>
      </c>
      <c r="U36" s="6">
        <v>7.1158999999999999</v>
      </c>
      <c r="V36" s="6">
        <v>17.459499999999998</v>
      </c>
      <c r="W36" s="6">
        <v>6.3739999999999997</v>
      </c>
      <c r="X36" s="6">
        <v>10.642300000000001</v>
      </c>
      <c r="Y36" s="6">
        <v>54.064300000000003</v>
      </c>
      <c r="Z36" s="193">
        <v>0</v>
      </c>
      <c r="AA36" s="193">
        <v>0</v>
      </c>
      <c r="AB36" s="193">
        <v>0</v>
      </c>
      <c r="AC36" s="6">
        <v>10.334</v>
      </c>
      <c r="AD36" s="6">
        <v>3.9413</v>
      </c>
      <c r="AE36" s="6">
        <v>14.507199999999999</v>
      </c>
      <c r="AF36" s="19">
        <v>0</v>
      </c>
      <c r="AG36" s="6">
        <v>16.931000000000001</v>
      </c>
      <c r="AH36" s="6">
        <v>11.5723</v>
      </c>
      <c r="AI36" s="6">
        <v>25.4496</v>
      </c>
      <c r="AJ36" s="270">
        <v>4.391</v>
      </c>
      <c r="AK36" s="270">
        <v>6.492</v>
      </c>
      <c r="AL36" s="270">
        <v>13.394299999999999</v>
      </c>
      <c r="AM36" s="270" t="s">
        <v>1189</v>
      </c>
      <c r="AN36" s="270" t="s">
        <v>1192</v>
      </c>
      <c r="AO36" s="270" t="s">
        <v>1193</v>
      </c>
      <c r="AP36" s="270">
        <v>9.0779999999999994</v>
      </c>
      <c r="AQ36" s="270">
        <v>0.10440000000000001</v>
      </c>
      <c r="AR36" s="270">
        <v>0.4299</v>
      </c>
      <c r="AS36" s="270">
        <v>10.301</v>
      </c>
      <c r="AT36" s="270">
        <v>3.6945000000000001</v>
      </c>
      <c r="AU36" s="270">
        <v>13.6843</v>
      </c>
      <c r="AV36" s="275">
        <f t="shared" ref="AV36:AV49" si="85">(AQ36+4.4543)/106.95</f>
        <v>4.262459093034128E-2</v>
      </c>
      <c r="AW36" s="270">
        <v>16.855</v>
      </c>
      <c r="AX36" s="270">
        <v>12.384600000000001</v>
      </c>
      <c r="AY36" s="270">
        <v>27.511500000000002</v>
      </c>
      <c r="AZ36" s="271">
        <v>4.3609999999999998</v>
      </c>
      <c r="BA36" s="271">
        <v>5.024</v>
      </c>
      <c r="BB36" s="271">
        <v>11.694599999999999</v>
      </c>
      <c r="BC36" s="271" t="s">
        <v>1236</v>
      </c>
      <c r="BD36" s="271" t="s">
        <v>1237</v>
      </c>
      <c r="BE36" s="271" t="s">
        <v>1238</v>
      </c>
      <c r="BF36" s="271">
        <v>9.1509999999999998</v>
      </c>
      <c r="BG36" s="271">
        <v>196.13480000000001</v>
      </c>
      <c r="BH36" s="271">
        <v>769.51739999999995</v>
      </c>
      <c r="BI36" s="271">
        <v>10.311</v>
      </c>
      <c r="BJ36" s="271">
        <v>3.5442</v>
      </c>
      <c r="BK36" s="271">
        <v>11.9064</v>
      </c>
      <c r="BL36" s="275">
        <f t="shared" si="66"/>
        <v>1.8755409069658719</v>
      </c>
      <c r="BM36" s="271">
        <v>16.895</v>
      </c>
      <c r="BN36" s="271">
        <v>7.4147999999999996</v>
      </c>
      <c r="BO36" s="271">
        <v>16.236599999999999</v>
      </c>
      <c r="EU36" s="12">
        <f t="shared" si="67"/>
        <v>20</v>
      </c>
      <c r="EV36" s="12">
        <f t="shared" si="68"/>
        <v>0</v>
      </c>
      <c r="EW36" s="12">
        <f t="shared" si="69"/>
        <v>0</v>
      </c>
      <c r="EX36" s="12">
        <f t="shared" si="70"/>
        <v>4.262459093034128E-2</v>
      </c>
      <c r="EY36" s="12">
        <f t="shared" si="71"/>
        <v>1.8755409069658719</v>
      </c>
      <c r="EZ36" s="12">
        <f t="shared" si="72"/>
        <v>0</v>
      </c>
      <c r="FA36" s="12">
        <f t="shared" si="73"/>
        <v>0.29124582432697976</v>
      </c>
      <c r="FB36" s="12">
        <f t="shared" si="74"/>
        <v>0.95387564282374937</v>
      </c>
      <c r="FC36" s="12">
        <f t="shared" si="75"/>
        <v>27.115876577840112</v>
      </c>
      <c r="FD36" s="12">
        <f t="shared" si="76"/>
        <v>0</v>
      </c>
      <c r="FE36" s="12">
        <f t="shared" si="77"/>
        <v>0</v>
      </c>
      <c r="FF36" s="12">
        <f t="shared" si="78"/>
        <v>3.4099672744273024E-3</v>
      </c>
      <c r="FG36" s="12">
        <f t="shared" si="79"/>
        <v>0.15004327255726974</v>
      </c>
      <c r="FH36" s="12">
        <f t="shared" si="80"/>
        <v>0</v>
      </c>
      <c r="FI36" s="12">
        <f t="shared" si="81"/>
        <v>2.3299665946158381E-2</v>
      </c>
      <c r="FJ36" s="12">
        <f t="shared" si="82"/>
        <v>7.6310051425899944E-2</v>
      </c>
      <c r="FK36" s="12">
        <f t="shared" si="83"/>
        <v>2.1692701262272087</v>
      </c>
      <c r="FV36" t="s">
        <v>1316</v>
      </c>
      <c r="FW36" s="305">
        <f>FW33/2</f>
        <v>22.081841159804682</v>
      </c>
      <c r="FX36" s="305">
        <f t="shared" ref="FX36:GE36" si="86">FX33/2</f>
        <v>16.664243343982957</v>
      </c>
      <c r="FY36" s="305">
        <f t="shared" si="86"/>
        <v>15.292304314103719</v>
      </c>
      <c r="FZ36" s="305">
        <f t="shared" si="86"/>
        <v>17.222478889583147</v>
      </c>
      <c r="GA36" s="305">
        <f t="shared" si="86"/>
        <v>22.497142654646076</v>
      </c>
      <c r="GB36" s="305">
        <f t="shared" si="86"/>
        <v>20.920326153708825</v>
      </c>
      <c r="GC36" s="305">
        <f t="shared" si="86"/>
        <v>19.031588542307357</v>
      </c>
      <c r="GD36" s="305">
        <f t="shared" si="86"/>
        <v>18.820157216413321</v>
      </c>
      <c r="GE36" s="305">
        <f t="shared" si="86"/>
        <v>19.840439869958701</v>
      </c>
    </row>
    <row r="37" spans="1:187" ht="31">
      <c r="B37">
        <v>3</v>
      </c>
      <c r="C37">
        <f t="shared" si="65"/>
        <v>30</v>
      </c>
      <c r="D37" s="268">
        <v>4.4139999999999997</v>
      </c>
      <c r="E37" s="268">
        <v>3.2496999999999998</v>
      </c>
      <c r="F37" s="268">
        <v>7.2282000000000002</v>
      </c>
      <c r="G37" s="268" t="s">
        <v>1104</v>
      </c>
      <c r="H37" s="268" t="s">
        <v>1105</v>
      </c>
      <c r="I37" s="268" t="s">
        <v>1106</v>
      </c>
      <c r="J37" s="268">
        <v>0</v>
      </c>
      <c r="K37" s="268">
        <v>0</v>
      </c>
      <c r="L37" s="268">
        <v>0</v>
      </c>
      <c r="M37" s="268">
        <v>10.340999999999999</v>
      </c>
      <c r="N37" s="268">
        <v>3.0663</v>
      </c>
      <c r="O37" s="268">
        <v>11.167</v>
      </c>
      <c r="P37" s="23">
        <v>0</v>
      </c>
      <c r="Q37" s="268" t="s">
        <v>1107</v>
      </c>
      <c r="R37" s="268" t="s">
        <v>1108</v>
      </c>
      <c r="S37" s="268" t="s">
        <v>1109</v>
      </c>
      <c r="T37" s="6">
        <v>4.3739999999999997</v>
      </c>
      <c r="U37" s="6">
        <v>6.6426999999999996</v>
      </c>
      <c r="V37" s="6">
        <v>16.433</v>
      </c>
      <c r="W37" s="6">
        <v>6.3710000000000004</v>
      </c>
      <c r="X37" s="6">
        <v>6.8718000000000004</v>
      </c>
      <c r="Y37" s="6">
        <v>34.138500000000001</v>
      </c>
      <c r="Z37" s="193">
        <v>9.1080000000000005</v>
      </c>
      <c r="AA37" s="193">
        <v>0.83840000000000003</v>
      </c>
      <c r="AB37" s="193">
        <v>3.4253</v>
      </c>
      <c r="AC37" s="6">
        <v>10.337999999999999</v>
      </c>
      <c r="AD37" s="6">
        <v>3.9878999999999998</v>
      </c>
      <c r="AE37" s="6">
        <v>14.6934</v>
      </c>
      <c r="AF37" s="19">
        <f t="shared" ref="AF37:AF49" si="87">(AA37+5.0902)/101.78</f>
        <v>5.8249164865395955E-2</v>
      </c>
      <c r="AG37" s="6">
        <v>16.937999999999999</v>
      </c>
      <c r="AH37" s="6">
        <v>10.5998</v>
      </c>
      <c r="AI37" s="6">
        <v>23.3367</v>
      </c>
      <c r="AJ37" s="270">
        <v>4.391</v>
      </c>
      <c r="AK37" s="270">
        <v>6.3693</v>
      </c>
      <c r="AL37" s="270">
        <v>14.347300000000001</v>
      </c>
      <c r="AM37" s="270" t="s">
        <v>1194</v>
      </c>
      <c r="AN37" s="270" t="s">
        <v>1195</v>
      </c>
      <c r="AO37" s="270" t="s">
        <v>1196</v>
      </c>
      <c r="AP37" s="270">
        <v>9.0809999999999995</v>
      </c>
      <c r="AQ37" s="270">
        <v>11.3904</v>
      </c>
      <c r="AR37" s="270">
        <v>48.844299999999997</v>
      </c>
      <c r="AS37" s="270">
        <v>10.301</v>
      </c>
      <c r="AT37" s="270">
        <v>4.2584</v>
      </c>
      <c r="AU37" s="270">
        <v>14.4892</v>
      </c>
      <c r="AV37" s="275">
        <f t="shared" si="85"/>
        <v>0.14815053763440861</v>
      </c>
      <c r="AW37" s="270">
        <v>16.853999999999999</v>
      </c>
      <c r="AX37" s="270">
        <v>12.4282</v>
      </c>
      <c r="AY37" s="270">
        <v>27.523299999999999</v>
      </c>
      <c r="AZ37" s="271">
        <v>4.351</v>
      </c>
      <c r="BA37" s="271">
        <v>4.3771000000000004</v>
      </c>
      <c r="BB37" s="271">
        <v>9.9681999999999995</v>
      </c>
      <c r="BC37" s="271" t="s">
        <v>1212</v>
      </c>
      <c r="BD37" s="271" t="s">
        <v>1239</v>
      </c>
      <c r="BE37" s="271" t="s">
        <v>1240</v>
      </c>
      <c r="BF37" s="271">
        <v>9.2210000000000001</v>
      </c>
      <c r="BG37" s="271">
        <v>374.96519999999998</v>
      </c>
      <c r="BH37" s="271">
        <v>1238.3510000000001</v>
      </c>
      <c r="BI37" s="271">
        <v>10.305</v>
      </c>
      <c r="BJ37" s="271">
        <v>3.8805999999999998</v>
      </c>
      <c r="BK37" s="271">
        <v>11.9884</v>
      </c>
      <c r="BL37" s="275">
        <f t="shared" si="66"/>
        <v>3.5476344086021503</v>
      </c>
      <c r="BM37" s="271">
        <v>16.890999999999998</v>
      </c>
      <c r="BN37" s="271">
        <v>6.7975000000000003</v>
      </c>
      <c r="BO37" s="271">
        <v>14.8574</v>
      </c>
      <c r="EU37" s="12">
        <f t="shared" si="67"/>
        <v>30</v>
      </c>
      <c r="EV37" s="12">
        <f t="shared" si="68"/>
        <v>0</v>
      </c>
      <c r="EW37" s="12">
        <f t="shared" si="69"/>
        <v>5.8249164865395955E-2</v>
      </c>
      <c r="EX37" s="12">
        <f t="shared" si="70"/>
        <v>0.14815053763440861</v>
      </c>
      <c r="EY37" s="12">
        <f t="shared" si="71"/>
        <v>3.5476344086021503</v>
      </c>
      <c r="EZ37" s="12">
        <f t="shared" si="72"/>
        <v>0</v>
      </c>
      <c r="FA37" s="12">
        <f t="shared" si="73"/>
        <v>0.76271369620750651</v>
      </c>
      <c r="FB37" s="12">
        <f t="shared" si="74"/>
        <v>4.5773959794296406</v>
      </c>
      <c r="FC37" s="12">
        <f t="shared" si="75"/>
        <v>34.618410472183257</v>
      </c>
      <c r="FD37" s="12">
        <f t="shared" si="76"/>
        <v>0</v>
      </c>
      <c r="FE37" s="12">
        <f t="shared" si="77"/>
        <v>4.6599331892316761E-3</v>
      </c>
      <c r="FF37" s="12">
        <f t="shared" si="78"/>
        <v>1.1852043010752688E-2</v>
      </c>
      <c r="FG37" s="12">
        <f t="shared" si="79"/>
        <v>0.28381075268817202</v>
      </c>
      <c r="FH37" s="12">
        <f t="shared" si="80"/>
        <v>0</v>
      </c>
      <c r="FI37" s="12">
        <f t="shared" si="81"/>
        <v>6.1017095696600514E-2</v>
      </c>
      <c r="FJ37" s="12">
        <f t="shared" si="82"/>
        <v>0.36619167835437122</v>
      </c>
      <c r="FK37" s="12">
        <f t="shared" si="83"/>
        <v>2.7694728377746607</v>
      </c>
      <c r="FV37" t="s">
        <v>1317</v>
      </c>
      <c r="FW37" s="305">
        <f>(SUM(FW15:FW19))*FW32</f>
        <v>18.877436614624145</v>
      </c>
      <c r="FX37" s="305">
        <f>(SUM(FX15:FX18))*FX32</f>
        <v>12.120264110756121</v>
      </c>
      <c r="FY37" s="305">
        <f>(SUM(FY15:FY19))*FY32</f>
        <v>11.84549607571282</v>
      </c>
      <c r="FZ37" s="305">
        <f>(SUM(FZ15:FZ20))*FZ32</f>
        <v>18.982129358207622</v>
      </c>
      <c r="GA37" s="305">
        <f>(SUM(GA15:GA23))*GA32</f>
        <v>19.300989367133806</v>
      </c>
      <c r="GB37" s="305">
        <f>(SUM(GB15:GB22))*GB32</f>
        <v>20.103369168972595</v>
      </c>
      <c r="GC37" s="305">
        <f>(SUM(GC15:GC21))*GC32</f>
        <v>22.513539267199718</v>
      </c>
      <c r="GD37" s="305">
        <f>(SUM(GD15:GD20))*GD32</f>
        <v>18.276400400667779</v>
      </c>
      <c r="GE37" s="305">
        <f>(SUM(GE15:GE19))*GE32</f>
        <v>16.653694353747476</v>
      </c>
    </row>
    <row r="38" spans="1:187" ht="31">
      <c r="B38">
        <v>4</v>
      </c>
      <c r="C38">
        <f t="shared" si="65"/>
        <v>40</v>
      </c>
      <c r="D38" s="268">
        <v>4.4109999999999996</v>
      </c>
      <c r="E38" s="268">
        <v>2.8677000000000001</v>
      </c>
      <c r="F38" s="268">
        <v>6.2134999999999998</v>
      </c>
      <c r="G38" s="268" t="s">
        <v>1110</v>
      </c>
      <c r="H38" s="268" t="s">
        <v>1111</v>
      </c>
      <c r="I38" s="268" t="s">
        <v>1112</v>
      </c>
      <c r="J38" s="268">
        <v>0</v>
      </c>
      <c r="K38" s="268">
        <v>0</v>
      </c>
      <c r="L38" s="268">
        <v>0</v>
      </c>
      <c r="M38" s="268">
        <v>10.337999999999999</v>
      </c>
      <c r="N38" s="268">
        <v>3.407</v>
      </c>
      <c r="O38" s="268">
        <v>12.3978</v>
      </c>
      <c r="P38" s="23">
        <v>0</v>
      </c>
      <c r="Q38" s="268" t="s">
        <v>1113</v>
      </c>
      <c r="R38" s="268" t="s">
        <v>1114</v>
      </c>
      <c r="S38" s="268" t="s">
        <v>1115</v>
      </c>
      <c r="T38" s="6">
        <v>4.3710000000000004</v>
      </c>
      <c r="U38" s="6">
        <v>6.4955999999999996</v>
      </c>
      <c r="V38" s="6">
        <v>16.1953</v>
      </c>
      <c r="W38" s="6">
        <v>6.3579999999999997</v>
      </c>
      <c r="X38" s="6">
        <v>6.0853000000000002</v>
      </c>
      <c r="Y38" s="6">
        <v>29.346</v>
      </c>
      <c r="Z38" s="193">
        <v>9.1039999999999992</v>
      </c>
      <c r="AA38" s="193">
        <v>4.5069999999999997</v>
      </c>
      <c r="AB38" s="193">
        <v>19.167899999999999</v>
      </c>
      <c r="AC38" s="6">
        <v>10.331</v>
      </c>
      <c r="AD38" s="6">
        <v>3.8239999999999998</v>
      </c>
      <c r="AE38" s="6">
        <v>14.102399999999999</v>
      </c>
      <c r="AF38" s="19">
        <f t="shared" si="87"/>
        <v>9.4293574376105332E-2</v>
      </c>
      <c r="AG38" s="6">
        <v>16.928000000000001</v>
      </c>
      <c r="AH38" s="6">
        <v>10.7498</v>
      </c>
      <c r="AI38" s="6">
        <v>23.696300000000001</v>
      </c>
      <c r="AJ38" s="270">
        <v>4.3879999999999999</v>
      </c>
      <c r="AK38" s="270">
        <v>5.8891999999999998</v>
      </c>
      <c r="AL38" s="270">
        <v>13.206799999999999</v>
      </c>
      <c r="AM38" s="270" t="s">
        <v>1197</v>
      </c>
      <c r="AN38" s="270" t="s">
        <v>1198</v>
      </c>
      <c r="AO38" s="270" t="s">
        <v>1199</v>
      </c>
      <c r="AP38" s="270">
        <v>9.1010000000000009</v>
      </c>
      <c r="AQ38" s="270">
        <v>77.611500000000007</v>
      </c>
      <c r="AR38" s="270">
        <v>328.01799999999997</v>
      </c>
      <c r="AS38" s="270">
        <v>10.305</v>
      </c>
      <c r="AT38" s="270">
        <v>3.7393000000000001</v>
      </c>
      <c r="AU38" s="270">
        <v>13.387499999999999</v>
      </c>
      <c r="AV38" s="275">
        <f t="shared" si="85"/>
        <v>0.76732865825151952</v>
      </c>
      <c r="AW38" s="270">
        <v>16.870999999999999</v>
      </c>
      <c r="AX38" s="270">
        <v>10.8949</v>
      </c>
      <c r="AY38" s="270">
        <v>24.110399999999998</v>
      </c>
      <c r="AZ38" s="271">
        <v>4.3540000000000001</v>
      </c>
      <c r="BA38" s="271">
        <v>4.6917</v>
      </c>
      <c r="BB38" s="271">
        <v>10.9391</v>
      </c>
      <c r="BC38" s="271" t="s">
        <v>1241</v>
      </c>
      <c r="BD38" s="271" t="s">
        <v>1242</v>
      </c>
      <c r="BE38" s="271" t="s">
        <v>1243</v>
      </c>
      <c r="BF38" s="271">
        <v>9.2210000000000001</v>
      </c>
      <c r="BG38" s="271">
        <v>356.61399999999998</v>
      </c>
      <c r="BH38" s="271">
        <v>1199.3785</v>
      </c>
      <c r="BI38" s="271">
        <v>10.311</v>
      </c>
      <c r="BJ38" s="271">
        <v>3.6629</v>
      </c>
      <c r="BK38" s="271">
        <v>11.3035</v>
      </c>
      <c r="BL38" s="275">
        <f t="shared" si="66"/>
        <v>3.3760476858345019</v>
      </c>
      <c r="BM38" s="271">
        <v>16.898</v>
      </c>
      <c r="BN38" s="271">
        <v>6.7531999999999996</v>
      </c>
      <c r="BO38" s="271">
        <v>14.739800000000001</v>
      </c>
      <c r="EU38" s="12">
        <f t="shared" si="67"/>
        <v>40</v>
      </c>
      <c r="EV38" s="12">
        <f t="shared" si="68"/>
        <v>0</v>
      </c>
      <c r="EW38" s="12">
        <f t="shared" si="69"/>
        <v>9.4293574376105332E-2</v>
      </c>
      <c r="EX38" s="12">
        <f t="shared" si="70"/>
        <v>0.76732865825151952</v>
      </c>
      <c r="EY38" s="12">
        <f t="shared" si="71"/>
        <v>3.3760476858345019</v>
      </c>
      <c r="EZ38" s="12">
        <f t="shared" si="72"/>
        <v>0.28122912163489883</v>
      </c>
      <c r="FA38" s="12">
        <f t="shared" si="73"/>
        <v>3.6752701906071916</v>
      </c>
      <c r="FB38" s="12">
        <f t="shared" si="74"/>
        <v>17.80519869097709</v>
      </c>
      <c r="FC38" s="12">
        <f t="shared" si="75"/>
        <v>29.150504908835906</v>
      </c>
      <c r="FD38" s="12">
        <f t="shared" si="76"/>
        <v>0</v>
      </c>
      <c r="FE38" s="12">
        <f t="shared" si="77"/>
        <v>7.5434859500884263E-3</v>
      </c>
      <c r="FF38" s="12">
        <f t="shared" si="78"/>
        <v>6.1386292660121564E-2</v>
      </c>
      <c r="FG38" s="12">
        <f t="shared" si="79"/>
        <v>0.27008381486676014</v>
      </c>
      <c r="FH38" s="12">
        <f t="shared" si="80"/>
        <v>2.2498329730791907E-2</v>
      </c>
      <c r="FI38" s="12">
        <f t="shared" si="81"/>
        <v>0.29402161524857534</v>
      </c>
      <c r="FJ38" s="12">
        <f t="shared" si="82"/>
        <v>1.4244158952781674</v>
      </c>
      <c r="FK38" s="12">
        <f t="shared" si="83"/>
        <v>2.3320403927068725</v>
      </c>
      <c r="FV38" t="s">
        <v>1318</v>
      </c>
      <c r="FW38" t="s">
        <v>35</v>
      </c>
      <c r="FX38" t="s">
        <v>1319</v>
      </c>
      <c r="FY38" t="s">
        <v>1320</v>
      </c>
      <c r="FZ38" t="s">
        <v>1321</v>
      </c>
      <c r="GA38" t="s">
        <v>1322</v>
      </c>
      <c r="GB38" t="s">
        <v>1323</v>
      </c>
      <c r="GC38" t="s">
        <v>1324</v>
      </c>
      <c r="GD38" t="s">
        <v>1325</v>
      </c>
      <c r="GE38" t="s">
        <v>1326</v>
      </c>
    </row>
    <row r="39" spans="1:187" ht="46.5">
      <c r="B39">
        <v>5</v>
      </c>
      <c r="C39">
        <f t="shared" si="65"/>
        <v>50</v>
      </c>
      <c r="D39" s="268">
        <v>4.4009999999999998</v>
      </c>
      <c r="E39" s="268">
        <v>2.5141</v>
      </c>
      <c r="F39" s="268">
        <v>5.1628999999999996</v>
      </c>
      <c r="G39" s="268" t="s">
        <v>1116</v>
      </c>
      <c r="H39" s="268" t="s">
        <v>1117</v>
      </c>
      <c r="I39" s="268" t="s">
        <v>1118</v>
      </c>
      <c r="J39" s="268">
        <v>9.1010000000000009</v>
      </c>
      <c r="K39" s="268">
        <v>0.63449999999999995</v>
      </c>
      <c r="L39" s="268">
        <v>2.5722</v>
      </c>
      <c r="M39" s="268">
        <v>10.335000000000001</v>
      </c>
      <c r="N39" s="268">
        <v>3.589</v>
      </c>
      <c r="O39" s="268">
        <v>13.085100000000001</v>
      </c>
      <c r="P39" s="23">
        <f t="shared" ref="P39:P49" si="88">(K39+5.0902)/101.78</f>
        <v>5.6245824326979763E-2</v>
      </c>
      <c r="Q39" s="268" t="s">
        <v>1119</v>
      </c>
      <c r="R39" s="268" t="s">
        <v>1120</v>
      </c>
      <c r="S39" s="268" t="s">
        <v>1121</v>
      </c>
      <c r="T39" s="6">
        <v>4.3650000000000002</v>
      </c>
      <c r="U39" s="6">
        <v>5.1140999999999996</v>
      </c>
      <c r="V39" s="6">
        <v>12.5602</v>
      </c>
      <c r="W39" s="6">
        <v>6.3550000000000004</v>
      </c>
      <c r="X39" s="6">
        <v>4.2135999999999996</v>
      </c>
      <c r="Y39" s="6">
        <v>19.5093</v>
      </c>
      <c r="Z39" s="193">
        <v>9.1180000000000003</v>
      </c>
      <c r="AA39" s="193">
        <v>60.126399999999997</v>
      </c>
      <c r="AB39" s="193">
        <v>255.23560000000001</v>
      </c>
      <c r="AC39" s="6">
        <v>10.331</v>
      </c>
      <c r="AD39" s="6">
        <v>3.8157999999999999</v>
      </c>
      <c r="AE39" s="6">
        <v>13.7896</v>
      </c>
      <c r="AF39" s="19">
        <f t="shared" si="87"/>
        <v>0.64076046374533302</v>
      </c>
      <c r="AG39" s="6">
        <v>16.940999999999999</v>
      </c>
      <c r="AH39" s="6">
        <v>8.5762</v>
      </c>
      <c r="AI39" s="6">
        <v>18.793700000000001</v>
      </c>
      <c r="AJ39" s="270">
        <v>4.3739999999999997</v>
      </c>
      <c r="AK39" s="270">
        <v>4.3281000000000001</v>
      </c>
      <c r="AL39" s="270">
        <v>8.6326000000000001</v>
      </c>
      <c r="AM39" s="270" t="s">
        <v>1200</v>
      </c>
      <c r="AN39" s="270" t="s">
        <v>1201</v>
      </c>
      <c r="AO39" s="270" t="s">
        <v>1202</v>
      </c>
      <c r="AP39" s="270">
        <v>9.1910000000000007</v>
      </c>
      <c r="AQ39" s="270">
        <v>294.3331</v>
      </c>
      <c r="AR39" s="270">
        <v>1054.8648000000001</v>
      </c>
      <c r="AS39" s="270">
        <v>10.308</v>
      </c>
      <c r="AT39" s="270">
        <v>4.0961999999999996</v>
      </c>
      <c r="AU39" s="270">
        <v>13.3514</v>
      </c>
      <c r="AV39" s="275">
        <f t="shared" si="85"/>
        <v>2.7937110799438987</v>
      </c>
      <c r="AW39" s="270" t="s">
        <v>1203</v>
      </c>
      <c r="AX39" s="270" t="s">
        <v>1204</v>
      </c>
      <c r="AY39" s="270" t="s">
        <v>1205</v>
      </c>
      <c r="AZ39" s="271">
        <v>4.3579999999999997</v>
      </c>
      <c r="BA39" s="271">
        <v>5.2979000000000003</v>
      </c>
      <c r="BB39" s="271">
        <v>12.556900000000001</v>
      </c>
      <c r="BC39" s="271" t="s">
        <v>1244</v>
      </c>
      <c r="BD39" s="271" t="s">
        <v>1245</v>
      </c>
      <c r="BE39" s="271" t="s">
        <v>1246</v>
      </c>
      <c r="BF39" s="271">
        <v>9.1750000000000007</v>
      </c>
      <c r="BG39" s="271">
        <v>258.00670000000002</v>
      </c>
      <c r="BH39" s="271">
        <v>957.44039999999995</v>
      </c>
      <c r="BI39" s="271">
        <v>10.308</v>
      </c>
      <c r="BJ39" s="271">
        <v>3.7991000000000001</v>
      </c>
      <c r="BK39" s="271">
        <v>12.4895</v>
      </c>
      <c r="BL39" s="275">
        <f t="shared" si="66"/>
        <v>2.4540532959326788</v>
      </c>
      <c r="BM39" s="271">
        <v>16.890999999999998</v>
      </c>
      <c r="BN39" s="271">
        <v>6.8868</v>
      </c>
      <c r="BO39" s="271">
        <v>15.050800000000001</v>
      </c>
      <c r="EU39" s="12">
        <f t="shared" si="67"/>
        <v>50</v>
      </c>
      <c r="EV39" s="12">
        <f t="shared" si="68"/>
        <v>5.6245824326979763E-2</v>
      </c>
      <c r="EW39" s="12">
        <f t="shared" si="69"/>
        <v>0.64076046374533302</v>
      </c>
      <c r="EX39" s="12">
        <f t="shared" si="70"/>
        <v>2.7937110799438987</v>
      </c>
      <c r="EY39" s="12">
        <f t="shared" si="71"/>
        <v>2.4540532959326788</v>
      </c>
      <c r="EZ39" s="12">
        <f t="shared" si="72"/>
        <v>0.72719591275299678</v>
      </c>
      <c r="FA39" s="12">
        <f t="shared" si="73"/>
        <v>15.38820003930045</v>
      </c>
      <c r="FB39" s="12">
        <f t="shared" si="74"/>
        <v>29.461290322580641</v>
      </c>
      <c r="FC39" s="12">
        <f t="shared" si="75"/>
        <v>21.680963066853671</v>
      </c>
      <c r="FD39" s="12">
        <f t="shared" si="76"/>
        <v>4.4996659461583816E-3</v>
      </c>
      <c r="FE39" s="12">
        <f t="shared" si="77"/>
        <v>5.1260837099626644E-2</v>
      </c>
      <c r="FF39" s="12">
        <f t="shared" si="78"/>
        <v>0.22349688639551191</v>
      </c>
      <c r="FG39" s="12">
        <f t="shared" si="79"/>
        <v>0.19632426367461431</v>
      </c>
      <c r="FH39" s="12">
        <f t="shared" si="80"/>
        <v>5.8175673020239738E-2</v>
      </c>
      <c r="FI39" s="12">
        <f t="shared" si="81"/>
        <v>1.2310560031440358</v>
      </c>
      <c r="FJ39" s="12">
        <f t="shared" si="82"/>
        <v>2.3569032258064517</v>
      </c>
      <c r="FK39" s="12">
        <f t="shared" si="83"/>
        <v>1.7344770453482936</v>
      </c>
    </row>
    <row r="40" spans="1:187" ht="31">
      <c r="B40">
        <v>6</v>
      </c>
      <c r="C40">
        <f t="shared" si="65"/>
        <v>60</v>
      </c>
      <c r="D40" s="268">
        <v>4.4039999999999999</v>
      </c>
      <c r="E40" s="268">
        <v>2.4535999999999998</v>
      </c>
      <c r="F40" s="268">
        <v>5.0618999999999996</v>
      </c>
      <c r="G40" s="268" t="s">
        <v>1122</v>
      </c>
      <c r="H40" s="268" t="s">
        <v>1123</v>
      </c>
      <c r="I40" s="268" t="s">
        <v>1124</v>
      </c>
      <c r="J40" s="268">
        <v>9.1080000000000005</v>
      </c>
      <c r="K40" s="268">
        <v>3.9878999999999998</v>
      </c>
      <c r="L40" s="268">
        <v>16.729900000000001</v>
      </c>
      <c r="M40" s="268">
        <v>10.337999999999999</v>
      </c>
      <c r="N40" s="268">
        <v>3.7118000000000002</v>
      </c>
      <c r="O40" s="268">
        <v>13.5824</v>
      </c>
      <c r="P40" s="23">
        <f t="shared" si="88"/>
        <v>8.9193358223619568E-2</v>
      </c>
      <c r="Q40" s="268" t="s">
        <v>1125</v>
      </c>
      <c r="R40" s="268" t="s">
        <v>1126</v>
      </c>
      <c r="S40" s="268" t="s">
        <v>1127</v>
      </c>
      <c r="T40" s="6">
        <v>4.3550000000000004</v>
      </c>
      <c r="U40" s="6">
        <v>3.2418999999999998</v>
      </c>
      <c r="V40" s="6">
        <v>7.3231999999999999</v>
      </c>
      <c r="W40" s="6">
        <v>6.3049999999999997</v>
      </c>
      <c r="X40" s="6">
        <v>3.2330000000000001</v>
      </c>
      <c r="Y40" s="6">
        <v>11.950799999999999</v>
      </c>
      <c r="Z40" s="193">
        <v>9.1950000000000003</v>
      </c>
      <c r="AA40" s="193">
        <v>242.93539999999999</v>
      </c>
      <c r="AB40" s="193">
        <v>913.89589999999998</v>
      </c>
      <c r="AC40" s="6">
        <v>10.337999999999999</v>
      </c>
      <c r="AD40" s="6">
        <v>3.7439</v>
      </c>
      <c r="AE40" s="6">
        <v>12.5206</v>
      </c>
      <c r="AF40" s="19">
        <f t="shared" si="87"/>
        <v>2.436879544114757</v>
      </c>
      <c r="AG40" s="6">
        <v>16.960999999999999</v>
      </c>
      <c r="AH40" s="6">
        <v>6.0118999999999998</v>
      </c>
      <c r="AI40" s="6">
        <v>13.0341</v>
      </c>
      <c r="AJ40" s="270">
        <v>4.3680000000000003</v>
      </c>
      <c r="AK40" s="270">
        <v>4.2050999999999998</v>
      </c>
      <c r="AL40" s="270">
        <v>8.4400999999999993</v>
      </c>
      <c r="AM40" s="270" t="s">
        <v>1206</v>
      </c>
      <c r="AN40" s="270" t="s">
        <v>1207</v>
      </c>
      <c r="AO40" s="270" t="s">
        <v>1208</v>
      </c>
      <c r="AP40" s="270">
        <v>9.2050000000000001</v>
      </c>
      <c r="AQ40" s="270">
        <v>326.93529999999998</v>
      </c>
      <c r="AR40" s="270">
        <v>1133.6003000000001</v>
      </c>
      <c r="AS40" s="270">
        <v>10.305</v>
      </c>
      <c r="AT40" s="270">
        <v>3.9035000000000002</v>
      </c>
      <c r="AU40" s="270">
        <v>12.3711</v>
      </c>
      <c r="AV40" s="275">
        <f t="shared" si="85"/>
        <v>3.0985469845722298</v>
      </c>
      <c r="AW40" s="270">
        <v>16.898</v>
      </c>
      <c r="AX40" s="270">
        <v>5.6013000000000002</v>
      </c>
      <c r="AY40" s="270">
        <v>12.190099999999999</v>
      </c>
      <c r="AZ40" s="271">
        <v>4.3579999999999997</v>
      </c>
      <c r="BA40" s="271">
        <v>5.5297999999999998</v>
      </c>
      <c r="BB40" s="271">
        <v>13.532400000000001</v>
      </c>
      <c r="BC40" s="271" t="s">
        <v>1249</v>
      </c>
      <c r="BD40" s="271" t="s">
        <v>1247</v>
      </c>
      <c r="BE40" s="271" t="s">
        <v>1248</v>
      </c>
      <c r="BF40" s="271">
        <v>9.1449999999999996</v>
      </c>
      <c r="BG40" s="271">
        <v>196.84049999999999</v>
      </c>
      <c r="BH40" s="271">
        <v>772.50779999999997</v>
      </c>
      <c r="BI40" s="271">
        <v>10.305</v>
      </c>
      <c r="BJ40" s="271">
        <v>3.9056999999999999</v>
      </c>
      <c r="BK40" s="271">
        <v>13.3064</v>
      </c>
      <c r="BL40" s="275">
        <f t="shared" si="66"/>
        <v>1.882139317438055</v>
      </c>
      <c r="BM40" s="271">
        <v>16.885000000000002</v>
      </c>
      <c r="BN40" s="271">
        <v>6.7750000000000004</v>
      </c>
      <c r="BO40" s="271">
        <v>14.725899999999999</v>
      </c>
      <c r="EU40" s="12">
        <f t="shared" si="67"/>
        <v>60</v>
      </c>
      <c r="EV40" s="12">
        <f t="shared" si="68"/>
        <v>8.9193358223619568E-2</v>
      </c>
      <c r="EW40" s="12">
        <f t="shared" si="69"/>
        <v>2.436879544114757</v>
      </c>
      <c r="EX40" s="12">
        <f t="shared" si="70"/>
        <v>3.0985469845722298</v>
      </c>
      <c r="EY40" s="12">
        <f t="shared" si="71"/>
        <v>1.882139317438055</v>
      </c>
      <c r="EZ40" s="12">
        <f t="shared" si="72"/>
        <v>7.3596040479465517</v>
      </c>
      <c r="FA40" s="12">
        <f t="shared" si="73"/>
        <v>36.110674985262328</v>
      </c>
      <c r="FB40" s="12">
        <f t="shared" si="74"/>
        <v>29.880939691444599</v>
      </c>
      <c r="FC40" s="12">
        <f t="shared" si="75"/>
        <v>16.594717157550257</v>
      </c>
      <c r="FD40" s="12">
        <f t="shared" si="76"/>
        <v>7.1354686578895656E-3</v>
      </c>
      <c r="FE40" s="12">
        <f t="shared" si="77"/>
        <v>0.19495036352918055</v>
      </c>
      <c r="FF40" s="12">
        <f t="shared" si="78"/>
        <v>0.24788375876577839</v>
      </c>
      <c r="FG40" s="12">
        <f t="shared" si="79"/>
        <v>0.1505711453950444</v>
      </c>
      <c r="FH40" s="12">
        <f t="shared" si="80"/>
        <v>0.58876832383572419</v>
      </c>
      <c r="FI40" s="12">
        <f t="shared" si="81"/>
        <v>2.888853998820986</v>
      </c>
      <c r="FJ40" s="12">
        <f t="shared" si="82"/>
        <v>2.3904751753155677</v>
      </c>
      <c r="FK40" s="12">
        <f t="shared" si="83"/>
        <v>1.3275773726040205</v>
      </c>
    </row>
    <row r="41" spans="1:187" ht="31">
      <c r="B41">
        <v>7</v>
      </c>
      <c r="C41">
        <f t="shared" si="65"/>
        <v>70</v>
      </c>
      <c r="D41" s="268">
        <v>4.3879999999999999</v>
      </c>
      <c r="E41" s="268">
        <v>2.1122000000000001</v>
      </c>
      <c r="F41" s="268">
        <v>4.0205000000000002</v>
      </c>
      <c r="G41" s="268" t="s">
        <v>1128</v>
      </c>
      <c r="H41" s="268" t="s">
        <v>1129</v>
      </c>
      <c r="I41" s="268" t="s">
        <v>1130</v>
      </c>
      <c r="J41" s="268">
        <v>9.141</v>
      </c>
      <c r="K41" s="268">
        <v>135.6438</v>
      </c>
      <c r="L41" s="268">
        <v>546.11419999999998</v>
      </c>
      <c r="M41" s="268">
        <v>10.334</v>
      </c>
      <c r="N41" s="268">
        <v>3.5192000000000001</v>
      </c>
      <c r="O41" s="268">
        <v>11.358000000000001</v>
      </c>
      <c r="P41" s="23">
        <f t="shared" si="88"/>
        <v>1.3827274513656909</v>
      </c>
      <c r="Q41" s="268" t="s">
        <v>1131</v>
      </c>
      <c r="R41" s="268" t="s">
        <v>1132</v>
      </c>
      <c r="S41" s="268" t="s">
        <v>1133</v>
      </c>
      <c r="T41" s="6">
        <v>4.3479999999999999</v>
      </c>
      <c r="U41" s="6">
        <v>2.3574999999999999</v>
      </c>
      <c r="V41" s="6">
        <v>5.0646000000000004</v>
      </c>
      <c r="W41" s="6">
        <v>6.2839999999999998</v>
      </c>
      <c r="X41" s="6">
        <v>2.3469000000000002</v>
      </c>
      <c r="Y41" s="6">
        <v>9.1882000000000001</v>
      </c>
      <c r="Z41" s="193">
        <v>9.298</v>
      </c>
      <c r="AA41" s="193">
        <v>481.95310000000001</v>
      </c>
      <c r="AB41" s="193">
        <v>1429.8855000000001</v>
      </c>
      <c r="AC41" s="6">
        <v>10.348000000000001</v>
      </c>
      <c r="AD41" s="6">
        <v>3.7646999999999999</v>
      </c>
      <c r="AE41" s="6">
        <v>11.128299999999999</v>
      </c>
      <c r="AF41" s="19">
        <f t="shared" si="87"/>
        <v>4.7852554529377089</v>
      </c>
      <c r="AG41" s="6">
        <v>16.971</v>
      </c>
      <c r="AH41" s="6">
        <v>4.5007999999999999</v>
      </c>
      <c r="AI41" s="6">
        <v>9.6829000000000001</v>
      </c>
      <c r="AJ41" s="270">
        <v>4.3680000000000003</v>
      </c>
      <c r="AK41" s="270">
        <v>4.3829000000000002</v>
      </c>
      <c r="AL41" s="270">
        <v>8.9920000000000009</v>
      </c>
      <c r="AM41" s="270" t="s">
        <v>1209</v>
      </c>
      <c r="AN41" s="270" t="s">
        <v>1210</v>
      </c>
      <c r="AO41" s="270" t="s">
        <v>1211</v>
      </c>
      <c r="AP41" s="270">
        <v>9.1980000000000004</v>
      </c>
      <c r="AQ41" s="270">
        <v>303.30939999999998</v>
      </c>
      <c r="AR41" s="270">
        <v>1076.8411000000001</v>
      </c>
      <c r="AS41" s="270">
        <v>10.308</v>
      </c>
      <c r="AT41" s="270">
        <v>3.8376999999999999</v>
      </c>
      <c r="AU41" s="270">
        <v>12.3766</v>
      </c>
      <c r="AV41" s="275">
        <f t="shared" si="85"/>
        <v>2.8776409537166896</v>
      </c>
      <c r="AW41" s="270">
        <v>16.901</v>
      </c>
      <c r="AX41" s="270">
        <v>5.3955000000000002</v>
      </c>
      <c r="AY41" s="270">
        <v>11.7218</v>
      </c>
      <c r="AZ41" s="271">
        <v>4.3609999999999998</v>
      </c>
      <c r="BA41" s="271">
        <v>6.0895999999999999</v>
      </c>
      <c r="BB41" s="271">
        <v>15.063800000000001</v>
      </c>
      <c r="BC41" s="271" t="s">
        <v>1250</v>
      </c>
      <c r="BD41" s="271" t="s">
        <v>1251</v>
      </c>
      <c r="BE41" s="271" t="s">
        <v>1252</v>
      </c>
      <c r="BF41" s="271">
        <v>9.1310000000000002</v>
      </c>
      <c r="BG41" s="271">
        <v>149.21190000000001</v>
      </c>
      <c r="BH41" s="271">
        <v>605.02430000000004</v>
      </c>
      <c r="BI41" s="271">
        <v>10.308</v>
      </c>
      <c r="BJ41" s="271">
        <v>4.2135999999999996</v>
      </c>
      <c r="BK41" s="271">
        <v>13.3725</v>
      </c>
      <c r="BL41" s="275">
        <f t="shared" si="66"/>
        <v>1.4368041140719963</v>
      </c>
      <c r="BM41" s="271">
        <v>16.890999999999998</v>
      </c>
      <c r="BN41" s="271">
        <v>6.8777999999999997</v>
      </c>
      <c r="BO41" s="271">
        <v>15.0008</v>
      </c>
      <c r="EU41" s="12">
        <f t="shared" si="67"/>
        <v>70</v>
      </c>
      <c r="EV41" s="12">
        <f t="shared" si="68"/>
        <v>1.3827274513656909</v>
      </c>
      <c r="EW41" s="12">
        <f t="shared" si="69"/>
        <v>4.7852554529377089</v>
      </c>
      <c r="EX41" s="12">
        <f t="shared" si="70"/>
        <v>2.8776409537166896</v>
      </c>
      <c r="EY41" s="12">
        <f t="shared" si="71"/>
        <v>1.4368041140719963</v>
      </c>
      <c r="EZ41" s="12">
        <f t="shared" si="72"/>
        <v>27.984166830418552</v>
      </c>
      <c r="FA41" s="12">
        <f t="shared" si="73"/>
        <v>47.418240322263699</v>
      </c>
      <c r="FB41" s="12">
        <f t="shared" si="74"/>
        <v>26.596143057503504</v>
      </c>
      <c r="FC41" s="12">
        <f t="shared" si="75"/>
        <v>12.394287050023376</v>
      </c>
      <c r="FD41" s="12">
        <f t="shared" si="76"/>
        <v>0.11061819610925526</v>
      </c>
      <c r="FE41" s="12">
        <f t="shared" si="77"/>
        <v>0.38282043623501671</v>
      </c>
      <c r="FF41" s="12">
        <f t="shared" si="78"/>
        <v>0.23021127629733515</v>
      </c>
      <c r="FG41" s="12">
        <f t="shared" si="79"/>
        <v>0.11494432912575971</v>
      </c>
      <c r="FH41" s="12">
        <f t="shared" si="80"/>
        <v>2.238733346433484</v>
      </c>
      <c r="FI41" s="12">
        <f t="shared" si="81"/>
        <v>3.7934592257810964</v>
      </c>
      <c r="FJ41" s="12">
        <f t="shared" si="82"/>
        <v>2.1276914446002801</v>
      </c>
      <c r="FK41" s="12">
        <f t="shared" si="83"/>
        <v>0.99154296400187003</v>
      </c>
    </row>
    <row r="42" spans="1:187" ht="31">
      <c r="B42">
        <v>8</v>
      </c>
      <c r="C42">
        <f t="shared" si="65"/>
        <v>80</v>
      </c>
      <c r="D42" s="268">
        <v>4.3680000000000003</v>
      </c>
      <c r="E42" s="268">
        <v>1.5296000000000001</v>
      </c>
      <c r="F42" s="268">
        <v>2.6551999999999998</v>
      </c>
      <c r="G42" s="268" t="s">
        <v>1134</v>
      </c>
      <c r="H42" s="268" t="s">
        <v>1135</v>
      </c>
      <c r="I42" s="268" t="s">
        <v>1136</v>
      </c>
      <c r="J42" s="268">
        <v>9.2650000000000006</v>
      </c>
      <c r="K42" s="268">
        <v>423.82150000000001</v>
      </c>
      <c r="L42" s="268">
        <v>1333.6727000000001</v>
      </c>
      <c r="M42" s="268">
        <v>10.335000000000001</v>
      </c>
      <c r="N42" s="268">
        <v>3.4716999999999998</v>
      </c>
      <c r="O42" s="268">
        <v>10.3916</v>
      </c>
      <c r="P42" s="23">
        <f t="shared" si="88"/>
        <v>4.2141059147180195</v>
      </c>
      <c r="Q42" s="268">
        <v>16.978000000000002</v>
      </c>
      <c r="R42" s="268">
        <v>2.0388000000000002</v>
      </c>
      <c r="S42" s="268">
        <v>4.2958999999999996</v>
      </c>
      <c r="T42" s="6">
        <v>4.3449999999999998</v>
      </c>
      <c r="U42" s="6">
        <v>2.5200999999999998</v>
      </c>
      <c r="V42" s="6">
        <v>5.5060000000000002</v>
      </c>
      <c r="W42" s="6">
        <v>6.2880000000000003</v>
      </c>
      <c r="X42" s="6">
        <v>2.6023000000000001</v>
      </c>
      <c r="Y42" s="6">
        <v>10.316800000000001</v>
      </c>
      <c r="Z42" s="193">
        <v>9.298</v>
      </c>
      <c r="AA42" s="193">
        <v>473.11219999999997</v>
      </c>
      <c r="AB42" s="193">
        <v>1410.5264999999999</v>
      </c>
      <c r="AC42" s="6">
        <v>10.351000000000001</v>
      </c>
      <c r="AD42" s="6">
        <v>3.8357000000000001</v>
      </c>
      <c r="AE42" s="6">
        <v>11.308299999999999</v>
      </c>
      <c r="AF42" s="19">
        <f t="shared" si="87"/>
        <v>4.6983926115150316</v>
      </c>
      <c r="AG42" s="6">
        <v>16.981000000000002</v>
      </c>
      <c r="AH42" s="6">
        <v>4.8127000000000004</v>
      </c>
      <c r="AI42" s="6">
        <v>10.382899999999999</v>
      </c>
      <c r="AJ42" s="270">
        <v>4.3680000000000003</v>
      </c>
      <c r="AK42" s="270">
        <v>4.4189999999999996</v>
      </c>
      <c r="AL42" s="270">
        <v>9.1216000000000008</v>
      </c>
      <c r="AM42" s="270" t="s">
        <v>1212</v>
      </c>
      <c r="AN42" s="270" t="s">
        <v>1213</v>
      </c>
      <c r="AO42" s="270" t="s">
        <v>1214</v>
      </c>
      <c r="AP42" s="270">
        <v>9.1709999999999994</v>
      </c>
      <c r="AQ42" s="270">
        <v>256.67349999999999</v>
      </c>
      <c r="AR42" s="270">
        <v>954.77139999999997</v>
      </c>
      <c r="AS42" s="270">
        <v>10.305</v>
      </c>
      <c r="AT42" s="270">
        <v>4.0914999999999999</v>
      </c>
      <c r="AU42" s="270">
        <v>12.398099999999999</v>
      </c>
      <c r="AV42" s="275">
        <f t="shared" si="85"/>
        <v>2.441587657784011</v>
      </c>
      <c r="AW42" s="270">
        <v>16.898</v>
      </c>
      <c r="AX42" s="270">
        <v>5.0411000000000001</v>
      </c>
      <c r="AY42" s="270">
        <v>10.9419</v>
      </c>
      <c r="AZ42" s="271">
        <v>4.3609999999999998</v>
      </c>
      <c r="BA42" s="271">
        <v>5.8484999999999996</v>
      </c>
      <c r="BB42" s="271">
        <v>14.9633</v>
      </c>
      <c r="BC42" s="271" t="s">
        <v>1253</v>
      </c>
      <c r="BD42" s="271" t="s">
        <v>1254</v>
      </c>
      <c r="BE42" s="271" t="s">
        <v>1255</v>
      </c>
      <c r="BF42" s="271">
        <v>9.1110000000000007</v>
      </c>
      <c r="BG42" s="271">
        <v>106.9933</v>
      </c>
      <c r="BH42" s="271">
        <v>446.4051</v>
      </c>
      <c r="BI42" s="271">
        <v>10.304</v>
      </c>
      <c r="BJ42" s="271">
        <v>3.5337999999999998</v>
      </c>
      <c r="BK42" s="271">
        <v>12.492800000000001</v>
      </c>
      <c r="BL42" s="275">
        <f t="shared" si="66"/>
        <v>1.0420532959326789</v>
      </c>
      <c r="BM42" s="271">
        <v>16.888000000000002</v>
      </c>
      <c r="BN42" s="271">
        <v>6.2550999999999997</v>
      </c>
      <c r="BO42" s="271">
        <v>13.637499999999999</v>
      </c>
      <c r="EU42" s="12">
        <f t="shared" si="67"/>
        <v>80</v>
      </c>
      <c r="EV42" s="12">
        <f t="shared" si="68"/>
        <v>4.2141059147180195</v>
      </c>
      <c r="EW42" s="12">
        <f t="shared" si="69"/>
        <v>4.6983926115150316</v>
      </c>
      <c r="EX42" s="12">
        <f t="shared" si="70"/>
        <v>2.441587657784011</v>
      </c>
      <c r="EY42" s="12">
        <f t="shared" si="71"/>
        <v>1.0420532959326789</v>
      </c>
      <c r="EZ42" s="12">
        <f t="shared" si="72"/>
        <v>46.436122027903323</v>
      </c>
      <c r="FA42" s="12">
        <f t="shared" si="73"/>
        <v>41.011966987620355</v>
      </c>
      <c r="FB42" s="12">
        <f t="shared" si="74"/>
        <v>22.830878915381017</v>
      </c>
      <c r="FC42" s="12">
        <f t="shared" si="75"/>
        <v>9.1006171107994387</v>
      </c>
      <c r="FD42" s="12">
        <f t="shared" si="76"/>
        <v>0.33712847317744155</v>
      </c>
      <c r="FE42" s="12">
        <f t="shared" si="77"/>
        <v>0.37587140892120252</v>
      </c>
      <c r="FF42" s="12">
        <f t="shared" si="78"/>
        <v>0.19532701262272087</v>
      </c>
      <c r="FG42" s="12">
        <f t="shared" si="79"/>
        <v>8.3364263674614303E-2</v>
      </c>
      <c r="FH42" s="12">
        <f t="shared" si="80"/>
        <v>3.7148897622322652</v>
      </c>
      <c r="FI42" s="12">
        <f t="shared" si="81"/>
        <v>3.2809573590096286</v>
      </c>
      <c r="FJ42" s="12">
        <f t="shared" si="82"/>
        <v>1.8264703132304811</v>
      </c>
      <c r="FK42" s="12">
        <f t="shared" si="83"/>
        <v>0.72804936886395499</v>
      </c>
    </row>
    <row r="43" spans="1:187" ht="31">
      <c r="B43">
        <v>9</v>
      </c>
      <c r="C43">
        <f t="shared" si="65"/>
        <v>90</v>
      </c>
      <c r="D43" s="268">
        <v>4.3609999999999998</v>
      </c>
      <c r="E43" s="268">
        <v>1.1043000000000001</v>
      </c>
      <c r="F43" s="268">
        <v>2.1193</v>
      </c>
      <c r="G43" s="268" t="s">
        <v>1137</v>
      </c>
      <c r="H43" s="268" t="s">
        <v>1138</v>
      </c>
      <c r="I43" s="268" t="s">
        <v>1139</v>
      </c>
      <c r="J43" s="268">
        <v>9.3040000000000003</v>
      </c>
      <c r="K43" s="268">
        <v>511.2518</v>
      </c>
      <c r="L43" s="268">
        <v>1482.7403999999999</v>
      </c>
      <c r="M43" s="268">
        <v>10.343999999999999</v>
      </c>
      <c r="N43" s="268">
        <v>3.5783999999999998</v>
      </c>
      <c r="O43" s="268">
        <v>10.1907</v>
      </c>
      <c r="P43" s="23">
        <f t="shared" si="88"/>
        <v>5.0731184908626448</v>
      </c>
      <c r="Q43" s="268">
        <v>16.988</v>
      </c>
      <c r="R43" s="268">
        <v>1.3697999999999999</v>
      </c>
      <c r="S43" s="268">
        <v>2.8774000000000002</v>
      </c>
      <c r="T43" s="6">
        <v>4.351</v>
      </c>
      <c r="U43" s="6">
        <v>3.6833999999999998</v>
      </c>
      <c r="V43" s="6">
        <v>8.6380999999999997</v>
      </c>
      <c r="W43" s="6">
        <v>6.2880000000000003</v>
      </c>
      <c r="X43" s="6">
        <v>2.1427</v>
      </c>
      <c r="Y43" s="6">
        <v>8.1882999999999999</v>
      </c>
      <c r="Z43" s="193">
        <v>9.2479999999999993</v>
      </c>
      <c r="AA43" s="193">
        <v>351.54700000000003</v>
      </c>
      <c r="AB43" s="193">
        <v>1185.9676999999999</v>
      </c>
      <c r="AC43" s="6">
        <v>10.345000000000001</v>
      </c>
      <c r="AD43" s="6">
        <v>3.8952</v>
      </c>
      <c r="AE43" s="6">
        <v>12.3087</v>
      </c>
      <c r="AF43" s="19">
        <f t="shared" si="87"/>
        <v>3.5040007860090392</v>
      </c>
      <c r="AG43" s="6">
        <v>16.978000000000002</v>
      </c>
      <c r="AH43" s="6">
        <v>5.0426000000000002</v>
      </c>
      <c r="AI43" s="6">
        <v>10.901</v>
      </c>
      <c r="AJ43" s="270">
        <v>4.3680000000000003</v>
      </c>
      <c r="AK43" s="270">
        <v>4.4260999999999999</v>
      </c>
      <c r="AL43" s="270">
        <v>9.6095000000000006</v>
      </c>
      <c r="AM43" s="270">
        <v>6.2910000000000004</v>
      </c>
      <c r="AN43" s="270">
        <v>2.3803000000000001</v>
      </c>
      <c r="AO43" s="270">
        <v>8.5317000000000007</v>
      </c>
      <c r="AP43" s="270">
        <v>9.1609999999999996</v>
      </c>
      <c r="AQ43" s="270">
        <v>222.7704</v>
      </c>
      <c r="AR43" s="270">
        <v>855.7056</v>
      </c>
      <c r="AS43" s="270">
        <v>10.308</v>
      </c>
      <c r="AT43" s="270">
        <v>3.7770000000000001</v>
      </c>
      <c r="AU43" s="270">
        <v>12.6538</v>
      </c>
      <c r="AV43" s="275">
        <f t="shared" si="85"/>
        <v>2.1245881252921923</v>
      </c>
      <c r="AW43" s="270">
        <v>16.901</v>
      </c>
      <c r="AX43" s="270">
        <v>5.3338999999999999</v>
      </c>
      <c r="AY43" s="270">
        <v>11.585000000000001</v>
      </c>
      <c r="AZ43" s="271">
        <v>4.3639999999999999</v>
      </c>
      <c r="BA43" s="271">
        <v>5.9257999999999997</v>
      </c>
      <c r="BB43" s="271">
        <v>15.295299999999999</v>
      </c>
      <c r="BC43" s="271" t="s">
        <v>1256</v>
      </c>
      <c r="BD43" s="271" t="s">
        <v>1257</v>
      </c>
      <c r="BE43" s="271" t="s">
        <v>1258</v>
      </c>
      <c r="BF43" s="271">
        <v>9.1080000000000005</v>
      </c>
      <c r="BG43" s="271">
        <v>78.760300000000001</v>
      </c>
      <c r="BH43" s="271">
        <v>333.54640000000001</v>
      </c>
      <c r="BI43" s="271">
        <v>10.308</v>
      </c>
      <c r="BJ43" s="271">
        <v>3.6549999999999998</v>
      </c>
      <c r="BK43" s="271">
        <v>13.117800000000001</v>
      </c>
      <c r="BL43" s="275">
        <f t="shared" si="66"/>
        <v>0.77807012622720895</v>
      </c>
      <c r="BM43" s="271">
        <v>16.890999999999998</v>
      </c>
      <c r="BN43" s="271">
        <v>6.3906999999999998</v>
      </c>
      <c r="BO43" s="271">
        <v>13.9353</v>
      </c>
      <c r="EU43" s="12">
        <f t="shared" si="67"/>
        <v>90</v>
      </c>
      <c r="EV43" s="12">
        <f t="shared" si="68"/>
        <v>5.0731184908626448</v>
      </c>
      <c r="EW43" s="12">
        <f t="shared" si="69"/>
        <v>3.5040007860090392</v>
      </c>
      <c r="EX43" s="12">
        <f t="shared" si="70"/>
        <v>2.1245881252921923</v>
      </c>
      <c r="EY43" s="12">
        <f t="shared" si="71"/>
        <v>0.77807012622720895</v>
      </c>
      <c r="EZ43" s="12">
        <f t="shared" si="72"/>
        <v>44.28100805659264</v>
      </c>
      <c r="FA43" s="12">
        <f t="shared" si="73"/>
        <v>28.665346826488506</v>
      </c>
      <c r="FB43" s="12">
        <f t="shared" si="74"/>
        <v>18.797807386629263</v>
      </c>
      <c r="FC43" s="12">
        <f t="shared" si="75"/>
        <v>6.8342028985507239</v>
      </c>
      <c r="FD43" s="12">
        <f t="shared" si="76"/>
        <v>0.40584947926901155</v>
      </c>
      <c r="FE43" s="12">
        <f t="shared" si="77"/>
        <v>0.28032006288072314</v>
      </c>
      <c r="FF43" s="12">
        <f t="shared" si="78"/>
        <v>0.16996705002337537</v>
      </c>
      <c r="FG43" s="12">
        <f t="shared" si="79"/>
        <v>6.224561009817671E-2</v>
      </c>
      <c r="FH43" s="12">
        <f t="shared" si="80"/>
        <v>3.5424806445274113</v>
      </c>
      <c r="FI43" s="12">
        <f t="shared" si="81"/>
        <v>2.2932277461190802</v>
      </c>
      <c r="FJ43" s="12">
        <f t="shared" si="82"/>
        <v>1.5038245909303409</v>
      </c>
      <c r="FK43" s="12">
        <f t="shared" si="83"/>
        <v>0.54673623188405784</v>
      </c>
    </row>
    <row r="44" spans="1:187" ht="31">
      <c r="B44">
        <v>10</v>
      </c>
      <c r="C44">
        <f t="shared" si="65"/>
        <v>100</v>
      </c>
      <c r="D44" s="268">
        <v>4.3579999999999997</v>
      </c>
      <c r="E44" s="268">
        <v>1.2491000000000001</v>
      </c>
      <c r="F44" s="268">
        <v>2.1360999999999999</v>
      </c>
      <c r="G44" s="268" t="s">
        <v>1140</v>
      </c>
      <c r="H44" s="268" t="s">
        <v>1141</v>
      </c>
      <c r="I44" s="268" t="s">
        <v>1142</v>
      </c>
      <c r="J44" s="268">
        <v>9.2509999999999994</v>
      </c>
      <c r="K44" s="268">
        <v>379.952</v>
      </c>
      <c r="L44" s="268">
        <v>1247.5627999999999</v>
      </c>
      <c r="M44" s="268">
        <v>10.337999999999999</v>
      </c>
      <c r="N44" s="268">
        <v>3.6806999999999999</v>
      </c>
      <c r="O44" s="268">
        <v>11.1805</v>
      </c>
      <c r="P44" s="23">
        <f t="shared" si="88"/>
        <v>3.7830831204558848</v>
      </c>
      <c r="Q44" s="268">
        <v>16.981000000000002</v>
      </c>
      <c r="R44" s="268">
        <v>1.2574000000000001</v>
      </c>
      <c r="S44" s="268">
        <v>2.6160000000000001</v>
      </c>
      <c r="T44" s="6">
        <v>4.3579999999999997</v>
      </c>
      <c r="U44" s="6">
        <v>5.4897999999999998</v>
      </c>
      <c r="V44" s="6">
        <v>13.9259</v>
      </c>
      <c r="W44" s="6">
        <v>6.335</v>
      </c>
      <c r="X44" s="6">
        <v>2.2214999999999998</v>
      </c>
      <c r="Y44" s="6">
        <v>7.9545000000000003</v>
      </c>
      <c r="Z44" s="193">
        <v>9.1850000000000005</v>
      </c>
      <c r="AA44" s="193">
        <v>221.78440000000001</v>
      </c>
      <c r="AB44" s="193">
        <v>851.01099999999997</v>
      </c>
      <c r="AC44" s="6">
        <v>10.335000000000001</v>
      </c>
      <c r="AD44" s="6">
        <v>3.9811999999999999</v>
      </c>
      <c r="AE44" s="6">
        <v>13.4556</v>
      </c>
      <c r="AF44" s="19">
        <f t="shared" si="87"/>
        <v>2.2290685792886618</v>
      </c>
      <c r="AG44" s="6">
        <v>16.965</v>
      </c>
      <c r="AH44" s="6">
        <v>5.8771000000000004</v>
      </c>
      <c r="AI44" s="6">
        <v>12.728899999999999</v>
      </c>
      <c r="AJ44" s="270">
        <v>4.3680000000000003</v>
      </c>
      <c r="AK44" s="270">
        <v>4.7614000000000001</v>
      </c>
      <c r="AL44" s="270">
        <v>10.450900000000001</v>
      </c>
      <c r="AM44" s="270" t="s">
        <v>1215</v>
      </c>
      <c r="AN44" s="270" t="s">
        <v>1216</v>
      </c>
      <c r="AO44" s="270" t="s">
        <v>1217</v>
      </c>
      <c r="AP44" s="270">
        <v>9.1310000000000002</v>
      </c>
      <c r="AQ44" s="270">
        <v>170.40610000000001</v>
      </c>
      <c r="AR44" s="270">
        <v>684.34100000000001</v>
      </c>
      <c r="AS44" s="270">
        <v>10.301</v>
      </c>
      <c r="AT44" s="270">
        <v>3.8142</v>
      </c>
      <c r="AU44" s="270">
        <v>13.206200000000001</v>
      </c>
      <c r="AV44" s="275">
        <f t="shared" si="85"/>
        <v>1.6349733520336605</v>
      </c>
      <c r="AW44" s="270">
        <v>16.888000000000002</v>
      </c>
      <c r="AX44" s="270">
        <v>5.6653000000000002</v>
      </c>
      <c r="AY44" s="270">
        <v>12.228199999999999</v>
      </c>
      <c r="AZ44" s="271">
        <v>4.3650000000000002</v>
      </c>
      <c r="BA44" s="271">
        <v>5.9951999999999996</v>
      </c>
      <c r="BB44" s="271">
        <v>15.443899999999999</v>
      </c>
      <c r="BC44" s="271" t="s">
        <v>1259</v>
      </c>
      <c r="BD44" s="271" t="s">
        <v>1260</v>
      </c>
      <c r="BE44" s="271" t="s">
        <v>1261</v>
      </c>
      <c r="BF44" s="271">
        <v>9.0980000000000008</v>
      </c>
      <c r="BG44" s="271">
        <v>58.514699999999998</v>
      </c>
      <c r="BH44" s="271">
        <v>250.3193</v>
      </c>
      <c r="BI44" s="271">
        <v>10.305</v>
      </c>
      <c r="BJ44" s="271">
        <v>4.0002000000000004</v>
      </c>
      <c r="BK44" s="271">
        <v>13.7133</v>
      </c>
      <c r="BL44" s="275">
        <f t="shared" si="66"/>
        <v>0.58877045348293588</v>
      </c>
      <c r="BM44" s="271">
        <v>16.888000000000002</v>
      </c>
      <c r="BN44" s="271">
        <v>6.3066000000000004</v>
      </c>
      <c r="BO44" s="271">
        <v>13.6835</v>
      </c>
      <c r="EU44" s="12">
        <f t="shared" si="67"/>
        <v>100</v>
      </c>
      <c r="EV44" s="12">
        <f t="shared" si="68"/>
        <v>3.7830831204558848</v>
      </c>
      <c r="EW44" s="12">
        <f t="shared" si="69"/>
        <v>2.2290685792886618</v>
      </c>
      <c r="EX44" s="12">
        <f t="shared" si="70"/>
        <v>1.6349733520336605</v>
      </c>
      <c r="EY44" s="12">
        <f t="shared" si="71"/>
        <v>0.58877045348293588</v>
      </c>
      <c r="EZ44" s="12">
        <f t="shared" si="72"/>
        <v>31.537104539202197</v>
      </c>
      <c r="FA44" s="12">
        <f t="shared" si="73"/>
        <v>18.183444684613871</v>
      </c>
      <c r="FB44" s="12">
        <f t="shared" si="74"/>
        <v>14.238176718092566</v>
      </c>
      <c r="FC44" s="12">
        <f t="shared" si="75"/>
        <v>5.3095979429640021</v>
      </c>
      <c r="FD44" s="12">
        <f t="shared" si="76"/>
        <v>0.30264664963647081</v>
      </c>
      <c r="FE44" s="12">
        <f t="shared" si="77"/>
        <v>0.17832548634309292</v>
      </c>
      <c r="FF44" s="12">
        <f t="shared" si="78"/>
        <v>0.13079786816269284</v>
      </c>
      <c r="FG44" s="12">
        <f t="shared" si="79"/>
        <v>4.7101636278634867E-2</v>
      </c>
      <c r="FH44" s="12">
        <f t="shared" si="80"/>
        <v>2.5229683631361759</v>
      </c>
      <c r="FI44" s="12">
        <f t="shared" si="81"/>
        <v>1.4546755747691098</v>
      </c>
      <c r="FJ44" s="12">
        <f t="shared" si="82"/>
        <v>1.1390541374474052</v>
      </c>
      <c r="FK44" s="12">
        <f t="shared" si="83"/>
        <v>0.4247678354371201</v>
      </c>
    </row>
    <row r="45" spans="1:187" ht="31">
      <c r="B45">
        <v>11</v>
      </c>
      <c r="C45">
        <f t="shared" si="65"/>
        <v>110</v>
      </c>
      <c r="D45" s="268">
        <v>4.3579999999999997</v>
      </c>
      <c r="E45" s="268">
        <v>1.3647</v>
      </c>
      <c r="F45" s="268">
        <v>2.3858000000000001</v>
      </c>
      <c r="G45" s="268" t="s">
        <v>1143</v>
      </c>
      <c r="H45" s="268" t="s">
        <v>1144</v>
      </c>
      <c r="I45" s="268" t="s">
        <v>1145</v>
      </c>
      <c r="J45" s="268">
        <v>9.1910000000000007</v>
      </c>
      <c r="K45" s="268">
        <v>251.83690000000001</v>
      </c>
      <c r="L45" s="268">
        <v>938.54830000000004</v>
      </c>
      <c r="M45" s="268">
        <v>10.331</v>
      </c>
      <c r="N45" s="268">
        <v>3.6836000000000002</v>
      </c>
      <c r="O45" s="268">
        <v>12.0451</v>
      </c>
      <c r="P45" s="23">
        <f t="shared" si="88"/>
        <v>2.5243377873845549</v>
      </c>
      <c r="Q45" s="268" t="s">
        <v>1146</v>
      </c>
      <c r="R45" s="268" t="s">
        <v>1147</v>
      </c>
      <c r="S45" s="268" t="s">
        <v>1148</v>
      </c>
      <c r="T45" s="6">
        <v>4.3639999999999999</v>
      </c>
      <c r="U45" s="6">
        <v>6.4557000000000002</v>
      </c>
      <c r="V45" s="6">
        <v>17.086600000000001</v>
      </c>
      <c r="W45" s="6">
        <v>6.3479999999999999</v>
      </c>
      <c r="X45" s="6">
        <v>2.0985</v>
      </c>
      <c r="Y45" s="6">
        <v>8.1243999999999996</v>
      </c>
      <c r="Z45" s="193">
        <v>9.1509999999999998</v>
      </c>
      <c r="AA45" s="193">
        <v>138.17740000000001</v>
      </c>
      <c r="AB45" s="193">
        <v>565.71199999999999</v>
      </c>
      <c r="AC45" s="6">
        <v>10.337999999999999</v>
      </c>
      <c r="AD45" s="6">
        <v>3.7227000000000001</v>
      </c>
      <c r="AE45" s="6">
        <v>13.0481</v>
      </c>
      <c r="AF45" s="19">
        <f t="shared" si="87"/>
        <v>1.4076203576341129</v>
      </c>
      <c r="AG45" s="6">
        <v>16.963999999999999</v>
      </c>
      <c r="AH45" s="6">
        <v>6.0629999999999997</v>
      </c>
      <c r="AI45" s="6">
        <v>13.1569</v>
      </c>
      <c r="AJ45" s="270">
        <v>4.3739999999999997</v>
      </c>
      <c r="AK45" s="270">
        <v>4.9793000000000003</v>
      </c>
      <c r="AL45" s="270">
        <v>11.155900000000001</v>
      </c>
      <c r="AM45" s="270" t="s">
        <v>1218</v>
      </c>
      <c r="AN45" s="270" t="s">
        <v>1219</v>
      </c>
      <c r="AO45" s="270" t="s">
        <v>1220</v>
      </c>
      <c r="AP45" s="270">
        <v>9.1210000000000004</v>
      </c>
      <c r="AQ45" s="270">
        <v>125.23990000000001</v>
      </c>
      <c r="AR45" s="270">
        <v>518.78830000000005</v>
      </c>
      <c r="AS45" s="270">
        <v>10.304</v>
      </c>
      <c r="AT45" s="270">
        <v>3.9716</v>
      </c>
      <c r="AU45" s="270">
        <v>14.061400000000001</v>
      </c>
      <c r="AV45" s="275">
        <f t="shared" si="85"/>
        <v>1.2126619915848527</v>
      </c>
      <c r="AW45" s="270">
        <v>16.890999999999998</v>
      </c>
      <c r="AX45" s="270">
        <v>6.0235000000000003</v>
      </c>
      <c r="AY45" s="270">
        <v>13.050700000000001</v>
      </c>
      <c r="AZ45" s="271">
        <v>4.3650000000000002</v>
      </c>
      <c r="BA45" s="271">
        <v>5.8000999999999996</v>
      </c>
      <c r="BB45" s="271">
        <v>15.273999999999999</v>
      </c>
      <c r="BC45" s="271" t="s">
        <v>1256</v>
      </c>
      <c r="BD45" s="271" t="s">
        <v>1262</v>
      </c>
      <c r="BE45" s="271" t="s">
        <v>1263</v>
      </c>
      <c r="BF45" s="271">
        <v>9.0980000000000008</v>
      </c>
      <c r="BG45" s="271">
        <v>46.149000000000001</v>
      </c>
      <c r="BH45" s="271">
        <v>199.60079999999999</v>
      </c>
      <c r="BI45" s="271">
        <v>10.308</v>
      </c>
      <c r="BJ45" s="271">
        <v>3.5844</v>
      </c>
      <c r="BK45" s="271">
        <v>13.0924</v>
      </c>
      <c r="BL45" s="275">
        <f t="shared" si="66"/>
        <v>0.47314913510986445</v>
      </c>
      <c r="BM45" s="271">
        <v>16.895</v>
      </c>
      <c r="BN45" s="271">
        <v>5.9778000000000002</v>
      </c>
      <c r="BO45" s="271">
        <v>12.9916</v>
      </c>
      <c r="EU45" s="12">
        <f t="shared" si="67"/>
        <v>110</v>
      </c>
      <c r="EV45" s="12">
        <f t="shared" si="68"/>
        <v>2.5243377873845549</v>
      </c>
      <c r="EW45" s="12">
        <f t="shared" si="69"/>
        <v>1.4076203576341129</v>
      </c>
      <c r="EX45" s="12">
        <f t="shared" si="70"/>
        <v>1.2126619915848527</v>
      </c>
      <c r="EY45" s="12">
        <f t="shared" si="71"/>
        <v>0.47314913510986445</v>
      </c>
      <c r="EZ45" s="12">
        <f t="shared" si="72"/>
        <v>20.485218117508353</v>
      </c>
      <c r="FA45" s="12">
        <f t="shared" si="73"/>
        <v>11.28073786598546</v>
      </c>
      <c r="FB45" s="12">
        <f t="shared" si="74"/>
        <v>10.592304815334268</v>
      </c>
      <c r="FC45" s="12">
        <f t="shared" si="75"/>
        <v>4.4000233754090692</v>
      </c>
      <c r="FD45" s="12">
        <f t="shared" si="76"/>
        <v>0.20194702299076439</v>
      </c>
      <c r="FE45" s="12">
        <f t="shared" si="77"/>
        <v>0.11260962861072903</v>
      </c>
      <c r="FF45" s="12">
        <f t="shared" si="78"/>
        <v>9.7012959326788203E-2</v>
      </c>
      <c r="FG45" s="12">
        <f t="shared" si="79"/>
        <v>3.7851930808789153E-2</v>
      </c>
      <c r="FH45" s="12">
        <f t="shared" si="80"/>
        <v>1.6388174494006682</v>
      </c>
      <c r="FI45" s="12">
        <f t="shared" si="81"/>
        <v>0.90245902927883681</v>
      </c>
      <c r="FJ45" s="12">
        <f t="shared" si="82"/>
        <v>0.84738438522674153</v>
      </c>
      <c r="FK45" s="12">
        <f t="shared" si="83"/>
        <v>0.35200187003272554</v>
      </c>
    </row>
    <row r="46" spans="1:187" ht="31">
      <c r="B46">
        <v>12</v>
      </c>
      <c r="C46">
        <f t="shared" si="65"/>
        <v>120</v>
      </c>
      <c r="D46" s="268">
        <v>4.3609999999999998</v>
      </c>
      <c r="E46" s="268">
        <v>1.4529000000000001</v>
      </c>
      <c r="F46" s="268">
        <v>2.6113</v>
      </c>
      <c r="G46" s="268" t="s">
        <v>1149</v>
      </c>
      <c r="H46" s="268" t="s">
        <v>1150</v>
      </c>
      <c r="I46" s="268" t="s">
        <v>1151</v>
      </c>
      <c r="J46" s="268">
        <v>9.1470000000000002</v>
      </c>
      <c r="K46" s="268">
        <v>154.97980000000001</v>
      </c>
      <c r="L46" s="268">
        <v>622.35509999999999</v>
      </c>
      <c r="M46" s="268">
        <v>10.331</v>
      </c>
      <c r="N46" s="268">
        <v>3.6806000000000001</v>
      </c>
      <c r="O46" s="268">
        <v>12.6106</v>
      </c>
      <c r="P46" s="23">
        <f t="shared" si="88"/>
        <v>1.5727058361171156</v>
      </c>
      <c r="Q46" s="268" t="s">
        <v>1152</v>
      </c>
      <c r="R46" s="268" t="s">
        <v>1153</v>
      </c>
      <c r="S46" s="268" t="s">
        <v>1154</v>
      </c>
      <c r="T46" s="6">
        <v>4.3680000000000003</v>
      </c>
      <c r="U46" s="6">
        <v>6.9901999999999997</v>
      </c>
      <c r="V46" s="6">
        <v>18.981000000000002</v>
      </c>
      <c r="W46" s="6">
        <v>6.3550000000000004</v>
      </c>
      <c r="X46" s="6">
        <v>1.9198999999999999</v>
      </c>
      <c r="Y46" s="6">
        <v>7.8544999999999998</v>
      </c>
      <c r="Z46" s="193">
        <v>9.1310000000000002</v>
      </c>
      <c r="AA46" s="193">
        <v>81.272900000000007</v>
      </c>
      <c r="AB46" s="193">
        <v>343.6103</v>
      </c>
      <c r="AC46" s="6">
        <v>10.337999999999999</v>
      </c>
      <c r="AD46" s="6">
        <v>3.7595999999999998</v>
      </c>
      <c r="AE46" s="6">
        <v>13.499000000000001</v>
      </c>
      <c r="AF46" s="19">
        <f t="shared" si="87"/>
        <v>0.84852721556297894</v>
      </c>
      <c r="AG46" s="6">
        <v>16.965</v>
      </c>
      <c r="AH46" s="6">
        <v>6.3433999999999999</v>
      </c>
      <c r="AI46" s="6">
        <v>13.721500000000001</v>
      </c>
      <c r="AJ46" s="270">
        <v>4.3710000000000004</v>
      </c>
      <c r="AK46" s="270">
        <v>5.1302000000000003</v>
      </c>
      <c r="AL46" s="270">
        <v>11.7851</v>
      </c>
      <c r="AM46" s="270" t="s">
        <v>1221</v>
      </c>
      <c r="AN46" s="270" t="s">
        <v>1222</v>
      </c>
      <c r="AO46" s="270" t="s">
        <v>1223</v>
      </c>
      <c r="AP46" s="270">
        <v>9.1039999999999992</v>
      </c>
      <c r="AQ46" s="270">
        <v>92.420900000000003</v>
      </c>
      <c r="AR46" s="270">
        <v>391.09910000000002</v>
      </c>
      <c r="AS46" s="270">
        <v>10.301</v>
      </c>
      <c r="AT46" s="270">
        <v>3.6059000000000001</v>
      </c>
      <c r="AU46" s="270">
        <v>13.387700000000001</v>
      </c>
      <c r="AV46" s="275">
        <f t="shared" si="85"/>
        <v>0.90579897148200095</v>
      </c>
      <c r="AW46" s="270">
        <v>16.888000000000002</v>
      </c>
      <c r="AX46" s="270">
        <v>5.8658999999999999</v>
      </c>
      <c r="AY46" s="270">
        <v>12.692299999999999</v>
      </c>
      <c r="AZ46" s="271">
        <v>4.3639999999999999</v>
      </c>
      <c r="BA46" s="271">
        <v>5.7622999999999998</v>
      </c>
      <c r="BB46" s="271">
        <v>15.229100000000001</v>
      </c>
      <c r="BC46" s="271" t="s">
        <v>1253</v>
      </c>
      <c r="BD46" s="271" t="s">
        <v>1264</v>
      </c>
      <c r="BE46" s="271" t="s">
        <v>1265</v>
      </c>
      <c r="BF46" s="271">
        <v>9.0939999999999994</v>
      </c>
      <c r="BG46" s="271">
        <v>39.058900000000001</v>
      </c>
      <c r="BH46" s="271">
        <v>169.75229999999999</v>
      </c>
      <c r="BI46" s="271">
        <v>10.304</v>
      </c>
      <c r="BJ46" s="271">
        <v>3.8138000000000001</v>
      </c>
      <c r="BK46" s="271">
        <v>14.020200000000001</v>
      </c>
      <c r="BL46" s="275">
        <f t="shared" si="66"/>
        <v>0.40685553997194945</v>
      </c>
      <c r="BM46" s="271">
        <v>16.890999999999998</v>
      </c>
      <c r="BN46" s="271">
        <v>6.1486999999999998</v>
      </c>
      <c r="BO46" s="271">
        <v>13.3544</v>
      </c>
      <c r="EU46" s="12">
        <f t="shared" si="67"/>
        <v>120</v>
      </c>
      <c r="EV46" s="12">
        <f t="shared" si="68"/>
        <v>1.5727058361171156</v>
      </c>
      <c r="EW46" s="12">
        <f t="shared" si="69"/>
        <v>0.84852721556297894</v>
      </c>
      <c r="EX46" s="12">
        <f t="shared" si="70"/>
        <v>0.90579897148200095</v>
      </c>
      <c r="EY46" s="12">
        <f t="shared" si="71"/>
        <v>0.40685553997194945</v>
      </c>
      <c r="EZ46" s="12">
        <f t="shared" si="72"/>
        <v>12.742695028492827</v>
      </c>
      <c r="FA46" s="12">
        <f t="shared" si="73"/>
        <v>6.7075555118883869</v>
      </c>
      <c r="FB46" s="12">
        <f t="shared" si="74"/>
        <v>7.6199392239364183</v>
      </c>
      <c r="FC46" s="12">
        <f t="shared" si="75"/>
        <v>3.5832258064516131</v>
      </c>
      <c r="FD46" s="12">
        <f t="shared" si="76"/>
        <v>0.12581646688936926</v>
      </c>
      <c r="FE46" s="12">
        <f t="shared" si="77"/>
        <v>6.7882177245038325E-2</v>
      </c>
      <c r="FF46" s="12">
        <f t="shared" si="78"/>
        <v>7.2463917718560089E-2</v>
      </c>
      <c r="FG46" s="12">
        <f t="shared" si="79"/>
        <v>3.2548443197755961E-2</v>
      </c>
      <c r="FH46" s="12">
        <f t="shared" si="80"/>
        <v>1.0194156022794263</v>
      </c>
      <c r="FI46" s="12">
        <f t="shared" si="81"/>
        <v>0.53660444095107096</v>
      </c>
      <c r="FJ46" s="12">
        <f t="shared" si="82"/>
        <v>0.6095951379149136</v>
      </c>
      <c r="FK46" s="12">
        <f t="shared" si="83"/>
        <v>0.28665806451612907</v>
      </c>
    </row>
    <row r="47" spans="1:187" ht="31">
      <c r="B47">
        <v>13</v>
      </c>
      <c r="C47">
        <f t="shared" si="65"/>
        <v>130</v>
      </c>
      <c r="D47" s="268">
        <v>4.3609999999999998</v>
      </c>
      <c r="E47" s="268">
        <v>1.5524</v>
      </c>
      <c r="F47" s="268">
        <v>2.8673999999999999</v>
      </c>
      <c r="G47" s="268" t="s">
        <v>1155</v>
      </c>
      <c r="H47" s="268" t="s">
        <v>1156</v>
      </c>
      <c r="I47" s="268" t="s">
        <v>1157</v>
      </c>
      <c r="J47" s="268">
        <v>9.1280000000000001</v>
      </c>
      <c r="K47" s="268">
        <v>94.230099999999993</v>
      </c>
      <c r="L47" s="268">
        <v>391.39699999999999</v>
      </c>
      <c r="M47" s="268">
        <v>10.334</v>
      </c>
      <c r="N47" s="268">
        <v>3.6524999999999999</v>
      </c>
      <c r="O47" s="268">
        <v>12.887700000000001</v>
      </c>
      <c r="P47" s="23">
        <f t="shared" si="88"/>
        <v>0.97583316958145006</v>
      </c>
      <c r="Q47" s="268" t="s">
        <v>1158</v>
      </c>
      <c r="R47" s="268" t="s">
        <v>1159</v>
      </c>
      <c r="S47" s="268" t="s">
        <v>1160</v>
      </c>
      <c r="T47" s="6">
        <v>4.3710000000000004</v>
      </c>
      <c r="U47" s="6">
        <v>7.1829999999999998</v>
      </c>
      <c r="V47" s="6">
        <v>19.780799999999999</v>
      </c>
      <c r="W47" s="6">
        <v>6.3579999999999997</v>
      </c>
      <c r="X47" s="6">
        <v>2.0301</v>
      </c>
      <c r="Y47" s="6">
        <v>8.6800999999999995</v>
      </c>
      <c r="Z47" s="193">
        <v>9.125</v>
      </c>
      <c r="AA47" s="193">
        <v>45.085700000000003</v>
      </c>
      <c r="AB47" s="193">
        <v>194.92400000000001</v>
      </c>
      <c r="AC47" s="6">
        <v>10.340999999999999</v>
      </c>
      <c r="AD47" s="6">
        <v>3.7505000000000002</v>
      </c>
      <c r="AE47" s="6">
        <v>13.7516</v>
      </c>
      <c r="AF47" s="19">
        <f t="shared" si="87"/>
        <v>0.4929838868146984</v>
      </c>
      <c r="AG47" s="6">
        <v>16.968</v>
      </c>
      <c r="AH47" s="6">
        <v>6.4259000000000004</v>
      </c>
      <c r="AI47" s="6">
        <v>14.0002</v>
      </c>
      <c r="AJ47" s="270">
        <v>4.375</v>
      </c>
      <c r="AK47" s="270">
        <v>5.3879999999999999</v>
      </c>
      <c r="AL47" s="270">
        <v>12.459099999999999</v>
      </c>
      <c r="AM47" s="270" t="s">
        <v>1224</v>
      </c>
      <c r="AN47" s="270" t="s">
        <v>1225</v>
      </c>
      <c r="AO47" s="270" t="s">
        <v>1226</v>
      </c>
      <c r="AP47" s="270">
        <v>9.0980000000000008</v>
      </c>
      <c r="AQ47" s="270">
        <v>61.661000000000001</v>
      </c>
      <c r="AR47" s="270">
        <v>265.41480000000001</v>
      </c>
      <c r="AS47" s="270">
        <v>10.305</v>
      </c>
      <c r="AT47" s="270">
        <v>3.8963999999999999</v>
      </c>
      <c r="AU47" s="270">
        <v>14.265499999999999</v>
      </c>
      <c r="AV47" s="275">
        <f t="shared" si="85"/>
        <v>0.61818887330528283</v>
      </c>
      <c r="AW47" s="270">
        <v>16.888000000000002</v>
      </c>
      <c r="AX47" s="270">
        <v>6.0839999999999996</v>
      </c>
      <c r="AY47" s="270">
        <v>13.222300000000001</v>
      </c>
      <c r="AZ47" s="271">
        <v>4.3650000000000002</v>
      </c>
      <c r="BA47" s="271">
        <v>5.5926</v>
      </c>
      <c r="BB47" s="271">
        <v>14.914899999999999</v>
      </c>
      <c r="BC47" s="271" t="s">
        <v>1256</v>
      </c>
      <c r="BD47" s="271" t="s">
        <v>1266</v>
      </c>
      <c r="BE47" s="271" t="s">
        <v>1267</v>
      </c>
      <c r="BF47" s="271">
        <v>9.0950000000000006</v>
      </c>
      <c r="BG47" s="271">
        <v>28.677700000000002</v>
      </c>
      <c r="BH47" s="271">
        <v>125.3404</v>
      </c>
      <c r="BI47" s="271">
        <v>10.311</v>
      </c>
      <c r="BJ47" s="271">
        <v>3.6774</v>
      </c>
      <c r="BK47" s="271">
        <v>13.744</v>
      </c>
      <c r="BL47" s="275">
        <f t="shared" si="66"/>
        <v>0.30978962131837312</v>
      </c>
      <c r="BM47" s="271">
        <v>16.895</v>
      </c>
      <c r="BN47" s="271">
        <v>5.7717000000000001</v>
      </c>
      <c r="BO47" s="271">
        <v>12.5487</v>
      </c>
      <c r="EU47" s="12">
        <f t="shared" si="67"/>
        <v>130</v>
      </c>
      <c r="EV47" s="12">
        <f t="shared" si="68"/>
        <v>0.97583316958145006</v>
      </c>
      <c r="EW47" s="12">
        <f t="shared" si="69"/>
        <v>0.4929838868146984</v>
      </c>
      <c r="EX47" s="12">
        <f t="shared" si="70"/>
        <v>0.61818887330528283</v>
      </c>
      <c r="EY47" s="12">
        <f t="shared" si="71"/>
        <v>0.30978962131837312</v>
      </c>
      <c r="EZ47" s="12">
        <f t="shared" si="72"/>
        <v>7.8943652977009222</v>
      </c>
      <c r="FA47" s="12">
        <f t="shared" si="73"/>
        <v>4.0174543132246026</v>
      </c>
      <c r="FB47" s="12">
        <f t="shared" si="74"/>
        <v>5.1041467975689567</v>
      </c>
      <c r="FC47" s="12">
        <f t="shared" si="75"/>
        <v>2.8103740065451142</v>
      </c>
      <c r="FD47" s="12">
        <f t="shared" si="76"/>
        <v>7.8066653566516014E-2</v>
      </c>
      <c r="FE47" s="12">
        <f t="shared" si="77"/>
        <v>3.943871094517587E-2</v>
      </c>
      <c r="FF47" s="12">
        <f t="shared" si="78"/>
        <v>4.9455109864422628E-2</v>
      </c>
      <c r="FG47" s="12">
        <f t="shared" si="79"/>
        <v>2.478316970546985E-2</v>
      </c>
      <c r="FH47" s="12">
        <f t="shared" si="80"/>
        <v>0.63154922381607381</v>
      </c>
      <c r="FI47" s="12">
        <f t="shared" si="81"/>
        <v>0.32139634505796821</v>
      </c>
      <c r="FJ47" s="12">
        <f t="shared" si="82"/>
        <v>0.40833174380551662</v>
      </c>
      <c r="FK47" s="12">
        <f t="shared" si="83"/>
        <v>0.22482992052360917</v>
      </c>
    </row>
    <row r="48" spans="1:187" ht="31">
      <c r="B48">
        <v>14</v>
      </c>
      <c r="C48">
        <f t="shared" si="65"/>
        <v>140</v>
      </c>
      <c r="D48" s="268">
        <v>4.3579999999999997</v>
      </c>
      <c r="E48" s="268">
        <v>1.5891</v>
      </c>
      <c r="F48" s="268">
        <v>2.9527999999999999</v>
      </c>
      <c r="G48" s="268" t="s">
        <v>1155</v>
      </c>
      <c r="H48" s="268" t="s">
        <v>1161</v>
      </c>
      <c r="I48" s="268" t="s">
        <v>1162</v>
      </c>
      <c r="J48" s="268">
        <v>9.1180000000000003</v>
      </c>
      <c r="K48" s="268">
        <v>56.287199999999999</v>
      </c>
      <c r="L48" s="268">
        <v>239.1156</v>
      </c>
      <c r="M48" s="268">
        <v>10.334</v>
      </c>
      <c r="N48" s="268">
        <v>3.7037</v>
      </c>
      <c r="O48" s="268">
        <v>13.292299999999999</v>
      </c>
      <c r="P48" s="23">
        <f t="shared" si="88"/>
        <v>0.60303988995873459</v>
      </c>
      <c r="Q48" s="268" t="s">
        <v>1152</v>
      </c>
      <c r="R48" s="268" t="s">
        <v>1163</v>
      </c>
      <c r="S48" s="268" t="s">
        <v>1164</v>
      </c>
      <c r="T48" s="6">
        <v>4.3710000000000004</v>
      </c>
      <c r="U48" s="6">
        <v>6.8912000000000004</v>
      </c>
      <c r="V48" s="6">
        <v>19.0807</v>
      </c>
      <c r="W48" s="6">
        <v>6.3550000000000004</v>
      </c>
      <c r="X48" s="6">
        <v>1.9376</v>
      </c>
      <c r="Y48" s="6">
        <v>8.3195999999999994</v>
      </c>
      <c r="Z48" s="193">
        <v>9.1210000000000004</v>
      </c>
      <c r="AA48" s="193">
        <v>26.513200000000001</v>
      </c>
      <c r="AB48" s="193">
        <v>116.098</v>
      </c>
      <c r="AC48" s="6">
        <v>10.340999999999999</v>
      </c>
      <c r="AD48" s="6">
        <v>3.6103999999999998</v>
      </c>
      <c r="AE48" s="6">
        <v>13.4816</v>
      </c>
      <c r="AF48" s="19">
        <f t="shared" si="87"/>
        <v>0.31050697583022208</v>
      </c>
      <c r="AG48" s="6">
        <v>16.971</v>
      </c>
      <c r="AH48" s="6">
        <v>6.3010000000000002</v>
      </c>
      <c r="AI48" s="6">
        <v>13.7193</v>
      </c>
      <c r="AJ48" s="270">
        <v>4.3710000000000004</v>
      </c>
      <c r="AK48" s="270">
        <v>5.4114000000000004</v>
      </c>
      <c r="AL48" s="270">
        <v>12.5434</v>
      </c>
      <c r="AM48" s="270" t="s">
        <v>1227</v>
      </c>
      <c r="AN48" s="270" t="s">
        <v>1228</v>
      </c>
      <c r="AO48" s="270" t="s">
        <v>1229</v>
      </c>
      <c r="AP48" s="270">
        <v>9.0909999999999993</v>
      </c>
      <c r="AQ48" s="270">
        <v>38.6081</v>
      </c>
      <c r="AR48" s="270">
        <v>168.00299999999999</v>
      </c>
      <c r="AS48" s="270">
        <v>10.305</v>
      </c>
      <c r="AT48" s="270">
        <v>3.9796</v>
      </c>
      <c r="AU48" s="270">
        <v>14.053000000000001</v>
      </c>
      <c r="AV48" s="275">
        <f t="shared" si="85"/>
        <v>0.40264048620850862</v>
      </c>
      <c r="AW48" s="270">
        <v>16.890999999999998</v>
      </c>
      <c r="AX48" s="270">
        <v>5.8147000000000002</v>
      </c>
      <c r="AY48" s="270">
        <v>12.6572</v>
      </c>
      <c r="AZ48" s="271">
        <v>4.3639999999999999</v>
      </c>
      <c r="BA48" s="271">
        <v>5.5551000000000004</v>
      </c>
      <c r="BB48" s="271">
        <v>14.566599999999999</v>
      </c>
      <c r="BC48" s="271" t="s">
        <v>1268</v>
      </c>
      <c r="BD48" s="271" t="s">
        <v>1269</v>
      </c>
      <c r="BE48" s="271" t="s">
        <v>1270</v>
      </c>
      <c r="BF48" s="271">
        <v>9.0939999999999994</v>
      </c>
      <c r="BG48" s="271">
        <v>22.5276</v>
      </c>
      <c r="BH48" s="271">
        <v>96.504199999999997</v>
      </c>
      <c r="BI48" s="271">
        <v>10.311</v>
      </c>
      <c r="BJ48" s="271">
        <v>3.6114000000000002</v>
      </c>
      <c r="BK48" s="271">
        <v>13.5037</v>
      </c>
      <c r="BL48" s="275">
        <f t="shared" si="66"/>
        <v>0.25228517999064981</v>
      </c>
      <c r="BM48" s="271">
        <v>16.898</v>
      </c>
      <c r="BN48" s="271">
        <v>5.5590000000000002</v>
      </c>
      <c r="BO48" s="271">
        <v>12.077400000000001</v>
      </c>
      <c r="EU48" s="12">
        <f t="shared" si="67"/>
        <v>140</v>
      </c>
      <c r="EV48" s="12">
        <f t="shared" si="68"/>
        <v>0.60303988995873459</v>
      </c>
      <c r="EW48" s="12">
        <f t="shared" si="69"/>
        <v>0.31050697583022208</v>
      </c>
      <c r="EX48" s="12">
        <f t="shared" si="70"/>
        <v>0.40264048620850862</v>
      </c>
      <c r="EY48" s="12">
        <f t="shared" si="71"/>
        <v>0.25228517999064981</v>
      </c>
      <c r="EZ48" s="12">
        <f t="shared" si="72"/>
        <v>4.8917370799764202</v>
      </c>
      <c r="FA48" s="12">
        <f t="shared" si="73"/>
        <v>2.5986244841815682</v>
      </c>
      <c r="FB48" s="12">
        <f t="shared" si="74"/>
        <v>3.3926647966339409</v>
      </c>
      <c r="FC48" s="12">
        <f t="shared" si="75"/>
        <v>2.1807807386629263</v>
      </c>
      <c r="FD48" s="12">
        <f t="shared" si="76"/>
        <v>4.8243191196698766E-2</v>
      </c>
      <c r="FE48" s="12">
        <f t="shared" si="77"/>
        <v>2.4840558066417766E-2</v>
      </c>
      <c r="FF48" s="12">
        <f t="shared" si="78"/>
        <v>3.2211238896680691E-2</v>
      </c>
      <c r="FG48" s="12">
        <f t="shared" si="79"/>
        <v>2.0182814399251986E-2</v>
      </c>
      <c r="FH48" s="12">
        <f t="shared" si="80"/>
        <v>0.39133896639811366</v>
      </c>
      <c r="FI48" s="12">
        <f t="shared" si="81"/>
        <v>0.20788995873452543</v>
      </c>
      <c r="FJ48" s="12">
        <f t="shared" si="82"/>
        <v>0.27141318373071527</v>
      </c>
      <c r="FK48" s="12">
        <f t="shared" si="83"/>
        <v>0.17446245909303412</v>
      </c>
    </row>
    <row r="49" spans="2:214" ht="31">
      <c r="B49">
        <v>15</v>
      </c>
      <c r="C49">
        <f t="shared" si="65"/>
        <v>150</v>
      </c>
      <c r="D49" s="268">
        <v>4.3579999999999997</v>
      </c>
      <c r="E49" s="268">
        <v>1.7092000000000001</v>
      </c>
      <c r="F49" s="268">
        <v>3.1661000000000001</v>
      </c>
      <c r="G49" s="268" t="s">
        <v>1165</v>
      </c>
      <c r="H49" s="268" t="s">
        <v>1166</v>
      </c>
      <c r="I49" s="268" t="s">
        <v>1167</v>
      </c>
      <c r="J49" s="268">
        <v>9.1140000000000008</v>
      </c>
      <c r="K49" s="268">
        <v>33.108600000000003</v>
      </c>
      <c r="L49" s="268">
        <v>142.24</v>
      </c>
      <c r="M49" s="268">
        <v>10.337999999999999</v>
      </c>
      <c r="N49" s="268">
        <v>3.6480999999999999</v>
      </c>
      <c r="O49" s="268">
        <v>12.8306</v>
      </c>
      <c r="P49" s="23">
        <f t="shared" si="88"/>
        <v>0.37530752603654949</v>
      </c>
      <c r="Q49" s="268" t="s">
        <v>1168</v>
      </c>
      <c r="R49" s="268" t="s">
        <v>1169</v>
      </c>
      <c r="S49" s="268" t="s">
        <v>1170</v>
      </c>
      <c r="T49" s="6">
        <v>4.3710000000000004</v>
      </c>
      <c r="U49" s="6">
        <v>6.5250000000000004</v>
      </c>
      <c r="V49" s="6">
        <v>18.1694</v>
      </c>
      <c r="W49" s="6">
        <v>6.3579999999999997</v>
      </c>
      <c r="X49" s="6">
        <v>2.0943999999999998</v>
      </c>
      <c r="Y49" s="6">
        <v>9.3011999999999997</v>
      </c>
      <c r="Z49" s="193">
        <v>9.1180000000000003</v>
      </c>
      <c r="AA49" s="193">
        <v>16.204000000000001</v>
      </c>
      <c r="AB49" s="193">
        <v>71.323599999999999</v>
      </c>
      <c r="AC49" s="6">
        <v>10.340999999999999</v>
      </c>
      <c r="AD49" s="6">
        <v>3.6072000000000002</v>
      </c>
      <c r="AE49" s="6">
        <v>13.469099999999999</v>
      </c>
      <c r="AF49" s="19">
        <f t="shared" si="87"/>
        <v>0.20921792100609157</v>
      </c>
      <c r="AG49" s="6">
        <v>16.971</v>
      </c>
      <c r="AH49" s="6">
        <v>6.2523</v>
      </c>
      <c r="AI49" s="6">
        <v>13.6181</v>
      </c>
      <c r="AJ49" s="270">
        <v>4.3710000000000004</v>
      </c>
      <c r="AK49" s="270">
        <v>5.2062999999999997</v>
      </c>
      <c r="AL49" s="270">
        <v>12.587300000000001</v>
      </c>
      <c r="AM49" s="270">
        <v>6.335</v>
      </c>
      <c r="AN49" s="270">
        <v>1.8938999999999999</v>
      </c>
      <c r="AO49" s="270">
        <v>7.8129999999999997</v>
      </c>
      <c r="AP49" s="270">
        <v>9.0879999999999992</v>
      </c>
      <c r="AQ49" s="270">
        <v>25.052399999999999</v>
      </c>
      <c r="AR49" s="270">
        <v>110.401</v>
      </c>
      <c r="AS49" s="270">
        <v>10.305</v>
      </c>
      <c r="AT49" s="270">
        <v>3.6067999999999998</v>
      </c>
      <c r="AU49" s="270">
        <v>13.543699999999999</v>
      </c>
      <c r="AV49" s="275">
        <f t="shared" si="85"/>
        <v>0.27589247311827952</v>
      </c>
      <c r="AW49" s="270">
        <v>16.890999999999998</v>
      </c>
      <c r="AX49" s="270">
        <v>5.5525000000000002</v>
      </c>
      <c r="AY49" s="270">
        <v>12.0991</v>
      </c>
      <c r="AZ49" s="271">
        <v>4.3639999999999999</v>
      </c>
      <c r="BA49" s="271">
        <v>5.5294999999999996</v>
      </c>
      <c r="BB49" s="271">
        <v>14.3872</v>
      </c>
      <c r="BC49" s="271" t="s">
        <v>1271</v>
      </c>
      <c r="BD49" s="271" t="s">
        <v>1272</v>
      </c>
      <c r="BE49" s="271" t="s">
        <v>1273</v>
      </c>
      <c r="BF49" s="271">
        <v>9.0939999999999994</v>
      </c>
      <c r="BG49" s="271">
        <v>15.210699999999999</v>
      </c>
      <c r="BH49" s="271">
        <v>66.178200000000004</v>
      </c>
      <c r="BI49" s="271">
        <v>10.311</v>
      </c>
      <c r="BJ49" s="271">
        <v>4.2206999999999999</v>
      </c>
      <c r="BK49" s="271">
        <v>14.190300000000001</v>
      </c>
      <c r="BL49" s="275">
        <f t="shared" si="66"/>
        <v>0.18387096774193548</v>
      </c>
      <c r="BM49" s="271">
        <v>16.896999999999998</v>
      </c>
      <c r="BN49" s="271">
        <v>5.8207000000000004</v>
      </c>
      <c r="BO49" s="271">
        <v>12.679</v>
      </c>
      <c r="EU49" s="12">
        <f t="shared" si="67"/>
        <v>150</v>
      </c>
      <c r="EV49" s="12">
        <f t="shared" si="68"/>
        <v>0.37530752603654949</v>
      </c>
      <c r="EW49" s="12">
        <f t="shared" si="69"/>
        <v>0.20921792100609157</v>
      </c>
      <c r="EX49" s="12">
        <f t="shared" si="70"/>
        <v>0.27589247311827952</v>
      </c>
      <c r="EY49" s="12">
        <f t="shared" si="71"/>
        <v>0.18387096774193548</v>
      </c>
      <c r="FD49" s="12">
        <f t="shared" si="76"/>
        <v>3.002460208292396E-2</v>
      </c>
      <c r="FE49" s="12">
        <f t="shared" si="77"/>
        <v>1.6737433680487326E-2</v>
      </c>
      <c r="FF49" s="12">
        <f t="shared" si="78"/>
        <v>2.2071397849462361E-2</v>
      </c>
      <c r="FG49" s="12">
        <f t="shared" si="79"/>
        <v>1.4709677419354838E-2</v>
      </c>
    </row>
    <row r="50" spans="2:214">
      <c r="FG50" t="s">
        <v>1430</v>
      </c>
      <c r="FH50" s="12">
        <f>SUM(FH34:FH48)</f>
        <v>16.369635684810373</v>
      </c>
      <c r="FI50" s="12">
        <f t="shared" ref="FI50:FK50" si="89">SUM(FI34:FI48)</f>
        <v>17.288918058557673</v>
      </c>
      <c r="FJ50" s="12">
        <f t="shared" si="89"/>
        <v>15.365110799438989</v>
      </c>
      <c r="FK50" s="12">
        <f t="shared" si="89"/>
        <v>15.254757550257127</v>
      </c>
    </row>
    <row r="51" spans="2:214">
      <c r="FG51" t="s">
        <v>1431</v>
      </c>
      <c r="FH51">
        <v>3</v>
      </c>
      <c r="FI51">
        <v>3.5</v>
      </c>
      <c r="FJ51">
        <v>3</v>
      </c>
      <c r="FK51">
        <v>3</v>
      </c>
    </row>
    <row r="52" spans="2:214">
      <c r="FG52" t="s">
        <v>1432</v>
      </c>
      <c r="FH52" s="305">
        <f>FH50*FH51</f>
        <v>49.108907054431114</v>
      </c>
      <c r="FI52" s="305">
        <f t="shared" ref="FI52:FK52" si="90">FI50*FI51</f>
        <v>60.511213204951858</v>
      </c>
      <c r="FJ52" s="305">
        <f t="shared" si="90"/>
        <v>46.09533239831697</v>
      </c>
      <c r="FK52" s="305">
        <f t="shared" si="90"/>
        <v>45.764272650771382</v>
      </c>
    </row>
    <row r="53" spans="2:214">
      <c r="FG53" t="s">
        <v>1314</v>
      </c>
      <c r="FH53" s="305">
        <v>35.200000000000003</v>
      </c>
      <c r="FI53" s="305">
        <v>41.6</v>
      </c>
      <c r="FJ53" s="305">
        <v>44.8</v>
      </c>
      <c r="FK53" s="305">
        <v>44.8</v>
      </c>
    </row>
    <row r="54" spans="2:214">
      <c r="FG54" t="s">
        <v>1315</v>
      </c>
      <c r="FH54" s="305">
        <f>FH52/FH53</f>
        <v>1.3951394049554293</v>
      </c>
      <c r="FI54" s="305">
        <f t="shared" ref="FI54:FK54" si="91">FI52/FI53</f>
        <v>1.4545964712728812</v>
      </c>
      <c r="FJ54" s="305">
        <f t="shared" si="91"/>
        <v>1.0289136696052896</v>
      </c>
      <c r="FK54" s="305">
        <f t="shared" si="91"/>
        <v>1.0215239430975755</v>
      </c>
    </row>
    <row r="55" spans="2:214">
      <c r="FG55" t="s">
        <v>1316</v>
      </c>
      <c r="FH55" s="305">
        <f>FH52/2</f>
        <v>24.554453527215557</v>
      </c>
      <c r="FI55" s="305">
        <f t="shared" ref="FI55:FK55" si="92">FI52/2</f>
        <v>30.255606602475929</v>
      </c>
      <c r="FJ55" s="305">
        <f t="shared" si="92"/>
        <v>23.047666199158485</v>
      </c>
      <c r="FK55" s="305">
        <f t="shared" si="92"/>
        <v>22.882136325385691</v>
      </c>
    </row>
    <row r="56" spans="2:214">
      <c r="FG56" t="s">
        <v>1317</v>
      </c>
      <c r="FH56" s="305">
        <f>(SUM(FH34:FH42))*FH51</f>
        <v>19.869196305757512</v>
      </c>
      <c r="FI56" s="305">
        <f>(SUM(FI34:FI41))*FI51</f>
        <v>29.020976616231081</v>
      </c>
      <c r="FJ56" s="305">
        <f>(SUM(FJ34:FJ41))*FJ51</f>
        <v>26.277111921458626</v>
      </c>
      <c r="FK56" s="305">
        <f>(SUM(FK34:FK37))*FK51</f>
        <v>18.394842075736324</v>
      </c>
    </row>
    <row r="57" spans="2:214">
      <c r="FG57" t="s">
        <v>1317</v>
      </c>
      <c r="FH57" s="305" t="s">
        <v>1433</v>
      </c>
      <c r="FI57" s="305" t="s">
        <v>1323</v>
      </c>
      <c r="FJ57" s="305" t="s">
        <v>1434</v>
      </c>
      <c r="FK57" s="305" t="s">
        <v>1435</v>
      </c>
    </row>
    <row r="60" spans="2:214">
      <c r="FG60">
        <f>FH61+FG61+FG61+FG61+FG61</f>
        <v>24.139999999999993</v>
      </c>
      <c r="FH60">
        <v>30.5</v>
      </c>
      <c r="FI60">
        <v>30</v>
      </c>
      <c r="FJ60">
        <v>18.399999999999999</v>
      </c>
      <c r="FK60">
        <f>FJ60+FK61+FK61+FK61+FK61+FK61+FK61</f>
        <v>22.599999999999994</v>
      </c>
    </row>
    <row r="61" spans="2:214">
      <c r="FG61">
        <f>(FH60-FH61)/10</f>
        <v>1.06</v>
      </c>
      <c r="FH61">
        <v>19.899999999999999</v>
      </c>
      <c r="FI61">
        <v>40</v>
      </c>
      <c r="FJ61">
        <v>25.4</v>
      </c>
      <c r="FK61">
        <f>(FJ61-FJ60)/10</f>
        <v>0.7</v>
      </c>
    </row>
    <row r="63" spans="2:214">
      <c r="D63" s="677" t="s">
        <v>1563</v>
      </c>
      <c r="E63" s="677"/>
      <c r="F63" s="677"/>
      <c r="G63" s="677"/>
      <c r="H63" s="677"/>
      <c r="I63" s="677"/>
      <c r="J63" s="677"/>
      <c r="K63" s="677"/>
      <c r="L63" s="677"/>
      <c r="M63" s="677"/>
      <c r="N63" s="677"/>
      <c r="O63" s="677"/>
      <c r="P63" s="677"/>
      <c r="Q63" s="677"/>
      <c r="R63" s="677"/>
      <c r="S63" s="677"/>
      <c r="T63" s="675" t="s">
        <v>952</v>
      </c>
      <c r="U63" s="675"/>
      <c r="V63" s="675"/>
      <c r="W63" s="675"/>
      <c r="X63" s="675"/>
      <c r="Y63" s="675"/>
      <c r="Z63" s="675"/>
      <c r="AA63" s="675"/>
      <c r="AB63" s="675"/>
      <c r="AC63" s="675"/>
      <c r="AD63" s="675"/>
      <c r="AE63" s="675"/>
      <c r="AF63" s="675"/>
      <c r="AG63" s="675"/>
      <c r="AH63" s="675"/>
      <c r="AI63" s="675"/>
      <c r="AJ63" s="676" t="s">
        <v>953</v>
      </c>
      <c r="AK63" s="676"/>
      <c r="AL63" s="676"/>
      <c r="AM63" s="676"/>
      <c r="AN63" s="676"/>
      <c r="AO63" s="676"/>
      <c r="AP63" s="676"/>
      <c r="AQ63" s="676"/>
      <c r="AR63" s="676"/>
      <c r="AS63" s="676"/>
      <c r="AT63" s="676"/>
      <c r="AU63" s="676"/>
      <c r="AV63" s="676"/>
      <c r="AW63" s="676"/>
      <c r="AX63" s="676"/>
      <c r="AY63" s="676"/>
      <c r="AZ63" s="680" t="s">
        <v>954</v>
      </c>
      <c r="BA63" s="680"/>
      <c r="BB63" s="680"/>
      <c r="BC63" s="680"/>
      <c r="BD63" s="680"/>
      <c r="BE63" s="680"/>
      <c r="BF63" s="680"/>
      <c r="BG63" s="680"/>
      <c r="BH63" s="680"/>
      <c r="BI63" s="680"/>
      <c r="BJ63" s="680"/>
      <c r="BK63" s="680"/>
      <c r="BL63" s="680"/>
      <c r="BM63" s="680"/>
      <c r="BN63" s="680"/>
      <c r="BO63" s="680"/>
      <c r="BP63" s="677" t="s">
        <v>1564</v>
      </c>
      <c r="BQ63" s="677"/>
      <c r="BR63" s="677"/>
      <c r="BS63" s="677"/>
      <c r="BT63" s="677"/>
      <c r="BU63" s="677"/>
      <c r="BV63" s="677"/>
      <c r="BW63" s="677"/>
      <c r="BX63" s="677"/>
      <c r="BY63" s="677"/>
      <c r="BZ63" s="677"/>
      <c r="CA63" s="677"/>
      <c r="CB63" s="677"/>
      <c r="CC63" s="677"/>
      <c r="CD63" s="677"/>
      <c r="CE63" s="677"/>
      <c r="CF63" s="675" t="s">
        <v>956</v>
      </c>
      <c r="CG63" s="675"/>
      <c r="CH63" s="675"/>
      <c r="CI63" s="675"/>
      <c r="CJ63" s="675"/>
      <c r="CK63" s="675"/>
      <c r="CL63" s="675"/>
      <c r="CM63" s="675"/>
      <c r="CN63" s="675"/>
      <c r="CO63" s="675"/>
      <c r="CP63" s="675"/>
      <c r="CQ63" s="675"/>
      <c r="CR63" s="675"/>
      <c r="CS63" s="675"/>
      <c r="CT63" s="675"/>
      <c r="CU63" s="675"/>
      <c r="CV63" s="676" t="s">
        <v>957</v>
      </c>
      <c r="CW63" s="676"/>
      <c r="CX63" s="676"/>
      <c r="CY63" s="676"/>
      <c r="CZ63" s="676"/>
      <c r="DA63" s="676"/>
      <c r="DB63" s="676"/>
      <c r="DC63" s="676"/>
      <c r="DD63" s="676"/>
      <c r="DE63" s="676"/>
      <c r="DF63" s="676"/>
      <c r="DG63" s="676"/>
      <c r="DH63" s="676"/>
      <c r="DI63" s="676"/>
      <c r="DJ63" s="676"/>
      <c r="DK63" s="676"/>
      <c r="DL63" s="682" t="s">
        <v>958</v>
      </c>
      <c r="DM63" s="682"/>
      <c r="DN63" s="682"/>
      <c r="DO63" s="682"/>
      <c r="DP63" s="682"/>
      <c r="DQ63" s="682"/>
      <c r="DR63" s="682"/>
      <c r="DS63" s="682"/>
      <c r="DT63" s="682"/>
      <c r="DU63" s="682"/>
      <c r="DV63" s="682"/>
      <c r="DW63" s="682"/>
      <c r="DX63" s="682"/>
      <c r="DY63" s="682"/>
      <c r="DZ63" s="682"/>
      <c r="EA63" s="682"/>
      <c r="EB63" s="677" t="s">
        <v>1473</v>
      </c>
      <c r="EC63" s="677"/>
      <c r="ED63" s="677"/>
      <c r="EE63" s="677"/>
      <c r="EF63" s="677"/>
      <c r="EG63" s="677"/>
      <c r="EH63" s="677"/>
      <c r="EI63" s="677"/>
      <c r="EJ63" s="677"/>
      <c r="EK63" s="677"/>
      <c r="EL63" s="677"/>
      <c r="EM63" s="677"/>
      <c r="EN63" s="677"/>
      <c r="EO63" s="677"/>
      <c r="EP63" s="677"/>
      <c r="EQ63" s="677"/>
      <c r="ER63" s="675" t="s">
        <v>1357</v>
      </c>
      <c r="ES63" s="675"/>
      <c r="ET63" s="675"/>
      <c r="EU63" s="675"/>
      <c r="EV63" s="675"/>
      <c r="EW63" s="675"/>
      <c r="EX63" s="675"/>
      <c r="EY63" s="675"/>
      <c r="EZ63" s="675"/>
      <c r="FA63" s="675"/>
      <c r="FB63" s="675"/>
      <c r="FC63" s="675"/>
      <c r="FD63" s="675"/>
      <c r="FE63" s="675"/>
      <c r="FF63" s="675"/>
      <c r="FG63" s="675"/>
      <c r="FH63" s="676" t="s">
        <v>1356</v>
      </c>
      <c r="FI63" s="676"/>
      <c r="FJ63" s="676"/>
      <c r="FK63" s="676"/>
      <c r="FL63" s="676"/>
      <c r="FM63" s="676"/>
      <c r="FN63" s="676"/>
      <c r="FO63" s="676"/>
      <c r="FP63" s="676"/>
      <c r="FQ63" s="676"/>
      <c r="FR63" s="676"/>
      <c r="FS63" s="676"/>
      <c r="FT63" s="676"/>
      <c r="FU63" s="676"/>
      <c r="FV63" s="676"/>
      <c r="FW63" s="676"/>
      <c r="FX63" s="679" t="s">
        <v>1355</v>
      </c>
      <c r="FY63" s="679"/>
      <c r="FZ63" s="679"/>
      <c r="GA63" s="679"/>
      <c r="GB63" s="679"/>
      <c r="GC63" s="679"/>
      <c r="GD63" s="679"/>
      <c r="GE63" s="679"/>
      <c r="GF63" s="679"/>
      <c r="GG63" s="679"/>
      <c r="GH63" s="679"/>
      <c r="GI63" s="679"/>
      <c r="GJ63" s="679"/>
      <c r="GK63" s="679"/>
      <c r="GL63" s="679"/>
      <c r="GM63" s="679"/>
      <c r="GN63" s="681" t="s">
        <v>1354</v>
      </c>
      <c r="GO63" s="681"/>
      <c r="GP63" s="681"/>
      <c r="GQ63" s="681"/>
      <c r="GR63" s="681"/>
      <c r="GS63" s="681"/>
      <c r="GT63" s="681"/>
      <c r="GU63" s="681"/>
      <c r="GV63" s="681"/>
      <c r="GW63" s="681"/>
      <c r="GX63" s="681"/>
      <c r="GY63" s="681"/>
      <c r="GZ63" s="681"/>
      <c r="HA63" s="681"/>
      <c r="HB63" s="681"/>
      <c r="HC63" s="681"/>
    </row>
    <row r="64" spans="2:214" ht="31">
      <c r="D64" s="438" t="s">
        <v>2</v>
      </c>
      <c r="E64" s="438" t="s">
        <v>4</v>
      </c>
      <c r="F64" s="438" t="s">
        <v>3</v>
      </c>
      <c r="G64" s="438" t="s">
        <v>2</v>
      </c>
      <c r="H64" s="438" t="s">
        <v>4</v>
      </c>
      <c r="I64" s="438" t="s">
        <v>3</v>
      </c>
      <c r="J64" s="438" t="s">
        <v>2</v>
      </c>
      <c r="K64" s="438" t="s">
        <v>4</v>
      </c>
      <c r="L64" s="438" t="s">
        <v>3</v>
      </c>
      <c r="M64" s="438" t="s">
        <v>2</v>
      </c>
      <c r="N64" s="438" t="s">
        <v>4</v>
      </c>
      <c r="O64" s="438" t="s">
        <v>3</v>
      </c>
      <c r="P64" s="441" t="s">
        <v>85</v>
      </c>
      <c r="Q64" s="438" t="s">
        <v>2</v>
      </c>
      <c r="R64" s="438" t="s">
        <v>4</v>
      </c>
      <c r="S64" s="438" t="s">
        <v>3</v>
      </c>
      <c r="T64" s="435" t="s">
        <v>2</v>
      </c>
      <c r="U64" s="435" t="s">
        <v>4</v>
      </c>
      <c r="V64" s="435" t="s">
        <v>3</v>
      </c>
      <c r="W64" s="435" t="s">
        <v>2</v>
      </c>
      <c r="X64" s="435" t="s">
        <v>4</v>
      </c>
      <c r="Y64" s="435" t="s">
        <v>3</v>
      </c>
      <c r="Z64" s="442" t="s">
        <v>2</v>
      </c>
      <c r="AA64" s="442" t="s">
        <v>4</v>
      </c>
      <c r="AB64" s="442" t="s">
        <v>3</v>
      </c>
      <c r="AC64" s="441" t="s">
        <v>2</v>
      </c>
      <c r="AD64" s="441" t="s">
        <v>4</v>
      </c>
      <c r="AE64" s="441" t="s">
        <v>3</v>
      </c>
      <c r="AF64" s="435" t="s">
        <v>2</v>
      </c>
      <c r="AG64" s="435" t="s">
        <v>4</v>
      </c>
      <c r="AH64" s="435" t="s">
        <v>3</v>
      </c>
      <c r="AI64" s="441" t="s">
        <v>85</v>
      </c>
      <c r="AJ64" s="435" t="s">
        <v>2</v>
      </c>
      <c r="AK64" s="435" t="s">
        <v>4</v>
      </c>
      <c r="AL64" s="435" t="s">
        <v>3</v>
      </c>
      <c r="AM64" s="436" t="s">
        <v>2</v>
      </c>
      <c r="AN64" s="436" t="s">
        <v>4</v>
      </c>
      <c r="AO64" s="436" t="s">
        <v>3</v>
      </c>
      <c r="AP64" s="436" t="s">
        <v>2</v>
      </c>
      <c r="AQ64" s="436" t="s">
        <v>4</v>
      </c>
      <c r="AR64" s="436" t="s">
        <v>3</v>
      </c>
      <c r="AS64" s="443" t="s">
        <v>2</v>
      </c>
      <c r="AT64" s="443" t="s">
        <v>4</v>
      </c>
      <c r="AU64" s="443" t="s">
        <v>3</v>
      </c>
      <c r="AV64" s="441" t="s">
        <v>2</v>
      </c>
      <c r="AW64" s="441" t="s">
        <v>4</v>
      </c>
      <c r="AX64" s="441" t="s">
        <v>3</v>
      </c>
      <c r="AY64" s="436" t="s">
        <v>2</v>
      </c>
      <c r="AZ64" s="436" t="s">
        <v>4</v>
      </c>
      <c r="BA64" s="436" t="s">
        <v>3</v>
      </c>
      <c r="BB64" s="441" t="s">
        <v>85</v>
      </c>
      <c r="BC64" s="439" t="s">
        <v>2</v>
      </c>
      <c r="BD64" s="439" t="s">
        <v>4</v>
      </c>
      <c r="BE64" s="439" t="s">
        <v>3</v>
      </c>
      <c r="BF64" s="439" t="s">
        <v>2</v>
      </c>
      <c r="BG64" s="439" t="s">
        <v>4</v>
      </c>
      <c r="BH64" s="439" t="s">
        <v>3</v>
      </c>
      <c r="BI64" s="439" t="s">
        <v>2</v>
      </c>
      <c r="BJ64" s="439" t="s">
        <v>4</v>
      </c>
      <c r="BK64" s="439" t="s">
        <v>3</v>
      </c>
      <c r="BL64" s="444" t="s">
        <v>2</v>
      </c>
      <c r="BM64" s="444" t="s">
        <v>4</v>
      </c>
      <c r="BN64" s="444" t="s">
        <v>3</v>
      </c>
      <c r="BO64" s="441" t="s">
        <v>85</v>
      </c>
      <c r="BP64" s="439" t="s">
        <v>2</v>
      </c>
      <c r="BQ64" s="439" t="s">
        <v>4</v>
      </c>
      <c r="BR64" s="439" t="s">
        <v>3</v>
      </c>
      <c r="BS64" s="438" t="s">
        <v>2</v>
      </c>
      <c r="BT64" s="438" t="s">
        <v>4</v>
      </c>
      <c r="BU64" s="438" t="s">
        <v>3</v>
      </c>
      <c r="BV64" s="438" t="s">
        <v>2</v>
      </c>
      <c r="BW64" s="438" t="s">
        <v>4</v>
      </c>
      <c r="BX64" s="438" t="s">
        <v>3</v>
      </c>
      <c r="BY64" s="438" t="s">
        <v>2</v>
      </c>
      <c r="BZ64" s="438" t="s">
        <v>4</v>
      </c>
      <c r="CA64" s="438" t="s">
        <v>3</v>
      </c>
      <c r="CB64" s="438" t="s">
        <v>2</v>
      </c>
      <c r="CC64" s="438" t="s">
        <v>4</v>
      </c>
      <c r="CD64" s="438" t="s">
        <v>3</v>
      </c>
      <c r="CE64" s="441" t="s">
        <v>85</v>
      </c>
      <c r="CF64" s="438" t="s">
        <v>2</v>
      </c>
      <c r="CG64" s="438" t="s">
        <v>4</v>
      </c>
      <c r="CH64" s="438" t="s">
        <v>3</v>
      </c>
      <c r="CI64" s="435" t="s">
        <v>2</v>
      </c>
      <c r="CJ64" s="435" t="s">
        <v>4</v>
      </c>
      <c r="CK64" s="435" t="s">
        <v>3</v>
      </c>
      <c r="CL64" s="435" t="s">
        <v>2</v>
      </c>
      <c r="CM64" s="435" t="s">
        <v>4</v>
      </c>
      <c r="CN64" s="435" t="s">
        <v>3</v>
      </c>
      <c r="CO64" s="435" t="s">
        <v>2</v>
      </c>
      <c r="CP64" s="435" t="s">
        <v>4</v>
      </c>
      <c r="CQ64" s="435" t="s">
        <v>3</v>
      </c>
      <c r="CR64" s="435" t="s">
        <v>2</v>
      </c>
      <c r="CS64" s="435" t="s">
        <v>4</v>
      </c>
      <c r="CT64" s="435" t="s">
        <v>3</v>
      </c>
      <c r="CU64" s="441" t="s">
        <v>85</v>
      </c>
      <c r="CV64" s="435" t="s">
        <v>2</v>
      </c>
      <c r="CW64" s="435" t="s">
        <v>4</v>
      </c>
      <c r="CX64" s="435" t="s">
        <v>3</v>
      </c>
      <c r="CY64" s="436" t="s">
        <v>2</v>
      </c>
      <c r="CZ64" s="436" t="s">
        <v>4</v>
      </c>
      <c r="DA64" s="436" t="s">
        <v>3</v>
      </c>
      <c r="DB64" s="436" t="s">
        <v>2</v>
      </c>
      <c r="DC64" s="436" t="s">
        <v>4</v>
      </c>
      <c r="DD64" s="436" t="s">
        <v>3</v>
      </c>
      <c r="DE64" s="436" t="s">
        <v>2</v>
      </c>
      <c r="DF64" s="436" t="s">
        <v>4</v>
      </c>
      <c r="DG64" s="436" t="s">
        <v>3</v>
      </c>
      <c r="DH64" s="436" t="s">
        <v>2</v>
      </c>
      <c r="DI64" s="436" t="s">
        <v>4</v>
      </c>
      <c r="DJ64" s="436" t="s">
        <v>3</v>
      </c>
      <c r="DK64" s="441" t="s">
        <v>85</v>
      </c>
      <c r="DL64" s="436" t="s">
        <v>2</v>
      </c>
      <c r="DM64" s="436" t="s">
        <v>4</v>
      </c>
      <c r="DN64" s="436" t="s">
        <v>3</v>
      </c>
      <c r="DO64" s="440" t="s">
        <v>2</v>
      </c>
      <c r="DP64" s="440" t="s">
        <v>4</v>
      </c>
      <c r="DQ64" s="440" t="s">
        <v>3</v>
      </c>
      <c r="DR64" s="440" t="s">
        <v>2</v>
      </c>
      <c r="DS64" s="440" t="s">
        <v>4</v>
      </c>
      <c r="DT64" s="440" t="s">
        <v>3</v>
      </c>
      <c r="DU64" s="440" t="s">
        <v>2</v>
      </c>
      <c r="DV64" s="440" t="s">
        <v>4</v>
      </c>
      <c r="DW64" s="440" t="s">
        <v>3</v>
      </c>
      <c r="DX64" s="440" t="s">
        <v>2</v>
      </c>
      <c r="DY64" s="440" t="s">
        <v>4</v>
      </c>
      <c r="DZ64" s="440" t="s">
        <v>3</v>
      </c>
      <c r="EA64" s="441" t="s">
        <v>85</v>
      </c>
      <c r="EB64" s="440" t="s">
        <v>2</v>
      </c>
      <c r="EC64" s="440" t="s">
        <v>4</v>
      </c>
      <c r="ED64" s="440" t="s">
        <v>3</v>
      </c>
      <c r="EE64" s="438" t="s">
        <v>2</v>
      </c>
      <c r="EF64" s="438" t="s">
        <v>4</v>
      </c>
      <c r="EG64" s="438" t="s">
        <v>3</v>
      </c>
      <c r="EH64" s="438" t="s">
        <v>2</v>
      </c>
      <c r="EI64" s="438" t="s">
        <v>4</v>
      </c>
      <c r="EJ64" s="438" t="s">
        <v>3</v>
      </c>
      <c r="EK64" s="438" t="s">
        <v>2</v>
      </c>
      <c r="EL64" s="438" t="s">
        <v>4</v>
      </c>
      <c r="EM64" s="438" t="s">
        <v>3</v>
      </c>
      <c r="EN64" s="438" t="s">
        <v>2</v>
      </c>
      <c r="EO64" s="438" t="s">
        <v>4</v>
      </c>
      <c r="EP64" s="438" t="s">
        <v>3</v>
      </c>
      <c r="EQ64" s="441" t="s">
        <v>85</v>
      </c>
      <c r="ER64" s="438" t="s">
        <v>2</v>
      </c>
      <c r="ES64" s="438" t="s">
        <v>4</v>
      </c>
      <c r="ET64" s="438" t="s">
        <v>3</v>
      </c>
      <c r="EU64" s="435" t="s">
        <v>2</v>
      </c>
      <c r="EV64" s="435" t="s">
        <v>4</v>
      </c>
      <c r="EW64" s="435" t="s">
        <v>3</v>
      </c>
      <c r="EX64" s="435" t="s">
        <v>2</v>
      </c>
      <c r="EY64" s="435" t="s">
        <v>4</v>
      </c>
      <c r="EZ64" s="435" t="s">
        <v>3</v>
      </c>
      <c r="FA64" s="435" t="s">
        <v>2</v>
      </c>
      <c r="FB64" s="435" t="s">
        <v>4</v>
      </c>
      <c r="FC64" s="435" t="s">
        <v>3</v>
      </c>
      <c r="FD64" s="435" t="s">
        <v>2</v>
      </c>
      <c r="FE64" s="435" t="s">
        <v>4</v>
      </c>
      <c r="FF64" s="435" t="s">
        <v>3</v>
      </c>
      <c r="FG64" s="441" t="s">
        <v>85</v>
      </c>
      <c r="FH64" s="435" t="s">
        <v>2</v>
      </c>
      <c r="FI64" s="435" t="s">
        <v>4</v>
      </c>
      <c r="FJ64" s="435" t="s">
        <v>3</v>
      </c>
      <c r="FK64" s="436" t="s">
        <v>2</v>
      </c>
      <c r="FL64" s="436" t="s">
        <v>4</v>
      </c>
      <c r="FM64" s="436" t="s">
        <v>3</v>
      </c>
      <c r="FN64" s="436" t="s">
        <v>2</v>
      </c>
      <c r="FO64" s="436" t="s">
        <v>4</v>
      </c>
      <c r="FP64" s="436" t="s">
        <v>3</v>
      </c>
      <c r="FQ64" s="436" t="s">
        <v>2</v>
      </c>
      <c r="FR64" s="436" t="s">
        <v>4</v>
      </c>
      <c r="FS64" s="436" t="s">
        <v>3</v>
      </c>
      <c r="FT64" s="436" t="s">
        <v>2</v>
      </c>
      <c r="FU64" s="436" t="s">
        <v>4</v>
      </c>
      <c r="FV64" s="436" t="s">
        <v>3</v>
      </c>
      <c r="FW64" s="441" t="s">
        <v>85</v>
      </c>
      <c r="FX64" s="436" t="s">
        <v>2</v>
      </c>
      <c r="FY64" s="436" t="s">
        <v>4</v>
      </c>
      <c r="FZ64" s="436" t="s">
        <v>3</v>
      </c>
      <c r="GA64" s="437" t="s">
        <v>2</v>
      </c>
      <c r="GB64" s="437" t="s">
        <v>4</v>
      </c>
      <c r="GC64" s="437" t="s">
        <v>3</v>
      </c>
      <c r="GD64" s="437" t="s">
        <v>2</v>
      </c>
      <c r="GE64" s="437" t="s">
        <v>4</v>
      </c>
      <c r="GF64" s="437" t="s">
        <v>3</v>
      </c>
      <c r="GG64" s="437" t="s">
        <v>2</v>
      </c>
      <c r="GH64" s="437" t="s">
        <v>4</v>
      </c>
      <c r="GI64" s="437" t="s">
        <v>3</v>
      </c>
      <c r="GJ64" s="437" t="s">
        <v>2</v>
      </c>
      <c r="GK64" s="437" t="s">
        <v>4</v>
      </c>
      <c r="GL64" s="437" t="s">
        <v>3</v>
      </c>
      <c r="GM64" s="441" t="s">
        <v>85</v>
      </c>
      <c r="GN64" s="437" t="s">
        <v>2</v>
      </c>
      <c r="GO64" s="437" t="s">
        <v>4</v>
      </c>
      <c r="GP64" s="437" t="s">
        <v>3</v>
      </c>
      <c r="GQ64" s="379" t="s">
        <v>2</v>
      </c>
      <c r="GR64" s="379" t="s">
        <v>4</v>
      </c>
      <c r="GS64" s="379" t="s">
        <v>3</v>
      </c>
      <c r="GT64" s="379" t="s">
        <v>2</v>
      </c>
      <c r="GU64" s="379" t="s">
        <v>4</v>
      </c>
      <c r="GV64" s="379" t="s">
        <v>3</v>
      </c>
      <c r="GW64" s="379" t="s">
        <v>2</v>
      </c>
      <c r="GX64" s="379" t="s">
        <v>4</v>
      </c>
      <c r="GY64" s="379" t="s">
        <v>3</v>
      </c>
      <c r="GZ64" s="379" t="s">
        <v>2</v>
      </c>
      <c r="HA64" s="379" t="s">
        <v>4</v>
      </c>
      <c r="HB64" s="379" t="s">
        <v>3</v>
      </c>
      <c r="HC64" s="441" t="s">
        <v>85</v>
      </c>
      <c r="HD64" s="379" t="s">
        <v>2</v>
      </c>
      <c r="HE64" s="379" t="s">
        <v>4</v>
      </c>
      <c r="HF64" s="379" t="s">
        <v>3</v>
      </c>
    </row>
    <row r="65" spans="1:214">
      <c r="A65" t="s">
        <v>1569</v>
      </c>
      <c r="B65">
        <v>0</v>
      </c>
      <c r="C65">
        <f>B65*10</f>
        <v>0</v>
      </c>
      <c r="D65" s="438">
        <v>4.4050000000000002</v>
      </c>
      <c r="E65" s="438">
        <v>1.4231</v>
      </c>
      <c r="F65" s="438">
        <v>3.3835999999999999</v>
      </c>
      <c r="G65" s="438">
        <v>4.8849999999999998</v>
      </c>
      <c r="H65" s="438">
        <v>0.05</v>
      </c>
      <c r="I65" s="438">
        <v>0.33729999999999999</v>
      </c>
      <c r="J65" s="438">
        <v>6.1749999999999998</v>
      </c>
      <c r="K65" s="438">
        <v>1.0347999999999999</v>
      </c>
      <c r="L65" s="438">
        <v>4.0549999999999997</v>
      </c>
      <c r="M65" s="438">
        <v>9.8780000000000001</v>
      </c>
      <c r="N65" s="438">
        <v>0.8417</v>
      </c>
      <c r="O65" s="438">
        <v>3.0571999999999999</v>
      </c>
      <c r="P65" s="23"/>
      <c r="Q65" s="438">
        <v>16.201000000000001</v>
      </c>
      <c r="R65" s="438">
        <v>0.2492</v>
      </c>
      <c r="S65" s="438">
        <v>0.49340000000000001</v>
      </c>
      <c r="T65" s="445" t="s">
        <v>1572</v>
      </c>
      <c r="W65" s="6">
        <v>6.2009999999999996</v>
      </c>
      <c r="X65" s="6">
        <v>2.1387999999999998</v>
      </c>
      <c r="Y65" s="6">
        <v>5.7332999999999998</v>
      </c>
      <c r="Z65" s="442" t="s">
        <v>182</v>
      </c>
      <c r="AA65" s="442" t="s">
        <v>182</v>
      </c>
      <c r="AB65" s="442" t="s">
        <v>182</v>
      </c>
      <c r="AC65" s="193">
        <v>9.8770000000000007</v>
      </c>
      <c r="AD65" s="193">
        <v>1.0246</v>
      </c>
      <c r="AE65" s="193">
        <v>3.6991999999999998</v>
      </c>
      <c r="AF65" s="6">
        <v>16.196999999999999</v>
      </c>
      <c r="AG65" s="6">
        <v>1.05</v>
      </c>
      <c r="AH65" s="6">
        <v>2.0943000000000001</v>
      </c>
      <c r="AI65" s="269"/>
      <c r="AJ65" s="6">
        <v>21.100999999999999</v>
      </c>
      <c r="AK65" s="6">
        <v>3.9800000000000002E-2</v>
      </c>
      <c r="AL65" s="6">
        <v>6.4199999999999993E-2</v>
      </c>
      <c r="AM65" s="446" t="s">
        <v>1572</v>
      </c>
      <c r="AP65" s="270">
        <v>6.2080000000000002</v>
      </c>
      <c r="AQ65" s="270">
        <v>2.5676000000000001</v>
      </c>
      <c r="AR65" s="270">
        <v>8.1466999999999992</v>
      </c>
      <c r="AS65" s="443" t="s">
        <v>182</v>
      </c>
      <c r="AT65" s="443" t="s">
        <v>182</v>
      </c>
      <c r="AU65" s="443" t="s">
        <v>182</v>
      </c>
      <c r="AV65" s="270">
        <v>9.8780000000000001</v>
      </c>
      <c r="AW65" s="270">
        <v>0.75060000000000004</v>
      </c>
      <c r="AX65" s="270">
        <v>2.6671</v>
      </c>
      <c r="AY65" s="270">
        <v>16.187999999999999</v>
      </c>
      <c r="AZ65" s="270">
        <v>1.357</v>
      </c>
      <c r="BA65" s="270">
        <v>2.8725999999999998</v>
      </c>
      <c r="BB65" s="270"/>
      <c r="BC65" s="439">
        <v>4.4249999999999998</v>
      </c>
      <c r="BD65" s="439">
        <v>10.7033</v>
      </c>
      <c r="BE65" s="439">
        <v>15.583399999999999</v>
      </c>
      <c r="BF65" s="439">
        <v>6.1479999999999997</v>
      </c>
      <c r="BG65" s="439">
        <v>1.8240000000000001</v>
      </c>
      <c r="BH65" s="439">
        <v>5.3056999999999999</v>
      </c>
      <c r="BI65" s="439" t="s">
        <v>182</v>
      </c>
      <c r="BJ65" s="439" t="s">
        <v>182</v>
      </c>
      <c r="BK65" s="439" t="s">
        <v>182</v>
      </c>
      <c r="BL65" s="439">
        <v>9.8409999999999993</v>
      </c>
      <c r="BM65" s="439">
        <v>1.5828</v>
      </c>
      <c r="BN65" s="439">
        <v>5.8068</v>
      </c>
      <c r="BO65" s="263"/>
      <c r="BP65" s="439">
        <v>16.094999999999999</v>
      </c>
      <c r="BQ65" s="439">
        <v>2.6539000000000001</v>
      </c>
      <c r="BR65" s="439">
        <v>5.7107000000000001</v>
      </c>
      <c r="BS65" s="447" t="s">
        <v>1573</v>
      </c>
      <c r="BT65" s="438"/>
      <c r="BU65" s="438"/>
      <c r="BV65" s="438">
        <v>6.2240000000000002</v>
      </c>
      <c r="BW65" s="438">
        <v>1.6834</v>
      </c>
      <c r="BX65" s="438">
        <v>5.5518000000000001</v>
      </c>
      <c r="BY65" s="438" t="s">
        <v>182</v>
      </c>
      <c r="BZ65" s="438" t="s">
        <v>182</v>
      </c>
      <c r="CA65" s="438" t="s">
        <v>182</v>
      </c>
      <c r="CB65" s="438">
        <v>9.8369999999999997</v>
      </c>
      <c r="CC65" s="438">
        <v>1.0963000000000001</v>
      </c>
      <c r="CD65" s="438">
        <v>3.84</v>
      </c>
      <c r="CE65" s="438"/>
      <c r="CF65" s="438">
        <v>16.100999999999999</v>
      </c>
      <c r="CG65" s="438">
        <v>0.46139999999999998</v>
      </c>
      <c r="CH65" s="438">
        <v>0.96150000000000002</v>
      </c>
      <c r="CI65" s="245" t="s">
        <v>1575</v>
      </c>
      <c r="CJ65" s="1"/>
      <c r="CK65" s="1"/>
      <c r="CL65" s="1" t="s">
        <v>1576</v>
      </c>
      <c r="CM65" s="1"/>
      <c r="CN65" s="1"/>
      <c r="CO65" s="1" t="s">
        <v>182</v>
      </c>
      <c r="CP65" s="1" t="s">
        <v>182</v>
      </c>
      <c r="CQ65" s="1" t="s">
        <v>182</v>
      </c>
      <c r="CR65" s="1">
        <v>9.8480000000000008</v>
      </c>
      <c r="CS65" s="1">
        <v>0.87529999999999997</v>
      </c>
      <c r="CT65" s="1">
        <v>3.0341999999999998</v>
      </c>
      <c r="CU65" s="1"/>
      <c r="CV65" s="1">
        <v>16.105</v>
      </c>
      <c r="CW65" s="1">
        <v>1.3595999999999999</v>
      </c>
      <c r="CX65" s="1">
        <v>2.8079000000000001</v>
      </c>
      <c r="CY65" s="2" t="s">
        <v>1578</v>
      </c>
      <c r="CZ65" s="2"/>
      <c r="DA65" s="2"/>
      <c r="DB65" s="2">
        <v>6.218</v>
      </c>
      <c r="DC65" s="2">
        <v>0.98580000000000001</v>
      </c>
      <c r="DD65" s="2">
        <v>4.0039999999999996</v>
      </c>
      <c r="DE65" s="2" t="s">
        <v>182</v>
      </c>
      <c r="DF65" s="2" t="s">
        <v>182</v>
      </c>
      <c r="DG65" s="2" t="s">
        <v>182</v>
      </c>
      <c r="DH65" s="2">
        <v>9.8409999999999993</v>
      </c>
      <c r="DI65" s="2">
        <v>1.4538</v>
      </c>
      <c r="DJ65" s="2">
        <v>5.1919000000000004</v>
      </c>
      <c r="DK65" s="2"/>
      <c r="DL65" s="2" t="s">
        <v>1579</v>
      </c>
      <c r="DM65" s="2" t="s">
        <v>1580</v>
      </c>
      <c r="DN65" s="2" t="s">
        <v>1581</v>
      </c>
      <c r="DO65" s="266">
        <v>4.3739999999999997</v>
      </c>
      <c r="DP65" s="266">
        <v>17.694900000000001</v>
      </c>
      <c r="DQ65" s="266">
        <v>33.372799999999998</v>
      </c>
      <c r="DR65" s="266">
        <v>6.218</v>
      </c>
      <c r="DS65" s="266">
        <v>0.90239999999999998</v>
      </c>
      <c r="DT65" s="266">
        <v>3.6368</v>
      </c>
      <c r="DU65" s="266" t="s">
        <v>182</v>
      </c>
      <c r="DV65" s="266" t="s">
        <v>182</v>
      </c>
      <c r="DW65" s="266" t="s">
        <v>182</v>
      </c>
      <c r="DX65" s="266">
        <v>9.8309999999999995</v>
      </c>
      <c r="DY65" s="266">
        <v>1.282</v>
      </c>
      <c r="DZ65" s="266">
        <v>4.5145</v>
      </c>
      <c r="EA65" s="266"/>
      <c r="EB65" s="266">
        <v>16.088000000000001</v>
      </c>
      <c r="EC65" s="266">
        <v>5.1279000000000003</v>
      </c>
      <c r="ED65" s="266">
        <v>11.2887</v>
      </c>
      <c r="EE65" s="4" t="s">
        <v>1573</v>
      </c>
      <c r="EF65" s="4"/>
      <c r="EG65" s="4"/>
      <c r="EH65" s="4" t="s">
        <v>1573</v>
      </c>
      <c r="EI65" s="4"/>
      <c r="EJ65" s="4"/>
      <c r="EK65" s="4" t="s">
        <v>182</v>
      </c>
      <c r="EL65" s="4" t="s">
        <v>182</v>
      </c>
      <c r="EM65" s="4" t="s">
        <v>182</v>
      </c>
      <c r="EN65" s="4">
        <v>9.8309999999999995</v>
      </c>
      <c r="EO65" s="4">
        <v>0.94469999999999998</v>
      </c>
      <c r="EP65" s="4">
        <v>3.4862000000000002</v>
      </c>
      <c r="EQ65" s="4"/>
      <c r="ER65" s="4" t="s">
        <v>1582</v>
      </c>
      <c r="ES65" s="4" t="s">
        <v>1583</v>
      </c>
      <c r="ET65" s="4" t="s">
        <v>1584</v>
      </c>
      <c r="EU65" s="1">
        <v>4.4710000000000001</v>
      </c>
      <c r="EV65" s="1">
        <v>12.4587</v>
      </c>
      <c r="EW65" s="1">
        <v>20.527699999999999</v>
      </c>
      <c r="EX65" s="1" t="s">
        <v>1586</v>
      </c>
      <c r="EY65" s="1">
        <v>2.3898000000000001</v>
      </c>
      <c r="EZ65" s="1">
        <v>7.1096000000000004</v>
      </c>
      <c r="FA65" s="1" t="s">
        <v>182</v>
      </c>
      <c r="FB65" s="1" t="s">
        <v>182</v>
      </c>
      <c r="FC65" s="1" t="s">
        <v>182</v>
      </c>
      <c r="FD65" s="1">
        <v>9.8539999999999992</v>
      </c>
      <c r="FE65" s="1">
        <v>1.3447</v>
      </c>
      <c r="FF65" s="1">
        <v>4.9412000000000003</v>
      </c>
      <c r="FG65" s="1"/>
      <c r="FH65" s="1" t="s">
        <v>1587</v>
      </c>
      <c r="FI65" s="1" t="s">
        <v>1588</v>
      </c>
      <c r="FJ65" s="1" t="s">
        <v>1589</v>
      </c>
      <c r="FK65" s="2" t="s">
        <v>1572</v>
      </c>
      <c r="FL65" s="2"/>
      <c r="FM65" s="2"/>
      <c r="FN65" s="2">
        <v>6.2110000000000003</v>
      </c>
      <c r="FO65" s="2">
        <v>2.3245</v>
      </c>
      <c r="FP65" s="2">
        <v>7.6695000000000002</v>
      </c>
      <c r="FQ65" s="2" t="s">
        <v>182</v>
      </c>
      <c r="FR65" s="2" t="s">
        <v>182</v>
      </c>
      <c r="FS65" s="2" t="s">
        <v>182</v>
      </c>
      <c r="FT65" s="2">
        <v>9.8450000000000006</v>
      </c>
      <c r="FU65" s="2">
        <v>0.88819999999999999</v>
      </c>
      <c r="FV65" s="2">
        <v>3.2347000000000001</v>
      </c>
      <c r="FW65" s="2"/>
      <c r="FX65" s="2">
        <v>16.125</v>
      </c>
      <c r="FY65" s="2">
        <v>1.9883</v>
      </c>
      <c r="FZ65" s="2">
        <v>4.1443000000000003</v>
      </c>
      <c r="GA65" s="3" t="s">
        <v>1572</v>
      </c>
      <c r="GB65" s="3"/>
      <c r="GC65" s="3"/>
      <c r="GD65" s="3">
        <v>6.2140000000000004</v>
      </c>
      <c r="GE65" s="3">
        <v>1.1762999999999999</v>
      </c>
      <c r="GF65" s="3">
        <v>5.2786999999999997</v>
      </c>
      <c r="GG65" s="3" t="s">
        <v>182</v>
      </c>
      <c r="GH65" s="3" t="s">
        <v>182</v>
      </c>
      <c r="GI65" s="3" t="s">
        <v>182</v>
      </c>
      <c r="GJ65" s="3">
        <v>9.8539999999999992</v>
      </c>
      <c r="GK65" s="3">
        <v>0.97629999999999995</v>
      </c>
      <c r="GL65" s="3">
        <v>3.6059999999999999</v>
      </c>
      <c r="GM65" s="3"/>
      <c r="GN65" s="3">
        <v>16.148</v>
      </c>
      <c r="GO65" s="3">
        <v>1.4950000000000001</v>
      </c>
      <c r="GP65" s="3">
        <v>3.2096</v>
      </c>
      <c r="GQ65" s="380"/>
      <c r="GR65" s="380"/>
      <c r="GS65" s="380"/>
      <c r="GT65" s="380"/>
      <c r="GU65" s="380"/>
      <c r="GV65" s="380"/>
      <c r="GW65" s="380"/>
      <c r="GX65" s="380"/>
      <c r="GY65" s="380"/>
      <c r="GZ65" s="380"/>
      <c r="HA65" s="380"/>
      <c r="HB65" s="380"/>
      <c r="HC65" s="380"/>
      <c r="HD65" s="380"/>
      <c r="HE65" s="380"/>
      <c r="HF65" s="380"/>
    </row>
    <row r="66" spans="1:214">
      <c r="A66" t="s">
        <v>1577</v>
      </c>
      <c r="B66">
        <v>1</v>
      </c>
      <c r="C66">
        <f t="shared" ref="C66:C80" si="93">B66*10</f>
        <v>10</v>
      </c>
      <c r="D66" s="438">
        <v>4.4009999999999998</v>
      </c>
      <c r="E66" s="438">
        <v>1.2643</v>
      </c>
      <c r="F66" s="438">
        <v>3.1831999999999998</v>
      </c>
      <c r="G66" s="438">
        <v>6.1580000000000004</v>
      </c>
      <c r="H66" s="438">
        <v>0.81030000000000002</v>
      </c>
      <c r="I66" s="438">
        <v>3.18</v>
      </c>
      <c r="J66" s="438">
        <v>8.7739999999999991</v>
      </c>
      <c r="K66" s="438">
        <v>43.783799999999999</v>
      </c>
      <c r="L66" s="438">
        <v>189.41849999999999</v>
      </c>
      <c r="M66" s="438">
        <v>9.8710000000000004</v>
      </c>
      <c r="N66" s="438">
        <v>1.2269000000000001</v>
      </c>
      <c r="O66" s="438">
        <v>4.1950000000000003</v>
      </c>
      <c r="P66" s="23"/>
      <c r="Q66" s="438">
        <v>16.190999999999999</v>
      </c>
      <c r="R66" s="438">
        <v>0.14660000000000001</v>
      </c>
      <c r="S66" s="438">
        <v>0.29420000000000002</v>
      </c>
      <c r="T66" s="445" t="s">
        <v>1572</v>
      </c>
      <c r="W66" s="6">
        <v>6.1980000000000004</v>
      </c>
      <c r="X66" s="6">
        <v>2.6432000000000002</v>
      </c>
      <c r="Y66" s="6">
        <v>4.7541000000000002</v>
      </c>
      <c r="Z66" s="442">
        <v>8.7609999999999992</v>
      </c>
      <c r="AA66" s="442">
        <v>0.29099999999999998</v>
      </c>
      <c r="AB66" s="193">
        <v>0.44629999999999997</v>
      </c>
      <c r="AC66" s="193">
        <v>9.8780000000000001</v>
      </c>
      <c r="AD66" s="193">
        <v>1.889</v>
      </c>
      <c r="AE66" s="193">
        <v>5.4259000000000004</v>
      </c>
      <c r="AF66" s="6">
        <v>16.198</v>
      </c>
      <c r="AG66" s="6">
        <v>0.85050000000000003</v>
      </c>
      <c r="AH66" s="6">
        <v>1.7650999999999999</v>
      </c>
      <c r="AI66" s="269"/>
      <c r="AJ66" s="6" t="s">
        <v>182</v>
      </c>
      <c r="AK66" s="442" t="s">
        <v>182</v>
      </c>
      <c r="AL66" s="442" t="s">
        <v>182</v>
      </c>
      <c r="AM66" s="446" t="s">
        <v>1572</v>
      </c>
      <c r="AP66" s="270">
        <v>6.1980000000000004</v>
      </c>
      <c r="AQ66" s="270">
        <v>0.81989999999999996</v>
      </c>
      <c r="AR66" s="270">
        <v>3.5034999999999998</v>
      </c>
      <c r="AS66" s="443">
        <v>8.7710000000000008</v>
      </c>
      <c r="AT66" s="443">
        <v>20.6937</v>
      </c>
      <c r="AU66" s="443">
        <v>88.645700000000005</v>
      </c>
      <c r="AV66" s="270">
        <v>9.8780000000000001</v>
      </c>
      <c r="AW66" s="270">
        <v>1.1414</v>
      </c>
      <c r="AX66" s="270">
        <v>3.2202999999999999</v>
      </c>
      <c r="AY66" s="270">
        <v>16.193999999999999</v>
      </c>
      <c r="AZ66" s="270">
        <v>0.85429999999999995</v>
      </c>
      <c r="BA66" s="270">
        <v>1.7999000000000001</v>
      </c>
      <c r="BB66" s="270"/>
      <c r="BC66" s="439">
        <v>4.4249999999999998</v>
      </c>
      <c r="BD66" s="439">
        <v>11.982900000000001</v>
      </c>
      <c r="BE66" s="439">
        <v>15.404500000000001</v>
      </c>
      <c r="BF66" s="439">
        <v>6.1509999999999998</v>
      </c>
      <c r="BG66" s="439">
        <v>0.49940000000000001</v>
      </c>
      <c r="BH66" s="439">
        <v>2.6785999999999999</v>
      </c>
      <c r="BI66" s="439" t="s">
        <v>182</v>
      </c>
      <c r="BJ66" s="439" t="s">
        <v>182</v>
      </c>
      <c r="BK66" s="439" t="s">
        <v>182</v>
      </c>
      <c r="BL66" s="439">
        <v>9.8450000000000006</v>
      </c>
      <c r="BM66" s="439">
        <v>1.3261000000000001</v>
      </c>
      <c r="BN66" s="439">
        <v>4.8536000000000001</v>
      </c>
      <c r="BO66" s="263"/>
      <c r="BP66" s="439">
        <v>16.100999999999999</v>
      </c>
      <c r="BQ66" s="439">
        <v>2.1583000000000001</v>
      </c>
      <c r="BR66" s="439">
        <v>4.6471999999999998</v>
      </c>
      <c r="BS66" s="447" t="s">
        <v>1573</v>
      </c>
      <c r="BT66" s="438"/>
      <c r="BU66" s="438"/>
      <c r="BV66" s="438">
        <v>6.2009999999999996</v>
      </c>
      <c r="BW66" s="438">
        <v>1.0953999999999999</v>
      </c>
      <c r="BX66" s="438">
        <v>3.1983999999999999</v>
      </c>
      <c r="BY66" s="438" t="s">
        <v>182</v>
      </c>
      <c r="BZ66" s="438" t="s">
        <v>182</v>
      </c>
      <c r="CA66" s="438" t="s">
        <v>182</v>
      </c>
      <c r="CB66" s="438">
        <v>9.8379999999999992</v>
      </c>
      <c r="CC66" s="438">
        <v>1.2907</v>
      </c>
      <c r="CD66" s="438">
        <v>4.6205999999999996</v>
      </c>
      <c r="CE66" s="438"/>
      <c r="CF66" s="438">
        <v>16.108000000000001</v>
      </c>
      <c r="CG66" s="438">
        <v>0.1991</v>
      </c>
      <c r="CH66" s="438">
        <v>0.41260000000000002</v>
      </c>
      <c r="CI66" s="245" t="s">
        <v>1575</v>
      </c>
      <c r="CJ66" s="1"/>
      <c r="CK66" s="1"/>
      <c r="CL66" s="1" t="s">
        <v>1576</v>
      </c>
      <c r="CM66" s="1"/>
      <c r="CN66" s="1"/>
      <c r="CO66" s="1">
        <v>8.734</v>
      </c>
      <c r="CP66" s="1">
        <v>7.5300000000000006E-2</v>
      </c>
      <c r="CQ66" s="1">
        <v>0.2928</v>
      </c>
      <c r="CR66" s="1">
        <v>9.8480000000000008</v>
      </c>
      <c r="CS66" s="1">
        <v>0.83299999999999996</v>
      </c>
      <c r="CT66" s="1">
        <v>2.8843999999999999</v>
      </c>
      <c r="CU66" s="1"/>
      <c r="CV66" s="1">
        <v>16.103999999999999</v>
      </c>
      <c r="CW66" s="1">
        <v>1.1089</v>
      </c>
      <c r="CX66" s="1">
        <v>2.3456000000000001</v>
      </c>
      <c r="CY66" s="2" t="s">
        <v>1578</v>
      </c>
      <c r="CZ66" s="2"/>
      <c r="DA66" s="2"/>
      <c r="DB66" s="2">
        <v>6.2240000000000002</v>
      </c>
      <c r="DC66" s="2">
        <v>0.80149999999999999</v>
      </c>
      <c r="DD66" s="2">
        <v>3.0575000000000001</v>
      </c>
      <c r="DE66" s="2">
        <v>8.7379999999999995</v>
      </c>
      <c r="DF66" s="2">
        <v>18.3963</v>
      </c>
      <c r="DG66" s="2">
        <v>77.466200000000001</v>
      </c>
      <c r="DH66" s="2">
        <v>9.8379999999999992</v>
      </c>
      <c r="DI66" s="2">
        <v>1.7357</v>
      </c>
      <c r="DJ66" s="2">
        <v>5.5536000000000003</v>
      </c>
      <c r="DK66" s="2"/>
      <c r="DL66" s="2">
        <v>16.128</v>
      </c>
      <c r="DM66" s="2">
        <v>0.92390000000000005</v>
      </c>
      <c r="DN66" s="2">
        <v>1.8139000000000001</v>
      </c>
      <c r="DO66" s="266">
        <v>4.3780000000000001</v>
      </c>
      <c r="DP66" s="266">
        <v>17.686800000000002</v>
      </c>
      <c r="DQ66" s="266">
        <v>32.770400000000002</v>
      </c>
      <c r="DR66" s="266">
        <v>6.2140000000000004</v>
      </c>
      <c r="DS66" s="266">
        <v>0.74360000000000004</v>
      </c>
      <c r="DT66" s="266">
        <v>2.9782999999999999</v>
      </c>
      <c r="DU66" s="266" t="s">
        <v>182</v>
      </c>
      <c r="DV66" s="266" t="s">
        <v>182</v>
      </c>
      <c r="DW66" s="266" t="s">
        <v>182</v>
      </c>
      <c r="DX66" s="266">
        <v>9.8309999999999995</v>
      </c>
      <c r="DY66" s="266">
        <v>1.2704</v>
      </c>
      <c r="DZ66" s="266">
        <v>4.4878</v>
      </c>
      <c r="EA66" s="266"/>
      <c r="EB66" s="266">
        <v>16.094000000000001</v>
      </c>
      <c r="EC66" s="266">
        <v>4.165</v>
      </c>
      <c r="ED66" s="266">
        <v>9.1166</v>
      </c>
      <c r="EE66" s="4" t="s">
        <v>1573</v>
      </c>
      <c r="EF66" s="4"/>
      <c r="EG66" s="4"/>
      <c r="EH66" s="4" t="s">
        <v>1573</v>
      </c>
      <c r="EI66" s="4"/>
      <c r="EJ66" s="4"/>
      <c r="EK66" s="4" t="s">
        <v>182</v>
      </c>
      <c r="EL66" s="4" t="s">
        <v>182</v>
      </c>
      <c r="EM66" s="4" t="s">
        <v>182</v>
      </c>
      <c r="EN66" s="4">
        <v>9.8339999999999996</v>
      </c>
      <c r="EO66" s="4">
        <v>0.84289999999999998</v>
      </c>
      <c r="EP66" s="4">
        <v>3.0960999999999999</v>
      </c>
      <c r="EQ66" s="4"/>
      <c r="ER66" s="4">
        <v>16.114000000000001</v>
      </c>
      <c r="ES66" s="4">
        <v>0.28489999999999999</v>
      </c>
      <c r="ET66" s="4" t="s">
        <v>1585</v>
      </c>
      <c r="EU66" s="1">
        <v>4.4710000000000001</v>
      </c>
      <c r="EV66" s="1">
        <v>12.378</v>
      </c>
      <c r="EW66" s="1">
        <v>18.165700000000001</v>
      </c>
      <c r="EX66" s="1">
        <v>6.2110000000000003</v>
      </c>
      <c r="EY66" s="1">
        <v>0.78800000000000003</v>
      </c>
      <c r="EZ66" s="1">
        <v>3.2425999999999999</v>
      </c>
      <c r="FA66" s="1" t="s">
        <v>182</v>
      </c>
      <c r="FB66" s="1" t="s">
        <v>182</v>
      </c>
      <c r="FC66" s="1" t="s">
        <v>182</v>
      </c>
      <c r="FD66" s="1">
        <v>9.8539999999999992</v>
      </c>
      <c r="FE66" s="1">
        <v>1.3447</v>
      </c>
      <c r="FF66" s="1">
        <v>4.9412000000000003</v>
      </c>
      <c r="FG66" s="1"/>
      <c r="FH66" s="1">
        <v>16.140999999999998</v>
      </c>
      <c r="FI66" s="1">
        <v>1.2450000000000001</v>
      </c>
      <c r="FJ66" s="1">
        <v>2.6206</v>
      </c>
      <c r="FK66" s="2" t="s">
        <v>1572</v>
      </c>
      <c r="FL66" s="2"/>
      <c r="FM66" s="2"/>
      <c r="FN66" s="2">
        <v>6.2140000000000004</v>
      </c>
      <c r="FO66" s="2">
        <v>0.88480000000000003</v>
      </c>
      <c r="FP66" s="2">
        <v>3.8355999999999999</v>
      </c>
      <c r="FQ66" s="2" t="s">
        <v>182</v>
      </c>
      <c r="FR66" s="2" t="s">
        <v>182</v>
      </c>
      <c r="FS66" s="2" t="s">
        <v>182</v>
      </c>
      <c r="FT66" s="2">
        <v>9.8510000000000009</v>
      </c>
      <c r="FU66" s="2">
        <v>0.68420000000000003</v>
      </c>
      <c r="FV66" s="2">
        <v>2.4969999999999999</v>
      </c>
      <c r="FW66" s="2"/>
      <c r="FX66" s="2">
        <v>16.128</v>
      </c>
      <c r="FY66" s="2">
        <v>1.5416000000000001</v>
      </c>
      <c r="FZ66" s="2">
        <v>3.2313999999999998</v>
      </c>
      <c r="GA66" s="3" t="s">
        <v>1572</v>
      </c>
      <c r="GB66" s="3"/>
      <c r="GC66" s="3"/>
      <c r="GD66" s="3">
        <v>6.2110000000000003</v>
      </c>
      <c r="GE66" s="3">
        <v>0.77249999999999996</v>
      </c>
      <c r="GF66" s="3">
        <v>3.2711000000000001</v>
      </c>
      <c r="GG66" s="3" t="s">
        <v>182</v>
      </c>
      <c r="GH66" s="3" t="s">
        <v>182</v>
      </c>
      <c r="GI66" s="3" t="s">
        <v>182</v>
      </c>
      <c r="GJ66" s="3">
        <v>9.8510000000000009</v>
      </c>
      <c r="GK66" s="3">
        <v>0.82499999999999996</v>
      </c>
      <c r="GL66" s="3">
        <v>3.0432000000000001</v>
      </c>
      <c r="GM66" s="3"/>
      <c r="GN66" s="3">
        <v>16.148</v>
      </c>
      <c r="GO66" s="3">
        <v>1.1175999999999999</v>
      </c>
      <c r="GP66" s="3">
        <v>2.3923000000000001</v>
      </c>
      <c r="GQ66" s="380"/>
      <c r="GR66" s="380"/>
      <c r="GS66" s="380"/>
      <c r="GT66" s="380"/>
      <c r="GU66" s="380"/>
      <c r="GV66" s="380"/>
      <c r="GW66" s="380"/>
      <c r="GX66" s="380"/>
      <c r="GY66" s="380"/>
      <c r="GZ66" s="380"/>
      <c r="HA66" s="380"/>
      <c r="HB66" s="380"/>
      <c r="HC66" s="380"/>
      <c r="HD66" s="380"/>
      <c r="HE66" s="380"/>
      <c r="HF66" s="380"/>
    </row>
    <row r="67" spans="1:214">
      <c r="A67" t="s">
        <v>1570</v>
      </c>
      <c r="B67">
        <v>2</v>
      </c>
      <c r="C67">
        <f t="shared" si="93"/>
        <v>20</v>
      </c>
      <c r="D67" s="438">
        <v>4.391</v>
      </c>
      <c r="E67" s="438">
        <v>0.85919999999999996</v>
      </c>
      <c r="F67" s="438">
        <v>2.3319999999999999</v>
      </c>
      <c r="G67" s="438">
        <v>6.1509999999999998</v>
      </c>
      <c r="H67" s="438">
        <v>0.6764</v>
      </c>
      <c r="I67" s="438">
        <v>2.9211999999999998</v>
      </c>
      <c r="J67" s="438">
        <v>8.8309999999999995</v>
      </c>
      <c r="K67" s="438">
        <v>191.10489999999999</v>
      </c>
      <c r="L67" s="438">
        <v>742.80600000000004</v>
      </c>
      <c r="M67" s="438">
        <v>9.8680000000000003</v>
      </c>
      <c r="N67" s="438">
        <v>1.2336</v>
      </c>
      <c r="O67" s="438">
        <v>3.3508</v>
      </c>
      <c r="P67" s="23"/>
      <c r="Q67" s="438">
        <v>16.190999999999999</v>
      </c>
      <c r="R67" s="438">
        <v>0.14319999999999999</v>
      </c>
      <c r="S67" s="438">
        <v>0.28999999999999998</v>
      </c>
      <c r="T67" s="445"/>
      <c r="W67" s="6">
        <v>6.1840000000000002</v>
      </c>
      <c r="X67" s="6">
        <v>2.3054999999999999</v>
      </c>
      <c r="Y67" s="6">
        <v>3.8656000000000001</v>
      </c>
      <c r="Z67" s="442">
        <v>8.7810000000000006</v>
      </c>
      <c r="AA67" s="442">
        <v>53.6021</v>
      </c>
      <c r="AB67" s="442">
        <v>228.83789999999999</v>
      </c>
      <c r="AC67" s="193">
        <v>9.8780000000000001</v>
      </c>
      <c r="AD67" s="193">
        <v>1.758</v>
      </c>
      <c r="AE67" s="193">
        <v>4.5247999999999999</v>
      </c>
      <c r="AF67" s="6">
        <v>16.201000000000001</v>
      </c>
      <c r="AG67" s="6">
        <v>0.71330000000000005</v>
      </c>
      <c r="AH67" s="6">
        <v>1.4917</v>
      </c>
      <c r="AI67" s="269"/>
      <c r="AJ67" s="442" t="s">
        <v>182</v>
      </c>
      <c r="AK67" s="442" t="s">
        <v>182</v>
      </c>
      <c r="AL67" s="442" t="s">
        <v>182</v>
      </c>
      <c r="AM67" s="446" t="s">
        <v>1572</v>
      </c>
      <c r="AP67" s="270">
        <v>6.1379999999999999</v>
      </c>
      <c r="AQ67" s="270">
        <v>0.6603</v>
      </c>
      <c r="AR67" s="270">
        <v>2.5001000000000002</v>
      </c>
      <c r="AS67" s="443">
        <v>8.8640000000000008</v>
      </c>
      <c r="AT67" s="443">
        <v>264.3546</v>
      </c>
      <c r="AU67" s="443">
        <v>958.04790000000003</v>
      </c>
      <c r="AV67" s="270">
        <v>9.8680000000000003</v>
      </c>
      <c r="AW67" s="270">
        <v>2.0733000000000001</v>
      </c>
      <c r="AX67" s="270">
        <v>4.5239000000000003</v>
      </c>
      <c r="AY67" s="270">
        <v>16.184000000000001</v>
      </c>
      <c r="AZ67" s="270">
        <v>0.65869999999999995</v>
      </c>
      <c r="BA67" s="270">
        <v>1.3612</v>
      </c>
      <c r="BB67" s="270"/>
      <c r="BC67" s="439">
        <v>4.4210000000000003</v>
      </c>
      <c r="BD67" s="439">
        <v>11.7439</v>
      </c>
      <c r="BE67" s="439">
        <v>14.930400000000001</v>
      </c>
      <c r="BF67" s="439">
        <v>6.1509999999999998</v>
      </c>
      <c r="BG67" s="439">
        <v>0.4541</v>
      </c>
      <c r="BH67" s="439">
        <v>2.4283000000000001</v>
      </c>
      <c r="BI67" s="439">
        <v>8.7439999999999998</v>
      </c>
      <c r="BJ67" s="439">
        <v>20.4971</v>
      </c>
      <c r="BK67" s="439">
        <v>89.271900000000002</v>
      </c>
      <c r="BL67" s="439">
        <v>9.8439999999999994</v>
      </c>
      <c r="BM67" s="439">
        <v>1.7044999999999999</v>
      </c>
      <c r="BN67" s="439">
        <v>5.0503</v>
      </c>
      <c r="BO67" s="263"/>
      <c r="BP67" s="439">
        <v>16.103999999999999</v>
      </c>
      <c r="BQ67" s="439">
        <v>1.86</v>
      </c>
      <c r="BR67" s="439">
        <v>4.0110000000000001</v>
      </c>
      <c r="BS67" s="447" t="s">
        <v>1573</v>
      </c>
      <c r="BT67" s="438"/>
      <c r="BU67" s="438"/>
      <c r="BV67" s="438">
        <v>6.181</v>
      </c>
      <c r="BW67" s="438">
        <v>0.75719999999999998</v>
      </c>
      <c r="BX67" s="438">
        <v>2.3628999999999998</v>
      </c>
      <c r="BY67" s="438" t="s">
        <v>182</v>
      </c>
      <c r="BZ67" s="438" t="s">
        <v>182</v>
      </c>
      <c r="CA67" s="438" t="s">
        <v>182</v>
      </c>
      <c r="CB67" s="438">
        <v>9.8379999999999992</v>
      </c>
      <c r="CC67" s="438">
        <v>1.4689000000000001</v>
      </c>
      <c r="CD67" s="438">
        <v>5.3400999999999996</v>
      </c>
      <c r="CE67" s="438"/>
      <c r="CF67" s="438">
        <v>16.108000000000001</v>
      </c>
      <c r="CG67" s="438">
        <v>0.1166</v>
      </c>
      <c r="CH67" s="438">
        <v>0.23319999999999999</v>
      </c>
      <c r="CI67" s="245" t="s">
        <v>1575</v>
      </c>
      <c r="CJ67" s="1"/>
      <c r="CK67" s="1"/>
      <c r="CL67" s="1" t="s">
        <v>1576</v>
      </c>
      <c r="CM67" s="1"/>
      <c r="CN67" s="1"/>
      <c r="CO67" s="1">
        <v>8.7409999999999997</v>
      </c>
      <c r="CP67" s="1">
        <v>6.2664999999999997</v>
      </c>
      <c r="CQ67" s="1">
        <v>23.414400000000001</v>
      </c>
      <c r="CR67" s="1">
        <v>9.8469999999999995</v>
      </c>
      <c r="CS67" s="1">
        <v>0.83430000000000004</v>
      </c>
      <c r="CT67" s="1">
        <v>2.9028999999999998</v>
      </c>
      <c r="CU67" s="1"/>
      <c r="CV67" s="1">
        <v>16.111000000000001</v>
      </c>
      <c r="CW67" s="1">
        <v>1.0355000000000001</v>
      </c>
      <c r="CX67" s="1">
        <v>2.1999</v>
      </c>
      <c r="CY67" s="2" t="s">
        <v>1578</v>
      </c>
      <c r="CZ67" s="2"/>
      <c r="DA67" s="2"/>
      <c r="DB67" s="2">
        <v>6.2510000000000003</v>
      </c>
      <c r="DC67" s="2">
        <v>0.62509999999999999</v>
      </c>
      <c r="DD67" s="2">
        <v>1.6863999999999999</v>
      </c>
      <c r="DE67" s="2">
        <v>8.9149999999999991</v>
      </c>
      <c r="DF67" s="2">
        <v>468.37670000000003</v>
      </c>
      <c r="DG67" s="2">
        <v>1410.3233</v>
      </c>
      <c r="DH67" s="2">
        <v>9.8309999999999995</v>
      </c>
      <c r="DI67" s="2">
        <v>2.5390000000000001</v>
      </c>
      <c r="DJ67" s="2">
        <v>4.6858000000000004</v>
      </c>
      <c r="DK67" s="2"/>
      <c r="DL67" s="2">
        <v>16.120999999999999</v>
      </c>
      <c r="DM67" s="2">
        <v>0.78069999999999995</v>
      </c>
      <c r="DN67" s="2">
        <v>1.5364</v>
      </c>
      <c r="DO67" s="266">
        <v>4.3739999999999997</v>
      </c>
      <c r="DP67" s="266">
        <v>16.995899999999999</v>
      </c>
      <c r="DQ67" s="266">
        <v>32.497900000000001</v>
      </c>
      <c r="DR67" s="266">
        <v>6.2080000000000002</v>
      </c>
      <c r="DS67" s="266">
        <v>0.66410000000000002</v>
      </c>
      <c r="DT67" s="266">
        <v>2.6556999999999999</v>
      </c>
      <c r="DU67" s="266">
        <v>8.7210000000000001</v>
      </c>
      <c r="DV67" s="266">
        <v>4.0076000000000001</v>
      </c>
      <c r="DW67" s="266">
        <v>16.541</v>
      </c>
      <c r="DX67" s="266">
        <v>9.8279999999999994</v>
      </c>
      <c r="DY67" s="266">
        <v>1.2478</v>
      </c>
      <c r="DZ67" s="266">
        <v>4.4458000000000002</v>
      </c>
      <c r="EA67" s="266"/>
      <c r="EB67" s="266">
        <v>16.088000000000001</v>
      </c>
      <c r="EC67" s="266">
        <v>3.5392000000000001</v>
      </c>
      <c r="ED67" s="266">
        <v>7.7137000000000002</v>
      </c>
      <c r="EE67" s="4" t="s">
        <v>1573</v>
      </c>
      <c r="EF67" s="4"/>
      <c r="EG67" s="4"/>
      <c r="EH67" s="4" t="s">
        <v>1573</v>
      </c>
      <c r="EI67" s="4"/>
      <c r="EJ67" s="4"/>
      <c r="EK67" s="4">
        <v>8.7409999999999997</v>
      </c>
      <c r="EL67" s="4">
        <v>43.055900000000001</v>
      </c>
      <c r="EM67" s="4">
        <v>189.79730000000001</v>
      </c>
      <c r="EN67" s="4">
        <v>9.8309999999999995</v>
      </c>
      <c r="EO67" s="4">
        <v>0.57440000000000002</v>
      </c>
      <c r="EP67" s="4">
        <v>1.8761000000000001</v>
      </c>
      <c r="EQ67" s="4"/>
      <c r="ER67" s="4">
        <v>16.117999999999999</v>
      </c>
      <c r="ES67" s="4">
        <v>0.21210000000000001</v>
      </c>
      <c r="ET67" s="4">
        <v>0.44519999999999998</v>
      </c>
      <c r="EU67" s="1">
        <v>4.468</v>
      </c>
      <c r="EV67" s="1">
        <v>11.4732</v>
      </c>
      <c r="EW67" s="1">
        <v>15.923400000000001</v>
      </c>
      <c r="EX67" s="1">
        <v>6.2050000000000001</v>
      </c>
      <c r="EY67" s="1">
        <v>0.68679999999999997</v>
      </c>
      <c r="EZ67" s="1">
        <v>2.7675000000000001</v>
      </c>
      <c r="FA67" s="1">
        <v>8.7479999999999993</v>
      </c>
      <c r="FB67" s="1">
        <v>6.6337000000000002</v>
      </c>
      <c r="FC67" s="1">
        <v>25.852499999999999</v>
      </c>
      <c r="FD67" s="1">
        <v>9.8480000000000008</v>
      </c>
      <c r="FE67" s="1">
        <v>1.1122000000000001</v>
      </c>
      <c r="FF67" s="1">
        <v>4.1245000000000003</v>
      </c>
      <c r="FG67" s="1"/>
      <c r="FH67" s="1">
        <v>16.138000000000002</v>
      </c>
      <c r="FI67" s="1">
        <v>1.0437000000000001</v>
      </c>
      <c r="FJ67" s="1">
        <v>2.2046000000000001</v>
      </c>
      <c r="FK67" s="2" t="s">
        <v>1572</v>
      </c>
      <c r="FL67" s="2"/>
      <c r="FM67" s="2"/>
      <c r="FN67" s="2">
        <v>6.2080000000000002</v>
      </c>
      <c r="FO67" s="2">
        <v>0.79169999999999996</v>
      </c>
      <c r="FP67" s="2">
        <v>3.3635999999999999</v>
      </c>
      <c r="FQ67" s="2">
        <v>8.7449999999999992</v>
      </c>
      <c r="FR67" s="2">
        <v>5.0393999999999997</v>
      </c>
      <c r="FS67" s="2">
        <v>19.8627</v>
      </c>
      <c r="FT67" s="2">
        <v>9.8480000000000008</v>
      </c>
      <c r="FU67" s="2">
        <v>0.9073</v>
      </c>
      <c r="FV67" s="2">
        <v>3.3317000000000001</v>
      </c>
      <c r="FW67" s="2"/>
      <c r="FX67" s="2">
        <v>16.128</v>
      </c>
      <c r="FY67" s="2">
        <v>1.256</v>
      </c>
      <c r="FZ67" s="2">
        <v>2.6768999999999998</v>
      </c>
      <c r="GA67" s="3" t="s">
        <v>1572</v>
      </c>
      <c r="GB67" s="3"/>
      <c r="GC67" s="3"/>
      <c r="GD67" s="3">
        <v>6.2080000000000002</v>
      </c>
      <c r="GE67" s="3">
        <v>0.67149999999999999</v>
      </c>
      <c r="GF67" s="3">
        <v>2.7924000000000002</v>
      </c>
      <c r="GG67" s="3">
        <v>8.7479999999999993</v>
      </c>
      <c r="GH67" s="3">
        <v>1.45</v>
      </c>
      <c r="GI67" s="3">
        <v>6.1372</v>
      </c>
      <c r="GJ67" s="3">
        <v>9.8510000000000009</v>
      </c>
      <c r="GK67" s="3">
        <v>0.77829999999999999</v>
      </c>
      <c r="GL67" s="3">
        <v>2.8736000000000002</v>
      </c>
      <c r="GM67" s="3"/>
      <c r="GN67" s="3">
        <v>16.148</v>
      </c>
      <c r="GO67" s="3">
        <v>1.0915999999999999</v>
      </c>
      <c r="GP67" s="3">
        <v>2.3129</v>
      </c>
      <c r="GQ67" s="380"/>
      <c r="GR67" s="380"/>
      <c r="GS67" s="380"/>
      <c r="GT67" s="380"/>
      <c r="GU67" s="380"/>
      <c r="GV67" s="380"/>
      <c r="GW67" s="380"/>
      <c r="GX67" s="380"/>
      <c r="GY67" s="380"/>
      <c r="GZ67" s="380"/>
      <c r="HA67" s="380"/>
      <c r="HB67" s="380"/>
      <c r="HC67" s="380"/>
      <c r="HD67" s="380"/>
      <c r="HE67" s="380"/>
      <c r="HF67" s="380"/>
    </row>
    <row r="68" spans="1:214">
      <c r="A68" t="s">
        <v>1571</v>
      </c>
      <c r="B68">
        <v>3</v>
      </c>
      <c r="C68">
        <f t="shared" si="93"/>
        <v>30</v>
      </c>
      <c r="D68" s="438">
        <v>4.3879999999999999</v>
      </c>
      <c r="E68" s="438">
        <v>0.6774</v>
      </c>
      <c r="F68" s="438">
        <v>1.6951000000000001</v>
      </c>
      <c r="G68" s="438">
        <v>6.1479999999999997</v>
      </c>
      <c r="H68" s="438">
        <v>0.59640000000000004</v>
      </c>
      <c r="I68" s="438">
        <v>2.6636000000000002</v>
      </c>
      <c r="J68" s="438">
        <v>8.9209999999999994</v>
      </c>
      <c r="K68" s="438">
        <v>384.327</v>
      </c>
      <c r="L68" s="438">
        <v>1229.5437999999999</v>
      </c>
      <c r="M68" s="438">
        <v>9.8710000000000004</v>
      </c>
      <c r="N68" s="438">
        <v>1.6045</v>
      </c>
      <c r="O68" s="438">
        <v>3.3921000000000001</v>
      </c>
      <c r="P68" s="23"/>
      <c r="Q68" s="438">
        <v>16.198</v>
      </c>
      <c r="R68" s="438">
        <v>0.1278</v>
      </c>
      <c r="S68" s="438">
        <v>0.26279999999999998</v>
      </c>
      <c r="T68" s="445"/>
      <c r="W68" s="6">
        <v>6.1440000000000001</v>
      </c>
      <c r="X68" s="6">
        <v>2.0911</v>
      </c>
      <c r="Y68" s="6">
        <v>3.4230999999999998</v>
      </c>
      <c r="Z68" s="442">
        <v>8.8580000000000005</v>
      </c>
      <c r="AA68" s="442">
        <v>237.7971</v>
      </c>
      <c r="AB68" s="442">
        <v>886.37030000000004</v>
      </c>
      <c r="AC68" s="193">
        <v>9.8740000000000006</v>
      </c>
      <c r="AD68" s="193">
        <v>2.0261</v>
      </c>
      <c r="AE68" s="193">
        <v>4.4470999999999998</v>
      </c>
      <c r="AF68" s="6">
        <v>16.204000000000001</v>
      </c>
      <c r="AG68" s="6">
        <v>0.65069999999999995</v>
      </c>
      <c r="AH68" s="6">
        <v>1.3644000000000001</v>
      </c>
      <c r="AI68" s="269"/>
      <c r="AJ68" s="442" t="s">
        <v>182</v>
      </c>
      <c r="AK68" s="442" t="s">
        <v>182</v>
      </c>
      <c r="AL68" s="442" t="s">
        <v>182</v>
      </c>
      <c r="AM68" s="446" t="s">
        <v>1572</v>
      </c>
      <c r="AP68" s="270">
        <v>6.1310000000000002</v>
      </c>
      <c r="AQ68" s="270">
        <v>0.61629999999999996</v>
      </c>
      <c r="AR68" s="270">
        <v>2.4056000000000002</v>
      </c>
      <c r="AS68" s="443">
        <v>8.8949999999999996</v>
      </c>
      <c r="AT68" s="443">
        <v>334.35449999999997</v>
      </c>
      <c r="AU68" s="443">
        <v>1129.3146999999999</v>
      </c>
      <c r="AV68" s="270">
        <v>9.8710000000000004</v>
      </c>
      <c r="AW68" s="270">
        <v>1.905</v>
      </c>
      <c r="AX68" s="270">
        <v>3.8923999999999999</v>
      </c>
      <c r="AY68" s="270">
        <v>16.187999999999999</v>
      </c>
      <c r="AZ68" s="270">
        <v>0.59840000000000004</v>
      </c>
      <c r="BA68" s="270">
        <v>1.2462</v>
      </c>
      <c r="BB68" s="270"/>
      <c r="BC68" s="439">
        <v>4.4039999999999999</v>
      </c>
      <c r="BD68" s="439">
        <v>10.317500000000001</v>
      </c>
      <c r="BE68" s="439">
        <v>12.946300000000001</v>
      </c>
      <c r="BF68" s="439">
        <v>6.141</v>
      </c>
      <c r="BG68" s="439">
        <v>0.4284</v>
      </c>
      <c r="BH68" s="439">
        <v>2.1</v>
      </c>
      <c r="BI68" s="439">
        <v>8.8239999999999998</v>
      </c>
      <c r="BJ68" s="439">
        <v>238.46539999999999</v>
      </c>
      <c r="BK68" s="439">
        <v>893.43200000000002</v>
      </c>
      <c r="BL68" s="439">
        <v>9.8409999999999993</v>
      </c>
      <c r="BM68" s="439">
        <v>2.3401000000000001</v>
      </c>
      <c r="BN68" s="439">
        <v>5.2488000000000001</v>
      </c>
      <c r="BO68" s="263"/>
      <c r="BP68" s="439">
        <v>16.103999999999999</v>
      </c>
      <c r="BQ68" s="439">
        <v>1.6167</v>
      </c>
      <c r="BR68" s="439">
        <v>3.4823</v>
      </c>
      <c r="BS68" s="447" t="s">
        <v>1573</v>
      </c>
      <c r="BT68" s="438"/>
      <c r="BU68" s="438"/>
      <c r="BV68" s="438">
        <v>6.1509999999999998</v>
      </c>
      <c r="BW68" s="438">
        <v>0.71970000000000001</v>
      </c>
      <c r="BX68" s="438">
        <v>2.4870000000000001</v>
      </c>
      <c r="BY68" s="438">
        <v>8.7349999999999994</v>
      </c>
      <c r="BZ68" s="438">
        <v>0.60329999999999995</v>
      </c>
      <c r="CA68" s="438">
        <v>2.4716999999999998</v>
      </c>
      <c r="CB68" s="438">
        <v>9.8409999999999993</v>
      </c>
      <c r="CC68" s="438">
        <v>1.5024999999999999</v>
      </c>
      <c r="CD68" s="438">
        <v>5.5065</v>
      </c>
      <c r="CE68" s="438"/>
      <c r="CF68" s="438">
        <v>16.111000000000001</v>
      </c>
      <c r="CG68" s="438">
        <v>0.1221</v>
      </c>
      <c r="CH68" s="438">
        <v>0.2437</v>
      </c>
      <c r="CI68" s="245" t="s">
        <v>1575</v>
      </c>
      <c r="CJ68" s="1"/>
      <c r="CK68" s="1"/>
      <c r="CL68" s="1" t="s">
        <v>1576</v>
      </c>
      <c r="CM68" s="1"/>
      <c r="CN68" s="1"/>
      <c r="CO68" s="1">
        <v>8.7840000000000007</v>
      </c>
      <c r="CP68" s="1">
        <v>158.90309999999999</v>
      </c>
      <c r="CQ68" s="1">
        <v>613.72619999999995</v>
      </c>
      <c r="CR68" s="1">
        <v>9.8379999999999992</v>
      </c>
      <c r="CS68" s="1">
        <v>1.5969</v>
      </c>
      <c r="CT68" s="1">
        <v>3.6589999999999998</v>
      </c>
      <c r="CU68" s="1"/>
      <c r="CV68" s="1">
        <v>16.108000000000001</v>
      </c>
      <c r="CW68" s="1">
        <v>0.90049999999999997</v>
      </c>
      <c r="CX68" s="1">
        <v>1.9085000000000001</v>
      </c>
      <c r="CY68" s="2" t="s">
        <v>1578</v>
      </c>
      <c r="CZ68" s="2"/>
      <c r="DA68" s="2"/>
      <c r="DB68" s="2">
        <v>6.1580000000000004</v>
      </c>
      <c r="DC68" s="2">
        <v>0.5655</v>
      </c>
      <c r="DD68" s="2">
        <v>1.3553999999999999</v>
      </c>
      <c r="DE68" s="2">
        <v>8.9179999999999993</v>
      </c>
      <c r="DF68" s="2">
        <v>472.68619999999999</v>
      </c>
      <c r="DG68" s="2">
        <v>1417.3974000000001</v>
      </c>
      <c r="DH68" s="2">
        <v>9.8339999999999996</v>
      </c>
      <c r="DI68" s="2">
        <v>2.7423999999999999</v>
      </c>
      <c r="DJ68" s="2">
        <v>4.9539</v>
      </c>
      <c r="DK68" s="2"/>
      <c r="DL68" s="2">
        <v>16.120999999999999</v>
      </c>
      <c r="DM68" s="2">
        <v>0.57520000000000004</v>
      </c>
      <c r="DN68" s="2">
        <v>1.1545000000000001</v>
      </c>
      <c r="DO68" s="266">
        <v>4.3680000000000003</v>
      </c>
      <c r="DP68" s="266">
        <v>16.019100000000002</v>
      </c>
      <c r="DQ68" s="266">
        <v>29.121500000000001</v>
      </c>
      <c r="DR68" s="266">
        <v>6.194</v>
      </c>
      <c r="DS68" s="266">
        <v>0.7611</v>
      </c>
      <c r="DT68" s="266">
        <v>2.9129999999999998</v>
      </c>
      <c r="DU68" s="266">
        <v>8.7479999999999993</v>
      </c>
      <c r="DV68" s="266">
        <v>92.245099999999994</v>
      </c>
      <c r="DW68" s="266">
        <v>381.09019999999998</v>
      </c>
      <c r="DX68" s="266">
        <v>9.8239999999999998</v>
      </c>
      <c r="DY68" s="266">
        <v>1.9488000000000001</v>
      </c>
      <c r="DZ68" s="266">
        <v>4.7960000000000003</v>
      </c>
      <c r="EA68" s="266"/>
      <c r="EB68" s="266">
        <v>16.094000000000001</v>
      </c>
      <c r="EC68" s="266">
        <v>2.5897999999999999</v>
      </c>
      <c r="ED68" s="266">
        <v>5.5990000000000002</v>
      </c>
      <c r="EE68" s="4" t="s">
        <v>1573</v>
      </c>
      <c r="EF68" s="4"/>
      <c r="EG68" s="4"/>
      <c r="EH68" s="4">
        <v>6.1349999999999998</v>
      </c>
      <c r="EI68" s="4">
        <v>0.4632</v>
      </c>
      <c r="EJ68" s="4">
        <v>2.2073</v>
      </c>
      <c r="EK68" s="4">
        <v>8.8450000000000006</v>
      </c>
      <c r="EL68" s="4">
        <v>298.25439999999998</v>
      </c>
      <c r="EM68" s="4">
        <v>1060.3081999999999</v>
      </c>
      <c r="EN68" s="4">
        <v>9.8209999999999997</v>
      </c>
      <c r="EO68" s="4">
        <v>0.3115</v>
      </c>
      <c r="EP68" s="4">
        <v>2.7198000000000002</v>
      </c>
      <c r="EQ68" s="4"/>
      <c r="ER68" s="4">
        <v>16.111000000000001</v>
      </c>
      <c r="ES68" s="4">
        <v>0.28199999999999997</v>
      </c>
      <c r="ET68" s="4">
        <v>0.38440000000000002</v>
      </c>
      <c r="EU68" s="1">
        <v>4.4580000000000002</v>
      </c>
      <c r="EV68" s="1">
        <v>10.203200000000001</v>
      </c>
      <c r="EW68" s="1">
        <v>13.931800000000001</v>
      </c>
      <c r="EX68" s="1">
        <v>6.1710000000000003</v>
      </c>
      <c r="EY68" s="1">
        <v>0.65069999999999995</v>
      </c>
      <c r="EZ68" s="1">
        <v>2.3409</v>
      </c>
      <c r="FA68" s="1">
        <v>8.7949999999999999</v>
      </c>
      <c r="FB68" s="1">
        <v>144.6695</v>
      </c>
      <c r="FC68" s="1">
        <v>594.91959999999995</v>
      </c>
      <c r="FD68" s="1">
        <v>9.8450000000000006</v>
      </c>
      <c r="FE68" s="1">
        <v>1.9835</v>
      </c>
      <c r="FF68" s="1">
        <v>4.7144000000000004</v>
      </c>
      <c r="FG68" s="1"/>
      <c r="FH68" s="1">
        <v>16.138000000000002</v>
      </c>
      <c r="FI68" s="1">
        <v>0.91979999999999995</v>
      </c>
      <c r="FJ68" s="1">
        <v>1.9259999999999999</v>
      </c>
      <c r="FK68" s="2" t="s">
        <v>1572</v>
      </c>
      <c r="FL68" s="2"/>
      <c r="FM68" s="2"/>
      <c r="FN68" s="2">
        <v>6.1980000000000004</v>
      </c>
      <c r="FO68" s="2">
        <v>0.71479999999999999</v>
      </c>
      <c r="FP68" s="2">
        <v>2.7181000000000002</v>
      </c>
      <c r="FQ68" s="2">
        <v>8.7710000000000008</v>
      </c>
      <c r="FR68" s="2">
        <v>90.309100000000001</v>
      </c>
      <c r="FS68" s="2">
        <v>382.98590000000002</v>
      </c>
      <c r="FT68" s="2">
        <v>9.8409999999999993</v>
      </c>
      <c r="FU68" s="2">
        <v>1.7881</v>
      </c>
      <c r="FV68" s="2">
        <v>4.8422999999999998</v>
      </c>
      <c r="FW68" s="2"/>
      <c r="FX68" s="2">
        <v>16.128</v>
      </c>
      <c r="FY68" s="2">
        <v>1.0161</v>
      </c>
      <c r="FZ68" s="2">
        <v>2.1589999999999998</v>
      </c>
      <c r="GA68" s="3" t="s">
        <v>1572</v>
      </c>
      <c r="GB68" s="3"/>
      <c r="GC68" s="3"/>
      <c r="GD68" s="3">
        <v>6.1980000000000004</v>
      </c>
      <c r="GE68" s="3">
        <v>0.65280000000000005</v>
      </c>
      <c r="GF68" s="3">
        <v>2.5066999999999999</v>
      </c>
      <c r="GG68" s="3">
        <v>8.7680000000000007</v>
      </c>
      <c r="GH68" s="3">
        <v>71.3536</v>
      </c>
      <c r="GI68" s="3">
        <v>308.80180000000001</v>
      </c>
      <c r="GJ68" s="3">
        <v>9.8439999999999994</v>
      </c>
      <c r="GK68" s="3">
        <v>0.94789999999999996</v>
      </c>
      <c r="GL68" s="3">
        <v>3.1015999999999999</v>
      </c>
      <c r="GM68" s="3"/>
      <c r="GN68" s="3">
        <v>16.140999999999998</v>
      </c>
      <c r="GO68" s="3">
        <v>1.0076000000000001</v>
      </c>
      <c r="GP68" s="3">
        <v>2.1429999999999998</v>
      </c>
      <c r="GQ68" s="380"/>
      <c r="GR68" s="380"/>
      <c r="GS68" s="380"/>
      <c r="GT68" s="380"/>
      <c r="GU68" s="380"/>
      <c r="GV68" s="380"/>
      <c r="GW68" s="380"/>
      <c r="GX68" s="380"/>
      <c r="GY68" s="380"/>
      <c r="GZ68" s="380"/>
      <c r="HA68" s="380"/>
      <c r="HB68" s="380"/>
      <c r="HC68" s="380"/>
      <c r="HD68" s="380"/>
      <c r="HE68" s="380"/>
      <c r="HF68" s="380"/>
    </row>
    <row r="69" spans="1:214">
      <c r="B69">
        <v>4</v>
      </c>
      <c r="C69">
        <f t="shared" si="93"/>
        <v>40</v>
      </c>
      <c r="D69" s="438">
        <v>4.3940000000000001</v>
      </c>
      <c r="E69" s="438">
        <v>0.81040000000000001</v>
      </c>
      <c r="F69" s="438">
        <v>1.2949999999999999</v>
      </c>
      <c r="G69" s="438">
        <v>6.1479999999999997</v>
      </c>
      <c r="H69" s="438">
        <v>0.92110000000000003</v>
      </c>
      <c r="I69" s="438">
        <v>2.8910999999999998</v>
      </c>
      <c r="J69" s="438">
        <v>8.9039999999999999</v>
      </c>
      <c r="K69" s="438">
        <v>346.65370000000001</v>
      </c>
      <c r="L69" s="438">
        <v>1152.4358</v>
      </c>
      <c r="M69" s="438">
        <v>9.8640000000000008</v>
      </c>
      <c r="N69" s="438">
        <v>1.389</v>
      </c>
      <c r="O69" s="438">
        <v>2.8696000000000002</v>
      </c>
      <c r="P69" s="23"/>
      <c r="Q69" s="438">
        <v>16.190999999999999</v>
      </c>
      <c r="R69" s="438">
        <v>0.1045</v>
      </c>
      <c r="S69" s="438">
        <v>0.22559999999999999</v>
      </c>
      <c r="T69" s="445"/>
      <c r="W69" s="6">
        <v>6.1349999999999998</v>
      </c>
      <c r="X69" s="6">
        <v>1.9802</v>
      </c>
      <c r="Y69" s="6">
        <v>3.2248999999999999</v>
      </c>
      <c r="Z69" s="442">
        <v>8.8810000000000002</v>
      </c>
      <c r="AA69" s="442">
        <v>298.6506</v>
      </c>
      <c r="AB69" s="442">
        <v>1046.7715000000001</v>
      </c>
      <c r="AC69" s="193">
        <v>9.8710000000000004</v>
      </c>
      <c r="AD69" s="193">
        <v>2.1373000000000002</v>
      </c>
      <c r="AE69" s="193">
        <v>4.6018999999999997</v>
      </c>
      <c r="AF69" s="6">
        <v>16.204999999999998</v>
      </c>
      <c r="AG69" s="6">
        <v>0.59919999999999995</v>
      </c>
      <c r="AH69" s="6">
        <v>1.2639</v>
      </c>
      <c r="AI69" s="269"/>
      <c r="AJ69" s="442" t="s">
        <v>182</v>
      </c>
      <c r="AK69" s="442" t="s">
        <v>182</v>
      </c>
      <c r="AL69" s="442" t="s">
        <v>182</v>
      </c>
      <c r="AM69" s="446" t="s">
        <v>1572</v>
      </c>
      <c r="AP69" s="270">
        <v>6.1349999999999998</v>
      </c>
      <c r="AQ69" s="270">
        <v>0.63690000000000002</v>
      </c>
      <c r="AR69" s="270">
        <v>2.4817</v>
      </c>
      <c r="AS69" s="443">
        <v>8.8780000000000001</v>
      </c>
      <c r="AT69" s="443">
        <v>299.51799999999997</v>
      </c>
      <c r="AU69" s="443">
        <v>1048.1325999999999</v>
      </c>
      <c r="AV69" s="270">
        <v>9.8680000000000003</v>
      </c>
      <c r="AW69" s="270">
        <v>1.7706</v>
      </c>
      <c r="AX69" s="270">
        <v>3.9074</v>
      </c>
      <c r="AY69" s="270">
        <v>16.184999999999999</v>
      </c>
      <c r="AZ69" s="270">
        <v>0.59450000000000003</v>
      </c>
      <c r="BA69" s="270">
        <v>1.2410000000000001</v>
      </c>
      <c r="BB69" s="270"/>
      <c r="BC69" s="439">
        <v>4.391</v>
      </c>
      <c r="BD69" s="439">
        <v>9.6270000000000007</v>
      </c>
      <c r="BE69" s="439">
        <v>12.153600000000001</v>
      </c>
      <c r="BF69" s="439">
        <v>6.125</v>
      </c>
      <c r="BG69" s="439">
        <v>0.38800000000000001</v>
      </c>
      <c r="BH69" s="439">
        <v>1.7505999999999999</v>
      </c>
      <c r="BI69" s="439">
        <v>8.8949999999999996</v>
      </c>
      <c r="BJ69" s="439">
        <v>419.7792</v>
      </c>
      <c r="BK69" s="439">
        <v>1315.931</v>
      </c>
      <c r="BL69" s="439">
        <v>9.8379999999999992</v>
      </c>
      <c r="BM69" s="439">
        <v>0.72270000000000001</v>
      </c>
      <c r="BN69" s="439">
        <v>5.3799000000000001</v>
      </c>
      <c r="BO69" s="263"/>
      <c r="BP69" s="439">
        <v>16.097999999999999</v>
      </c>
      <c r="BQ69" s="439">
        <v>1.4006000000000001</v>
      </c>
      <c r="BR69" s="439">
        <v>3.0091999999999999</v>
      </c>
      <c r="BS69" s="447" t="s">
        <v>1573</v>
      </c>
      <c r="BT69" s="438"/>
      <c r="BU69" s="438"/>
      <c r="BV69" s="438">
        <v>6.1509999999999998</v>
      </c>
      <c r="BW69" s="438">
        <v>0.73780000000000001</v>
      </c>
      <c r="BX69" s="438">
        <v>2.5436000000000001</v>
      </c>
      <c r="BY69" s="438">
        <v>8.7409999999999997</v>
      </c>
      <c r="BZ69" s="438">
        <v>13.0885</v>
      </c>
      <c r="CA69" s="438">
        <v>57.168300000000002</v>
      </c>
      <c r="CB69" s="438">
        <v>9.8450000000000006</v>
      </c>
      <c r="CC69" s="438">
        <v>1.7558</v>
      </c>
      <c r="CD69" s="438">
        <v>6.4829999999999997</v>
      </c>
      <c r="CE69" s="438"/>
      <c r="CF69" s="438">
        <v>16.111000000000001</v>
      </c>
      <c r="CG69" s="438">
        <v>0.1293</v>
      </c>
      <c r="CH69" s="438">
        <v>0.25700000000000001</v>
      </c>
      <c r="CI69" s="245" t="s">
        <v>1575</v>
      </c>
      <c r="CJ69" s="1"/>
      <c r="CK69" s="1"/>
      <c r="CL69" s="1" t="s">
        <v>1576</v>
      </c>
      <c r="CM69" s="1"/>
      <c r="CN69" s="1"/>
      <c r="CO69" s="1">
        <v>8.8480000000000008</v>
      </c>
      <c r="CP69" s="1">
        <v>317.36200000000002</v>
      </c>
      <c r="CQ69" s="1">
        <v>1095.1451999999999</v>
      </c>
      <c r="CR69" s="1">
        <v>9.8309999999999995</v>
      </c>
      <c r="CS69" s="1">
        <v>2.2928999999999999</v>
      </c>
      <c r="CT69" s="1">
        <v>4.9912999999999998</v>
      </c>
      <c r="CU69" s="1"/>
      <c r="CV69" s="1">
        <v>16.100999999999999</v>
      </c>
      <c r="CW69" s="1">
        <v>0.68359999999999999</v>
      </c>
      <c r="CX69" s="1">
        <v>1.4165000000000001</v>
      </c>
      <c r="CY69" s="2" t="s">
        <v>1578</v>
      </c>
      <c r="CZ69" s="2"/>
      <c r="DA69" s="2"/>
      <c r="DB69" s="2">
        <v>6.1980000000000004</v>
      </c>
      <c r="DC69" s="2">
        <v>0.61060000000000003</v>
      </c>
      <c r="DD69" s="2">
        <v>1.7431000000000001</v>
      </c>
      <c r="DE69" s="2">
        <v>8.8539999999999992</v>
      </c>
      <c r="DF69" s="2">
        <v>318.63909999999998</v>
      </c>
      <c r="DG69" s="2">
        <v>1109.7362000000001</v>
      </c>
      <c r="DH69" s="2">
        <v>9.8309999999999995</v>
      </c>
      <c r="DI69" s="2">
        <v>2.1916000000000002</v>
      </c>
      <c r="DJ69" s="2">
        <v>4.5479000000000003</v>
      </c>
      <c r="DK69" s="2"/>
      <c r="DL69" s="2">
        <v>16.123999999999999</v>
      </c>
      <c r="DM69" s="2">
        <v>0.61950000000000005</v>
      </c>
      <c r="DN69" s="2">
        <v>1.2475000000000001</v>
      </c>
      <c r="DO69" s="266">
        <v>4.3540000000000001</v>
      </c>
      <c r="DP69" s="266">
        <v>13.3781</v>
      </c>
      <c r="DQ69" s="266">
        <v>23.4054</v>
      </c>
      <c r="DR69" s="266">
        <v>6.1639999999999997</v>
      </c>
      <c r="DS69" s="266">
        <v>1.1581999999999999</v>
      </c>
      <c r="DT69" s="266">
        <v>3.6448</v>
      </c>
      <c r="DU69" s="266">
        <v>8.8580000000000005</v>
      </c>
      <c r="DV69" s="266">
        <v>340.2645</v>
      </c>
      <c r="DW69" s="266">
        <v>1159.3018</v>
      </c>
      <c r="DX69" s="266">
        <v>9.8209999999999997</v>
      </c>
      <c r="DY69" s="266">
        <v>2.3871000000000002</v>
      </c>
      <c r="DZ69" s="266">
        <v>4.9196</v>
      </c>
      <c r="EA69" s="266"/>
      <c r="EB69" s="266">
        <v>16.103999999999999</v>
      </c>
      <c r="EC69" s="266">
        <v>1.7718</v>
      </c>
      <c r="ED69" s="266">
        <v>3.8003999999999998</v>
      </c>
      <c r="EE69" s="4" t="s">
        <v>1573</v>
      </c>
      <c r="EF69" s="4"/>
      <c r="EG69" s="4"/>
      <c r="EH69" s="4">
        <v>6.1310000000000002</v>
      </c>
      <c r="EI69" s="4">
        <v>0.52769999999999995</v>
      </c>
      <c r="EJ69" s="4">
        <v>2.4218999999999999</v>
      </c>
      <c r="EK69" s="4">
        <v>8.8680000000000003</v>
      </c>
      <c r="EL69" s="4">
        <v>349.43770000000001</v>
      </c>
      <c r="EM69" s="4">
        <v>1178.3893</v>
      </c>
      <c r="EN69" s="4">
        <v>9.8239999999999998</v>
      </c>
      <c r="EO69" s="4">
        <v>1.4686999999999999</v>
      </c>
      <c r="EP69" s="4">
        <v>2.8529</v>
      </c>
      <c r="EQ69" s="4"/>
      <c r="ER69" s="4">
        <v>16.114000000000001</v>
      </c>
      <c r="ES69" s="4">
        <v>0.2162</v>
      </c>
      <c r="ET69" s="4">
        <v>0.45490000000000003</v>
      </c>
      <c r="EU69" s="1">
        <v>4.4480000000000004</v>
      </c>
      <c r="EV69" s="1">
        <v>8.5754000000000001</v>
      </c>
      <c r="EW69" s="1">
        <v>12.312099999999999</v>
      </c>
      <c r="EX69" s="1">
        <v>6.1340000000000003</v>
      </c>
      <c r="EY69" s="1">
        <v>0.58099999999999996</v>
      </c>
      <c r="EZ69" s="1">
        <v>2.0920999999999998</v>
      </c>
      <c r="FA69" s="1">
        <v>8.8840000000000003</v>
      </c>
      <c r="FB69" s="1">
        <v>346.99430000000001</v>
      </c>
      <c r="FC69" s="1">
        <v>1173.4070999999999</v>
      </c>
      <c r="FD69" s="1">
        <v>9.8439999999999994</v>
      </c>
      <c r="FE69" s="1">
        <v>1.8959999999999999</v>
      </c>
      <c r="FF69" s="1">
        <v>4.6140999999999996</v>
      </c>
      <c r="FG69" s="1"/>
      <c r="FH69" s="1">
        <v>16.138000000000002</v>
      </c>
      <c r="FI69" s="1">
        <v>0.78500000000000003</v>
      </c>
      <c r="FJ69" s="1">
        <v>1.6636</v>
      </c>
      <c r="FK69" s="2" t="s">
        <v>1572</v>
      </c>
      <c r="FL69" s="2"/>
      <c r="FM69" s="2"/>
      <c r="FN69" s="2">
        <v>6.1509999999999998</v>
      </c>
      <c r="FO69" s="2">
        <v>0.68330000000000002</v>
      </c>
      <c r="FP69" s="2">
        <v>2.3996</v>
      </c>
      <c r="FQ69" s="2">
        <v>8.8209999999999997</v>
      </c>
      <c r="FR69" s="2">
        <v>206.8329</v>
      </c>
      <c r="FS69" s="2">
        <v>804.99260000000004</v>
      </c>
      <c r="FT69" s="2">
        <v>9.8379999999999992</v>
      </c>
      <c r="FU69" s="2">
        <v>1.3919999999999999</v>
      </c>
      <c r="FV69" s="2">
        <v>3.8422999999999998</v>
      </c>
      <c r="FW69" s="2"/>
      <c r="FX69" s="2">
        <v>16.128</v>
      </c>
      <c r="FY69" s="2">
        <v>0.87649999999999995</v>
      </c>
      <c r="FZ69" s="2">
        <v>1.8636999999999999</v>
      </c>
      <c r="GA69" s="3" t="s">
        <v>1590</v>
      </c>
      <c r="GB69" s="3" t="s">
        <v>1590</v>
      </c>
      <c r="GC69" s="3" t="s">
        <v>1590</v>
      </c>
      <c r="GD69" s="3" t="s">
        <v>1590</v>
      </c>
      <c r="GE69" s="3" t="s">
        <v>1590</v>
      </c>
      <c r="GF69" s="3" t="s">
        <v>1590</v>
      </c>
      <c r="GG69" s="3" t="s">
        <v>1590</v>
      </c>
      <c r="GH69" s="3" t="s">
        <v>1590</v>
      </c>
      <c r="GI69" s="3" t="s">
        <v>1590</v>
      </c>
      <c r="GJ69" s="3" t="s">
        <v>1590</v>
      </c>
      <c r="GK69" s="3" t="s">
        <v>1590</v>
      </c>
      <c r="GL69" s="3" t="s">
        <v>1590</v>
      </c>
      <c r="GM69" s="3" t="s">
        <v>1590</v>
      </c>
      <c r="GN69" s="3" t="s">
        <v>1590</v>
      </c>
      <c r="GO69" s="3" t="s">
        <v>1590</v>
      </c>
      <c r="GP69" s="3" t="s">
        <v>1590</v>
      </c>
      <c r="GQ69" s="380"/>
      <c r="GR69" s="380"/>
      <c r="GS69" s="380"/>
      <c r="GT69" s="380"/>
      <c r="GU69" s="380"/>
      <c r="GV69" s="380"/>
      <c r="GW69" s="380"/>
      <c r="GX69" s="380"/>
      <c r="GY69" s="380"/>
      <c r="GZ69" s="380"/>
      <c r="HA69" s="380"/>
      <c r="HB69" s="380"/>
      <c r="HC69" s="380"/>
      <c r="HD69" s="380"/>
      <c r="HE69" s="380"/>
      <c r="HF69" s="380"/>
    </row>
    <row r="70" spans="1:214">
      <c r="B70">
        <v>5</v>
      </c>
      <c r="C70">
        <f t="shared" si="93"/>
        <v>50</v>
      </c>
      <c r="D70" s="438">
        <v>4.3940000000000001</v>
      </c>
      <c r="E70" s="438">
        <v>0.56559999999999999</v>
      </c>
      <c r="F70" s="438">
        <v>1.3729</v>
      </c>
      <c r="G70" s="438">
        <v>6.1509999999999998</v>
      </c>
      <c r="H70" s="438">
        <v>0.65759999999999996</v>
      </c>
      <c r="I70" s="438">
        <v>2.8445</v>
      </c>
      <c r="J70" s="438">
        <v>8.8680000000000003</v>
      </c>
      <c r="K70" s="438">
        <v>266.44220000000001</v>
      </c>
      <c r="L70" s="438">
        <v>962.95150000000001</v>
      </c>
      <c r="M70" s="438">
        <v>9.8680000000000003</v>
      </c>
      <c r="N70" s="438">
        <v>1.2423</v>
      </c>
      <c r="O70" s="438">
        <v>2.8068</v>
      </c>
      <c r="P70" s="23"/>
      <c r="Q70" s="438">
        <v>16.201000000000001</v>
      </c>
      <c r="R70" s="438">
        <v>0.1022</v>
      </c>
      <c r="S70" s="438">
        <v>0.2117</v>
      </c>
      <c r="T70" s="445"/>
      <c r="W70" s="6">
        <v>6.1379999999999999</v>
      </c>
      <c r="X70" s="6">
        <v>1.9921</v>
      </c>
      <c r="Y70" s="6">
        <v>3.2902999999999998</v>
      </c>
      <c r="Z70" s="442">
        <v>8.8780000000000001</v>
      </c>
      <c r="AA70" s="442">
        <v>288.07350000000002</v>
      </c>
      <c r="AB70" s="442">
        <v>1021.0522999999999</v>
      </c>
      <c r="AC70" s="193">
        <v>9.8710000000000004</v>
      </c>
      <c r="AD70" s="193">
        <v>2.0844</v>
      </c>
      <c r="AE70" s="193">
        <v>4.7172000000000001</v>
      </c>
      <c r="AF70" s="6">
        <v>16.198</v>
      </c>
      <c r="AG70" s="6">
        <v>0.6099</v>
      </c>
      <c r="AH70" s="6">
        <v>1.2862</v>
      </c>
      <c r="AI70" s="269"/>
      <c r="AJ70" s="442" t="s">
        <v>182</v>
      </c>
      <c r="AK70" s="442" t="s">
        <v>182</v>
      </c>
      <c r="AL70" s="442" t="s">
        <v>182</v>
      </c>
      <c r="AM70" s="446" t="s">
        <v>1572</v>
      </c>
      <c r="AP70" s="270">
        <v>6.141</v>
      </c>
      <c r="AQ70" s="270">
        <v>0.6069</v>
      </c>
      <c r="AR70" s="270">
        <v>2.5076000000000001</v>
      </c>
      <c r="AS70" s="443">
        <v>8.8439999999999994</v>
      </c>
      <c r="AT70" s="443">
        <v>220.4092</v>
      </c>
      <c r="AU70" s="443">
        <v>832.11739999999998</v>
      </c>
      <c r="AV70" s="270">
        <v>9.8710000000000004</v>
      </c>
      <c r="AW70" s="270">
        <v>1.8877999999999999</v>
      </c>
      <c r="AX70" s="270">
        <v>4.1131000000000002</v>
      </c>
      <c r="AY70" s="270">
        <v>16.184000000000001</v>
      </c>
      <c r="AZ70" s="270">
        <v>0.53659999999999997</v>
      </c>
      <c r="BA70" s="270">
        <v>1.1131</v>
      </c>
      <c r="BB70" s="270"/>
      <c r="BC70" s="439">
        <v>4.391</v>
      </c>
      <c r="BD70" s="439">
        <v>11.4321</v>
      </c>
      <c r="BE70" s="439">
        <v>15.1065</v>
      </c>
      <c r="BF70" s="439">
        <v>6.1239999999999997</v>
      </c>
      <c r="BG70" s="439">
        <v>0.42280000000000001</v>
      </c>
      <c r="BH70" s="439">
        <v>1.8857999999999999</v>
      </c>
      <c r="BI70" s="439">
        <v>8.9079999999999995</v>
      </c>
      <c r="BJ70" s="439">
        <v>448.0129</v>
      </c>
      <c r="BK70" s="439">
        <v>1367.2799</v>
      </c>
      <c r="BL70" s="439">
        <v>9.8409999999999993</v>
      </c>
      <c r="BM70" s="439">
        <v>2.9474999999999998</v>
      </c>
      <c r="BN70" s="439">
        <v>5.5841000000000003</v>
      </c>
      <c r="BO70" s="263"/>
      <c r="BP70" s="439">
        <v>16.100999999999999</v>
      </c>
      <c r="BQ70" s="439">
        <v>1.4508000000000001</v>
      </c>
      <c r="BR70" s="439">
        <v>3.1153</v>
      </c>
      <c r="BS70" s="447" t="s">
        <v>1573</v>
      </c>
      <c r="BT70" s="438"/>
      <c r="BU70" s="438"/>
      <c r="BV70" s="438">
        <v>6.1379999999999999</v>
      </c>
      <c r="BW70" s="438">
        <v>0.47949999999999998</v>
      </c>
      <c r="BX70" s="438">
        <v>2.1743000000000001</v>
      </c>
      <c r="BY70" s="438">
        <v>8.8510000000000009</v>
      </c>
      <c r="BZ70" s="438">
        <v>307.34129999999999</v>
      </c>
      <c r="CA70" s="438">
        <v>1076.1195</v>
      </c>
      <c r="CB70" s="438">
        <v>9.8350000000000009</v>
      </c>
      <c r="CC70" s="438">
        <v>2.1543999999999999</v>
      </c>
      <c r="CD70" s="438">
        <v>5.944</v>
      </c>
      <c r="CE70" s="438"/>
      <c r="CF70" s="438">
        <v>16.094999999999999</v>
      </c>
      <c r="CG70" s="438">
        <v>9.2499999999999999E-2</v>
      </c>
      <c r="CH70" s="438">
        <v>0.19350000000000001</v>
      </c>
      <c r="CI70" s="245" t="s">
        <v>1575</v>
      </c>
      <c r="CJ70" s="1"/>
      <c r="CK70" s="1"/>
      <c r="CL70" s="1" t="s">
        <v>1576</v>
      </c>
      <c r="CM70" s="1"/>
      <c r="CN70" s="1"/>
      <c r="CO70" s="1">
        <v>8.8640000000000008</v>
      </c>
      <c r="CP70" s="1">
        <v>348.286</v>
      </c>
      <c r="CQ70" s="1">
        <v>1169.3559</v>
      </c>
      <c r="CR70" s="1">
        <v>9.8339999999999996</v>
      </c>
      <c r="CS70" s="1">
        <v>2.1417999999999999</v>
      </c>
      <c r="CT70" s="1">
        <v>4.5633999999999997</v>
      </c>
      <c r="CU70" s="1"/>
      <c r="CV70" s="1">
        <v>16.103999999999999</v>
      </c>
      <c r="CW70" s="1">
        <v>0.58979999999999999</v>
      </c>
      <c r="CX70" s="1">
        <v>1.2416</v>
      </c>
      <c r="CY70" s="2" t="s">
        <v>1578</v>
      </c>
      <c r="CZ70" s="2"/>
      <c r="DA70" s="2"/>
      <c r="DB70" s="2">
        <v>6.2039999999999997</v>
      </c>
      <c r="DC70" s="2">
        <v>0.63239999999999996</v>
      </c>
      <c r="DD70" s="2">
        <v>2.0423</v>
      </c>
      <c r="DE70" s="2">
        <v>8.8010000000000002</v>
      </c>
      <c r="DF70" s="2">
        <v>204.6962</v>
      </c>
      <c r="DG70" s="2">
        <v>791.64480000000003</v>
      </c>
      <c r="DH70" s="2">
        <v>9.8309999999999995</v>
      </c>
      <c r="DI70" s="2">
        <v>2.0038</v>
      </c>
      <c r="DJ70" s="2">
        <v>4.3691000000000004</v>
      </c>
      <c r="DK70" s="2"/>
      <c r="DL70" s="2">
        <v>16.123999999999999</v>
      </c>
      <c r="DM70" s="2">
        <v>0.64510000000000001</v>
      </c>
      <c r="DN70" s="2">
        <v>1.3064</v>
      </c>
      <c r="DO70" s="266">
        <v>4.3479999999999999</v>
      </c>
      <c r="DP70" s="266">
        <v>13.725300000000001</v>
      </c>
      <c r="DQ70" s="266">
        <v>24.107800000000001</v>
      </c>
      <c r="DR70" s="266">
        <v>6.101</v>
      </c>
      <c r="DS70" s="266">
        <v>1.2769999999999999</v>
      </c>
      <c r="DT70" s="266">
        <v>4.3920000000000003</v>
      </c>
      <c r="DU70" s="266">
        <v>8.9079999999999995</v>
      </c>
      <c r="DV70" s="266">
        <v>460.24099999999999</v>
      </c>
      <c r="DW70" s="266">
        <v>1395.4407000000001</v>
      </c>
      <c r="DX70" s="266">
        <v>9.8279999999999994</v>
      </c>
      <c r="DY70" s="266">
        <v>2.7216999999999998</v>
      </c>
      <c r="DZ70" s="266">
        <v>5.2615999999999996</v>
      </c>
      <c r="EA70" s="266"/>
      <c r="EB70" s="266">
        <v>16.103999999999999</v>
      </c>
      <c r="EC70" s="266">
        <v>1.4823999999999999</v>
      </c>
      <c r="ED70" s="266">
        <v>3.1699000000000002</v>
      </c>
      <c r="EE70" s="4" t="s">
        <v>1573</v>
      </c>
      <c r="EF70" s="4"/>
      <c r="EG70" s="4"/>
      <c r="EH70" s="4">
        <v>6.1379999999999999</v>
      </c>
      <c r="EI70" s="4">
        <v>0.50770000000000004</v>
      </c>
      <c r="EJ70" s="4">
        <v>2.3950999999999998</v>
      </c>
      <c r="EK70" s="4">
        <v>8.8379999999999992</v>
      </c>
      <c r="EL70" s="4">
        <v>280.15390000000002</v>
      </c>
      <c r="EM70" s="4">
        <v>1014.7804</v>
      </c>
      <c r="EN70" s="4">
        <v>9.8249999999999993</v>
      </c>
      <c r="EO70" s="4">
        <v>1.3171999999999999</v>
      </c>
      <c r="EP70" s="4">
        <v>2.8761000000000001</v>
      </c>
      <c r="EQ70" s="4"/>
      <c r="ER70" s="4">
        <v>16.111000000000001</v>
      </c>
      <c r="ES70" s="4">
        <v>0.15690000000000001</v>
      </c>
      <c r="ET70" s="4">
        <v>0.32940000000000003</v>
      </c>
      <c r="EU70" s="1">
        <v>4.4509999999999996</v>
      </c>
      <c r="EV70" s="1">
        <v>9.7970000000000006</v>
      </c>
      <c r="EW70" s="1">
        <v>12.851100000000001</v>
      </c>
      <c r="EX70" s="1">
        <v>6.1379999999999999</v>
      </c>
      <c r="EY70" s="1">
        <v>0.57110000000000005</v>
      </c>
      <c r="EZ70" s="1">
        <v>2.1758000000000002</v>
      </c>
      <c r="FA70" s="1">
        <v>8.8810000000000002</v>
      </c>
      <c r="FB70" s="1">
        <v>335.6497</v>
      </c>
      <c r="FC70" s="1">
        <v>1146.9860000000001</v>
      </c>
      <c r="FD70" s="1">
        <v>9.8450000000000006</v>
      </c>
      <c r="FE70" s="1">
        <v>2.4081000000000001</v>
      </c>
      <c r="FF70" s="1">
        <v>4.9573</v>
      </c>
      <c r="FG70" s="1"/>
      <c r="FH70" s="1">
        <v>16.135000000000002</v>
      </c>
      <c r="FI70" s="1">
        <v>0.74109999999999998</v>
      </c>
      <c r="FJ70" s="1">
        <v>1.5676000000000001</v>
      </c>
      <c r="FK70" s="2" t="s">
        <v>1572</v>
      </c>
      <c r="FL70" s="2"/>
      <c r="FM70" s="2"/>
      <c r="FN70" s="2">
        <v>6.1349999999999998</v>
      </c>
      <c r="FO70" s="2">
        <v>0.62119999999999997</v>
      </c>
      <c r="FP70" s="2">
        <v>2.2968999999999999</v>
      </c>
      <c r="FQ70" s="2">
        <v>8.8680000000000003</v>
      </c>
      <c r="FR70" s="2">
        <v>319.73079999999999</v>
      </c>
      <c r="FS70" s="2">
        <v>1110.7846999999999</v>
      </c>
      <c r="FT70" s="2">
        <v>9.8379999999999992</v>
      </c>
      <c r="FU70" s="2">
        <v>2.0505</v>
      </c>
      <c r="FV70" s="2">
        <v>4.2274000000000003</v>
      </c>
      <c r="FW70" s="2"/>
      <c r="FX70" s="2">
        <v>16.128</v>
      </c>
      <c r="FY70" s="2">
        <v>0.72819999999999996</v>
      </c>
      <c r="FZ70" s="2">
        <v>1.5447</v>
      </c>
      <c r="GA70" s="3" t="s">
        <v>1572</v>
      </c>
      <c r="GB70" s="3"/>
      <c r="GC70" s="3"/>
      <c r="GD70" s="3">
        <v>6.1449999999999996</v>
      </c>
      <c r="GE70" s="3">
        <v>0.56820000000000004</v>
      </c>
      <c r="GF70" s="3">
        <v>2.0775000000000001</v>
      </c>
      <c r="GG70" s="3">
        <v>8.8680000000000003</v>
      </c>
      <c r="GH70" s="3">
        <v>294.23570000000001</v>
      </c>
      <c r="GI70" s="3">
        <v>1048.7185999999999</v>
      </c>
      <c r="GJ70" s="3">
        <v>9.8480000000000008</v>
      </c>
      <c r="GK70" s="3">
        <v>2.1101999999999999</v>
      </c>
      <c r="GL70" s="3">
        <v>4.3434999999999997</v>
      </c>
      <c r="GM70" s="3"/>
      <c r="GN70" s="3">
        <v>16.148</v>
      </c>
      <c r="GO70" s="3">
        <v>0.76449999999999996</v>
      </c>
      <c r="GP70" s="3">
        <v>1.6339999999999999</v>
      </c>
      <c r="GQ70" s="380"/>
      <c r="GR70" s="380"/>
      <c r="GS70" s="380"/>
      <c r="GT70" s="380"/>
      <c r="GU70" s="380"/>
      <c r="GV70" s="380"/>
      <c r="GW70" s="380"/>
      <c r="GX70" s="380"/>
      <c r="GY70" s="380"/>
      <c r="GZ70" s="380"/>
      <c r="HA70" s="380"/>
      <c r="HB70" s="380"/>
      <c r="HC70" s="380"/>
      <c r="HD70" s="380"/>
      <c r="HE70" s="380"/>
      <c r="HF70" s="380"/>
    </row>
    <row r="71" spans="1:214">
      <c r="B71">
        <v>6</v>
      </c>
      <c r="C71">
        <f t="shared" si="93"/>
        <v>60</v>
      </c>
      <c r="D71" s="438">
        <v>4.3940000000000001</v>
      </c>
      <c r="E71" s="438">
        <v>0.4904</v>
      </c>
      <c r="F71" s="438">
        <v>1.2036</v>
      </c>
      <c r="G71" s="438">
        <v>6.1539999999999999</v>
      </c>
      <c r="H71" s="438">
        <v>0.68130000000000002</v>
      </c>
      <c r="I71" s="438">
        <v>3.0223</v>
      </c>
      <c r="J71" s="438">
        <v>8.8239999999999998</v>
      </c>
      <c r="K71" s="438">
        <v>174.4699</v>
      </c>
      <c r="L71" s="438">
        <v>688.87419999999997</v>
      </c>
      <c r="M71" s="438">
        <v>9.8680000000000003</v>
      </c>
      <c r="N71" s="438">
        <v>1.0829</v>
      </c>
      <c r="O71" s="438">
        <v>2.8626</v>
      </c>
      <c r="P71" s="23"/>
      <c r="Q71" s="438">
        <v>16.190999999999999</v>
      </c>
      <c r="R71" s="438">
        <v>0.10639999999999999</v>
      </c>
      <c r="S71" s="438">
        <v>0.22639999999999999</v>
      </c>
      <c r="T71" s="445"/>
      <c r="W71" s="6">
        <v>6.141</v>
      </c>
      <c r="X71" s="6">
        <v>0.51119999999999999</v>
      </c>
      <c r="Y71" s="6">
        <v>2.1398999999999999</v>
      </c>
      <c r="Z71" s="442">
        <v>8.8610000000000007</v>
      </c>
      <c r="AA71" s="442">
        <v>250.25280000000001</v>
      </c>
      <c r="AB71" s="442">
        <v>921.52629999999999</v>
      </c>
      <c r="AC71" s="193">
        <v>9.875</v>
      </c>
      <c r="AD71" s="193">
        <v>2.1686999999999999</v>
      </c>
      <c r="AE71" s="193">
        <v>4.8634000000000004</v>
      </c>
      <c r="AF71" s="6">
        <v>16.201000000000001</v>
      </c>
      <c r="AG71" s="6">
        <v>0.65680000000000005</v>
      </c>
      <c r="AH71" s="6">
        <v>1.3828</v>
      </c>
      <c r="AI71" s="269"/>
      <c r="AJ71" s="442" t="s">
        <v>182</v>
      </c>
      <c r="AK71" s="442" t="s">
        <v>182</v>
      </c>
      <c r="AL71" s="442" t="s">
        <v>182</v>
      </c>
      <c r="AM71" s="446" t="s">
        <v>1572</v>
      </c>
      <c r="AP71" s="270">
        <v>6.1479999999999997</v>
      </c>
      <c r="AQ71" s="270">
        <v>0.56399999999999995</v>
      </c>
      <c r="AR71" s="270">
        <v>2.4613999999999998</v>
      </c>
      <c r="AS71" s="443">
        <v>8.8179999999999996</v>
      </c>
      <c r="AT71" s="443">
        <v>164.1472</v>
      </c>
      <c r="AU71" s="443">
        <v>649.72050000000002</v>
      </c>
      <c r="AV71" s="270">
        <v>9.8680000000000003</v>
      </c>
      <c r="AW71" s="270">
        <v>1.8576999999999999</v>
      </c>
      <c r="AX71" s="270">
        <v>4.4318</v>
      </c>
      <c r="AY71" s="270">
        <v>16.181000000000001</v>
      </c>
      <c r="AZ71" s="270">
        <v>0.47739999999999999</v>
      </c>
      <c r="BA71" s="270">
        <v>1.0006999999999999</v>
      </c>
      <c r="BB71" s="270"/>
      <c r="BC71" s="439">
        <v>4.391</v>
      </c>
      <c r="BD71" s="439">
        <v>15.081799999999999</v>
      </c>
      <c r="BE71" s="439">
        <v>21.316299999999998</v>
      </c>
      <c r="BF71" s="439">
        <v>6.1239999999999997</v>
      </c>
      <c r="BG71" s="439">
        <v>0.39960000000000001</v>
      </c>
      <c r="BH71" s="439">
        <v>1.8566</v>
      </c>
      <c r="BI71" s="439">
        <v>8.8740000000000006</v>
      </c>
      <c r="BJ71" s="439">
        <v>379.14589999999998</v>
      </c>
      <c r="BK71" s="439">
        <v>1236.0341000000001</v>
      </c>
      <c r="BL71" s="439">
        <v>9.8309999999999995</v>
      </c>
      <c r="BM71" s="439">
        <v>2.8022</v>
      </c>
      <c r="BN71" s="439">
        <v>5.6292999999999997</v>
      </c>
      <c r="BO71" s="263"/>
      <c r="BP71" s="439">
        <v>16.091000000000001</v>
      </c>
      <c r="BQ71" s="439">
        <v>1.7555000000000001</v>
      </c>
      <c r="BR71" s="439">
        <v>3.7831999999999999</v>
      </c>
      <c r="BS71" s="447" t="s">
        <v>1573</v>
      </c>
      <c r="BT71" s="438"/>
      <c r="BU71" s="438"/>
      <c r="BV71" s="438">
        <v>6.1180000000000003</v>
      </c>
      <c r="BW71" s="438">
        <v>0.52190000000000003</v>
      </c>
      <c r="BX71" s="438">
        <v>1.7879</v>
      </c>
      <c r="BY71" s="438">
        <v>9.0109999999999992</v>
      </c>
      <c r="BZ71" s="438">
        <v>743.77030000000002</v>
      </c>
      <c r="CA71" s="438">
        <v>1791.5666000000001</v>
      </c>
      <c r="CB71" s="438">
        <v>9.8480000000000008</v>
      </c>
      <c r="CC71" s="438">
        <v>3.0528</v>
      </c>
      <c r="CD71" s="438">
        <v>5.7621000000000002</v>
      </c>
      <c r="CE71" s="438"/>
      <c r="CF71" s="438">
        <v>16.091000000000001</v>
      </c>
      <c r="CG71" s="438">
        <v>0.1074</v>
      </c>
      <c r="CH71" s="438">
        <v>0.21929999999999999</v>
      </c>
      <c r="CI71" s="245" t="s">
        <v>1575</v>
      </c>
      <c r="CJ71" s="1"/>
      <c r="CK71" s="1"/>
      <c r="CL71" s="1" t="s">
        <v>1576</v>
      </c>
      <c r="CM71" s="1"/>
      <c r="CN71" s="1"/>
      <c r="CO71" s="1">
        <v>8.8480000000000008</v>
      </c>
      <c r="CP71" s="1">
        <v>304.21690000000001</v>
      </c>
      <c r="CQ71" s="1">
        <v>1066.4749999999999</v>
      </c>
      <c r="CR71" s="1">
        <v>9.8379999999999992</v>
      </c>
      <c r="CS71" s="1">
        <v>2.1798000000000002</v>
      </c>
      <c r="CT71" s="1">
        <v>4.7671999999999999</v>
      </c>
      <c r="CU71" s="1"/>
      <c r="CV71" s="1">
        <v>16.111000000000001</v>
      </c>
      <c r="CW71" s="1">
        <v>0.57079999999999997</v>
      </c>
      <c r="CX71" s="1">
        <v>1.2061999999999999</v>
      </c>
      <c r="CY71" s="2" t="s">
        <v>1578</v>
      </c>
      <c r="CZ71" s="2"/>
      <c r="DA71" s="2"/>
      <c r="DB71" s="2">
        <v>6.1980000000000004</v>
      </c>
      <c r="DC71" s="2">
        <v>0.62860000000000005</v>
      </c>
      <c r="DD71" s="2">
        <v>2.1461999999999999</v>
      </c>
      <c r="DE71" s="2">
        <v>8.7750000000000004</v>
      </c>
      <c r="DF71" s="2">
        <v>135.74529999999999</v>
      </c>
      <c r="DG71" s="2">
        <v>551.73230000000001</v>
      </c>
      <c r="DH71" s="2">
        <v>9.8350000000000009</v>
      </c>
      <c r="DI71" s="2">
        <v>1.8849</v>
      </c>
      <c r="DJ71" s="2">
        <v>4.4935</v>
      </c>
      <c r="DK71" s="2"/>
      <c r="DL71" s="2">
        <v>16.125</v>
      </c>
      <c r="DM71" s="2">
        <v>0.60189999999999999</v>
      </c>
      <c r="DN71" s="2">
        <v>1.2178</v>
      </c>
      <c r="DO71" s="266">
        <v>4.3540000000000001</v>
      </c>
      <c r="DP71" s="266">
        <v>16.732500000000002</v>
      </c>
      <c r="DQ71" s="266">
        <v>30.8109</v>
      </c>
      <c r="DR71" s="266">
        <v>6.1079999999999997</v>
      </c>
      <c r="DS71" s="266">
        <v>1.1498999999999999</v>
      </c>
      <c r="DT71" s="266">
        <v>4.3066000000000004</v>
      </c>
      <c r="DU71" s="266">
        <v>8.8780000000000001</v>
      </c>
      <c r="DV71" s="266">
        <v>390.46550000000002</v>
      </c>
      <c r="DW71" s="266">
        <v>1265.0835</v>
      </c>
      <c r="DX71" s="266">
        <v>9.8209999999999997</v>
      </c>
      <c r="DY71" s="266">
        <v>2.6482999999999999</v>
      </c>
      <c r="DZ71" s="266">
        <v>5.3875000000000002</v>
      </c>
      <c r="EA71" s="266"/>
      <c r="EB71" s="266">
        <v>16.097999999999999</v>
      </c>
      <c r="EC71" s="266">
        <v>1.6032</v>
      </c>
      <c r="ED71" s="266">
        <v>3.4407000000000001</v>
      </c>
      <c r="EE71" s="4" t="s">
        <v>1573</v>
      </c>
      <c r="EF71" s="4"/>
      <c r="EG71" s="4"/>
      <c r="EH71" s="4">
        <v>6.1440000000000001</v>
      </c>
      <c r="EI71" s="4">
        <v>0.51749999999999996</v>
      </c>
      <c r="EJ71" s="4">
        <v>2.5051999999999999</v>
      </c>
      <c r="EK71" s="4">
        <v>8.8179999999999996</v>
      </c>
      <c r="EL71" s="4">
        <v>227.53139999999999</v>
      </c>
      <c r="EM71" s="4">
        <v>869.60940000000005</v>
      </c>
      <c r="EN71" s="4">
        <v>9.8309999999999995</v>
      </c>
      <c r="EO71" s="4">
        <v>1.3022</v>
      </c>
      <c r="EP71" s="4">
        <v>3.2147000000000001</v>
      </c>
      <c r="EQ71" s="4"/>
      <c r="ER71" s="4">
        <v>16.120999999999999</v>
      </c>
      <c r="ES71" s="4">
        <v>0.13919999999999999</v>
      </c>
      <c r="ET71" s="4">
        <v>0.29670000000000002</v>
      </c>
      <c r="EU71" s="1">
        <v>4.4550000000000001</v>
      </c>
      <c r="EV71" s="1">
        <v>10.475099999999999</v>
      </c>
      <c r="EW71" s="1">
        <v>13.660600000000001</v>
      </c>
      <c r="EX71" s="1">
        <v>6.1379999999999999</v>
      </c>
      <c r="EY71" s="1">
        <v>0.51390000000000002</v>
      </c>
      <c r="EZ71" s="1">
        <v>2.0083000000000002</v>
      </c>
      <c r="FA71" s="1">
        <v>8.8450000000000006</v>
      </c>
      <c r="FB71" s="1">
        <v>264.72030000000001</v>
      </c>
      <c r="FC71" s="1">
        <v>973.08950000000004</v>
      </c>
      <c r="FD71" s="1">
        <v>9.8409999999999993</v>
      </c>
      <c r="FE71" s="1">
        <v>2.2549000000000001</v>
      </c>
      <c r="FF71" s="1">
        <v>4.7967000000000004</v>
      </c>
      <c r="FG71" s="1"/>
      <c r="FH71" s="1">
        <v>16.128</v>
      </c>
      <c r="FI71" s="1">
        <v>0.69930000000000003</v>
      </c>
      <c r="FJ71" s="1">
        <v>1.4876</v>
      </c>
      <c r="FK71" s="2" t="s">
        <v>1572</v>
      </c>
      <c r="FL71" s="2"/>
      <c r="FM71" s="2"/>
      <c r="FN71" s="2">
        <v>6.1379999999999999</v>
      </c>
      <c r="FO71" s="2">
        <v>0.65500000000000003</v>
      </c>
      <c r="FP71" s="2">
        <v>2.54</v>
      </c>
      <c r="FQ71" s="2">
        <v>8.8710000000000004</v>
      </c>
      <c r="FR71" s="2">
        <v>318.53210000000001</v>
      </c>
      <c r="FS71" s="2">
        <v>1107.8394000000001</v>
      </c>
      <c r="FT71" s="2">
        <v>9.8409999999999993</v>
      </c>
      <c r="FU71" s="2">
        <v>2.2576999999999998</v>
      </c>
      <c r="FV71" s="2">
        <v>4.6288</v>
      </c>
      <c r="FW71" s="2"/>
      <c r="FX71" s="2">
        <v>16.123999999999999</v>
      </c>
      <c r="FY71" s="2">
        <v>0.70530000000000004</v>
      </c>
      <c r="FZ71" s="2">
        <v>1.5031000000000001</v>
      </c>
      <c r="GA71" s="3" t="s">
        <v>1572</v>
      </c>
      <c r="GB71" s="3"/>
      <c r="GC71" s="3"/>
      <c r="GD71" s="3">
        <v>6.141</v>
      </c>
      <c r="GE71" s="3">
        <v>0.58550000000000002</v>
      </c>
      <c r="GF71" s="3">
        <v>2.2639</v>
      </c>
      <c r="GG71" s="3">
        <v>8.8539999999999992</v>
      </c>
      <c r="GH71" s="3">
        <v>280.11739999999998</v>
      </c>
      <c r="GI71" s="3">
        <v>1013.4392</v>
      </c>
      <c r="GJ71" s="3">
        <v>9.8409999999999993</v>
      </c>
      <c r="GK71" s="3">
        <v>2.2446000000000002</v>
      </c>
      <c r="GL71" s="3">
        <v>5.1775000000000002</v>
      </c>
      <c r="GM71" s="3"/>
      <c r="GN71" s="3">
        <v>16.134</v>
      </c>
      <c r="GO71" s="3">
        <v>0.79</v>
      </c>
      <c r="GP71" s="3">
        <v>1.6914</v>
      </c>
      <c r="GQ71" s="380"/>
      <c r="GR71" s="380"/>
      <c r="GS71" s="380"/>
      <c r="GT71" s="380"/>
      <c r="GU71" s="380"/>
      <c r="GV71" s="380"/>
      <c r="GW71" s="380"/>
      <c r="GX71" s="380"/>
      <c r="GY71" s="380"/>
      <c r="GZ71" s="380"/>
      <c r="HA71" s="380"/>
      <c r="HB71" s="380"/>
      <c r="HC71" s="380"/>
      <c r="HD71" s="380"/>
      <c r="HE71" s="380"/>
      <c r="HF71" s="380"/>
    </row>
    <row r="72" spans="1:214">
      <c r="B72">
        <v>7</v>
      </c>
      <c r="C72">
        <f t="shared" si="93"/>
        <v>70</v>
      </c>
      <c r="D72" s="438">
        <v>4.3979999999999997</v>
      </c>
      <c r="E72" s="438">
        <v>0.48670000000000002</v>
      </c>
      <c r="F72" s="438">
        <v>1.1511</v>
      </c>
      <c r="G72" s="438">
        <v>6.1580000000000004</v>
      </c>
      <c r="H72" s="438">
        <v>0.67400000000000004</v>
      </c>
      <c r="I72" s="438">
        <v>3.0082</v>
      </c>
      <c r="J72" s="438">
        <v>8.8040000000000003</v>
      </c>
      <c r="K72" s="438">
        <v>125.18049999999999</v>
      </c>
      <c r="L72" s="438">
        <v>514.46479999999997</v>
      </c>
      <c r="M72" s="438">
        <v>9.8710000000000004</v>
      </c>
      <c r="N72" s="438">
        <v>0.99150000000000005</v>
      </c>
      <c r="O72" s="438">
        <v>2.8285</v>
      </c>
      <c r="P72" s="23"/>
      <c r="Q72" s="438">
        <v>16.190999999999999</v>
      </c>
      <c r="R72" s="438">
        <v>9.5299999999999996E-2</v>
      </c>
      <c r="S72" s="438">
        <v>0.2011</v>
      </c>
      <c r="T72" s="445"/>
      <c r="W72" s="6">
        <v>6.1449999999999996</v>
      </c>
      <c r="X72" s="6">
        <v>0.4637</v>
      </c>
      <c r="Y72" s="6">
        <v>2.0009000000000001</v>
      </c>
      <c r="Z72" s="442">
        <v>8.8409999999999993</v>
      </c>
      <c r="AA72" s="193">
        <v>205.25280000000001</v>
      </c>
      <c r="AB72" s="442">
        <v>788.49879999999996</v>
      </c>
      <c r="AC72" s="193">
        <v>9.875</v>
      </c>
      <c r="AD72" s="193">
        <v>2.0514000000000001</v>
      </c>
      <c r="AE72" s="193">
        <v>4.8129</v>
      </c>
      <c r="AF72" s="6">
        <v>16.198</v>
      </c>
      <c r="AG72" s="6">
        <v>0.65600000000000003</v>
      </c>
      <c r="AH72" s="6">
        <v>1.3813</v>
      </c>
      <c r="AI72" s="269"/>
      <c r="AJ72" s="442" t="s">
        <v>182</v>
      </c>
      <c r="AK72" s="442" t="s">
        <v>182</v>
      </c>
      <c r="AL72" s="442" t="s">
        <v>182</v>
      </c>
      <c r="AM72" s="446" t="s">
        <v>1572</v>
      </c>
      <c r="AP72" s="270">
        <v>6.1479999999999997</v>
      </c>
      <c r="AQ72" s="270">
        <v>0.55859999999999999</v>
      </c>
      <c r="AR72" s="270">
        <v>2.4658000000000002</v>
      </c>
      <c r="AS72" s="443">
        <v>8.8079999999999998</v>
      </c>
      <c r="AT72" s="443">
        <v>140.12360000000001</v>
      </c>
      <c r="AU72" s="443">
        <v>564.56960000000004</v>
      </c>
      <c r="AV72" s="270">
        <v>9.8710000000000004</v>
      </c>
      <c r="AW72" s="270">
        <v>1.865</v>
      </c>
      <c r="AX72" s="270">
        <v>4.4489000000000001</v>
      </c>
      <c r="AY72" s="270">
        <v>16.181000000000001</v>
      </c>
      <c r="AZ72" s="270">
        <v>0.46260000000000001</v>
      </c>
      <c r="BA72" s="270">
        <v>0.96409999999999996</v>
      </c>
      <c r="BB72" s="270"/>
      <c r="BC72" s="439">
        <v>4.3979999999999997</v>
      </c>
      <c r="BD72" s="439">
        <v>18.010400000000001</v>
      </c>
      <c r="BE72" s="439">
        <v>26.6447</v>
      </c>
      <c r="BF72" s="439">
        <v>6.1280000000000001</v>
      </c>
      <c r="BG72" s="439">
        <v>0.40699999999999997</v>
      </c>
      <c r="BH72" s="439">
        <v>1.9695</v>
      </c>
      <c r="BI72" s="439">
        <v>8.8450000000000006</v>
      </c>
      <c r="BJ72" s="439">
        <v>299.59469999999999</v>
      </c>
      <c r="BK72" s="439">
        <v>1058.2910999999999</v>
      </c>
      <c r="BL72" s="439">
        <v>9.8309999999999995</v>
      </c>
      <c r="BM72" s="439">
        <v>2.6919</v>
      </c>
      <c r="BN72" s="439">
        <v>5.6614000000000004</v>
      </c>
      <c r="BO72" s="263"/>
      <c r="BP72" s="439">
        <v>16.091000000000001</v>
      </c>
      <c r="BQ72" s="439">
        <v>2.1191</v>
      </c>
      <c r="BR72" s="439">
        <v>4.5852000000000004</v>
      </c>
      <c r="BS72" s="447" t="s">
        <v>1573</v>
      </c>
      <c r="BT72" s="438"/>
      <c r="BU72" s="438"/>
      <c r="BV72" s="438">
        <v>6.125</v>
      </c>
      <c r="BW72" s="438">
        <v>0.54159999999999997</v>
      </c>
      <c r="BX72" s="438">
        <v>2.0453999999999999</v>
      </c>
      <c r="BY72" s="438">
        <v>8.9510000000000005</v>
      </c>
      <c r="BZ72" s="438">
        <v>573.43280000000004</v>
      </c>
      <c r="CA72" s="438">
        <v>1570.0944999999999</v>
      </c>
      <c r="CB72" s="438">
        <v>9.8379999999999992</v>
      </c>
      <c r="CC72" s="438">
        <v>2.7732999999999999</v>
      </c>
      <c r="CD72" s="438">
        <v>5.8414999999999999</v>
      </c>
      <c r="CE72" s="438"/>
      <c r="CF72" s="438">
        <v>16.081</v>
      </c>
      <c r="CG72" s="438">
        <v>0.10489999999999999</v>
      </c>
      <c r="CH72" s="438">
        <v>0.22059999999999999</v>
      </c>
      <c r="CI72" s="245" t="s">
        <v>1575</v>
      </c>
      <c r="CJ72" s="1"/>
      <c r="CK72" s="1"/>
      <c r="CL72" s="1" t="s">
        <v>1576</v>
      </c>
      <c r="CM72" s="1"/>
      <c r="CN72" s="1"/>
      <c r="CO72" s="1">
        <v>8.8279999999999994</v>
      </c>
      <c r="CP72" s="1">
        <v>257.58510000000001</v>
      </c>
      <c r="CQ72" s="1">
        <v>944.59370000000001</v>
      </c>
      <c r="CR72" s="1">
        <v>9.8350000000000009</v>
      </c>
      <c r="CS72" s="1">
        <v>2.0882000000000001</v>
      </c>
      <c r="CT72" s="1">
        <v>4.8730000000000002</v>
      </c>
      <c r="CU72" s="1"/>
      <c r="CV72" s="1">
        <v>16.108000000000001</v>
      </c>
      <c r="CW72" s="1">
        <v>0.5554</v>
      </c>
      <c r="CX72" s="1">
        <v>1.179</v>
      </c>
      <c r="CY72" s="2" t="s">
        <v>1578</v>
      </c>
      <c r="CZ72" s="2"/>
      <c r="DA72" s="2"/>
      <c r="DB72" s="2">
        <v>6.194</v>
      </c>
      <c r="DC72" s="2">
        <v>0.62919999999999998</v>
      </c>
      <c r="DD72" s="2">
        <v>2.2059000000000002</v>
      </c>
      <c r="DE72" s="2">
        <v>8.7609999999999992</v>
      </c>
      <c r="DF72" s="2">
        <v>100.9776</v>
      </c>
      <c r="DG72" s="2">
        <v>419.54219999999998</v>
      </c>
      <c r="DH72" s="2">
        <v>9.8339999999999996</v>
      </c>
      <c r="DI72" s="2">
        <v>1.7366999999999999</v>
      </c>
      <c r="DJ72" s="2">
        <v>4.6148999999999996</v>
      </c>
      <c r="DK72" s="2"/>
      <c r="DL72" s="2">
        <v>16.120999999999999</v>
      </c>
      <c r="DM72" s="2">
        <v>0.58069999999999999</v>
      </c>
      <c r="DN72" s="2">
        <v>1.2033</v>
      </c>
      <c r="DO72" s="266">
        <v>4.3609999999999998</v>
      </c>
      <c r="DP72" s="266">
        <v>18.9373</v>
      </c>
      <c r="DQ72" s="266">
        <v>36.246400000000001</v>
      </c>
      <c r="DR72" s="266">
        <v>6.1180000000000003</v>
      </c>
      <c r="DS72" s="266">
        <v>0.97560000000000002</v>
      </c>
      <c r="DT72" s="266">
        <v>3.6905999999999999</v>
      </c>
      <c r="DU72" s="266">
        <v>8.8339999999999996</v>
      </c>
      <c r="DV72" s="266">
        <v>290.2439</v>
      </c>
      <c r="DW72" s="266">
        <v>1040.0799</v>
      </c>
      <c r="DX72" s="266">
        <v>9.8209999999999997</v>
      </c>
      <c r="DY72" s="266">
        <v>2.4230999999999998</v>
      </c>
      <c r="DZ72" s="266">
        <v>5.3461999999999996</v>
      </c>
      <c r="EA72" s="266"/>
      <c r="EB72" s="266">
        <v>16.094000000000001</v>
      </c>
      <c r="EC72" s="266">
        <v>1.7551000000000001</v>
      </c>
      <c r="ED72" s="266">
        <v>3.7625999999999999</v>
      </c>
      <c r="EE72" s="4" t="s">
        <v>1573</v>
      </c>
      <c r="EF72" s="4"/>
      <c r="EG72" s="4"/>
      <c r="EH72" s="4">
        <v>6.1440000000000001</v>
      </c>
      <c r="EI72" s="4">
        <v>0.50749999999999995</v>
      </c>
      <c r="EJ72" s="4">
        <v>2.4969999999999999</v>
      </c>
      <c r="EK72" s="4">
        <v>8.8010000000000002</v>
      </c>
      <c r="EL72" s="4">
        <v>198.07859999999999</v>
      </c>
      <c r="EM72" s="4">
        <v>779.00340000000006</v>
      </c>
      <c r="EN72" s="4">
        <v>9.8279999999999994</v>
      </c>
      <c r="EO72" s="4">
        <v>1.1577999999999999</v>
      </c>
      <c r="EP72" s="4">
        <v>2.8963999999999999</v>
      </c>
      <c r="EQ72" s="4"/>
      <c r="ER72" s="4">
        <v>16.114000000000001</v>
      </c>
      <c r="ES72" s="4">
        <v>0.13009999999999999</v>
      </c>
      <c r="ET72" s="4">
        <v>0.27539999999999998</v>
      </c>
      <c r="EU72" s="1">
        <v>4.4580000000000002</v>
      </c>
      <c r="EV72" s="1">
        <v>10.7791</v>
      </c>
      <c r="EW72" s="1">
        <v>14.151</v>
      </c>
      <c r="EX72" s="1">
        <v>6.141</v>
      </c>
      <c r="EY72" s="1">
        <v>0.52310000000000001</v>
      </c>
      <c r="EZ72" s="1">
        <v>2.0724</v>
      </c>
      <c r="FA72" s="1">
        <v>8.8179999999999996</v>
      </c>
      <c r="FB72" s="1">
        <v>203.66419999999999</v>
      </c>
      <c r="FC72" s="1">
        <v>795.10580000000004</v>
      </c>
      <c r="FD72" s="1">
        <v>9.8409999999999993</v>
      </c>
      <c r="FE72" s="1">
        <v>1.9867999999999999</v>
      </c>
      <c r="FF72" s="1">
        <v>4.8426999999999998</v>
      </c>
      <c r="FG72" s="1"/>
      <c r="FH72" s="1">
        <v>16.125</v>
      </c>
      <c r="FI72" s="1">
        <v>0.6966</v>
      </c>
      <c r="FJ72" s="1">
        <v>1.4799</v>
      </c>
      <c r="FK72" s="2" t="s">
        <v>1572</v>
      </c>
      <c r="FL72" s="2"/>
      <c r="FM72" s="2"/>
      <c r="FN72" s="2">
        <v>6.141</v>
      </c>
      <c r="FO72" s="2">
        <v>1.9849000000000001</v>
      </c>
      <c r="FP72" s="2">
        <v>4.1433999999999997</v>
      </c>
      <c r="FQ72" s="2">
        <v>8.8510000000000009</v>
      </c>
      <c r="FR72" s="2">
        <v>280.40789999999998</v>
      </c>
      <c r="FS72" s="2">
        <v>1013.5821</v>
      </c>
      <c r="FT72" s="2">
        <v>9.8379999999999992</v>
      </c>
      <c r="FU72" s="2">
        <v>2.3340000000000001</v>
      </c>
      <c r="FV72" s="2">
        <v>5.1467999999999998</v>
      </c>
      <c r="FW72" s="2"/>
      <c r="FX72" s="2">
        <v>16.120999999999999</v>
      </c>
      <c r="FY72" s="2">
        <v>0.82450000000000001</v>
      </c>
      <c r="FZ72" s="2">
        <v>1.7545999999999999</v>
      </c>
      <c r="GA72" s="3" t="s">
        <v>1572</v>
      </c>
      <c r="GB72" s="3"/>
      <c r="GC72" s="3"/>
      <c r="GD72" s="3">
        <v>6.1449999999999996</v>
      </c>
      <c r="GE72" s="3">
        <v>0.48070000000000002</v>
      </c>
      <c r="GF72" s="3">
        <v>1.8478000000000001</v>
      </c>
      <c r="GG72" s="3">
        <v>8.8480000000000008</v>
      </c>
      <c r="GH72" s="3">
        <v>255.6114</v>
      </c>
      <c r="GI72" s="3">
        <v>948.03589999999997</v>
      </c>
      <c r="GJ72" s="3">
        <v>9.8450000000000006</v>
      </c>
      <c r="GK72" s="3">
        <v>2.0247000000000002</v>
      </c>
      <c r="GL72" s="3">
        <v>4.3688000000000002</v>
      </c>
      <c r="GM72" s="3"/>
      <c r="GN72" s="3">
        <v>16.140999999999998</v>
      </c>
      <c r="GO72" s="3">
        <v>0.74580000000000002</v>
      </c>
      <c r="GP72" s="3">
        <v>1.5911999999999999</v>
      </c>
      <c r="GQ72" s="380"/>
      <c r="GR72" s="380"/>
      <c r="GS72" s="380"/>
      <c r="GT72" s="380"/>
      <c r="GU72" s="380"/>
      <c r="GV72" s="380"/>
      <c r="GW72" s="380"/>
      <c r="GX72" s="380"/>
      <c r="GY72" s="380"/>
      <c r="GZ72" s="380"/>
      <c r="HA72" s="380"/>
      <c r="HB72" s="380"/>
      <c r="HC72" s="380"/>
      <c r="HD72" s="380"/>
      <c r="HE72" s="380"/>
      <c r="HF72" s="380"/>
    </row>
    <row r="73" spans="1:214">
      <c r="B73">
        <v>8</v>
      </c>
      <c r="C73">
        <f t="shared" si="93"/>
        <v>80</v>
      </c>
      <c r="D73" s="438">
        <v>4.3979999999999997</v>
      </c>
      <c r="E73" s="438">
        <v>0.49130000000000001</v>
      </c>
      <c r="F73" s="438">
        <v>1.1709000000000001</v>
      </c>
      <c r="G73" s="438">
        <v>6.1609999999999996</v>
      </c>
      <c r="H73" s="438">
        <v>0.67349999999999999</v>
      </c>
      <c r="I73" s="438">
        <v>3.0365000000000002</v>
      </c>
      <c r="J73" s="438">
        <v>8.798</v>
      </c>
      <c r="K73" s="438">
        <v>99.071100000000001</v>
      </c>
      <c r="L73" s="438">
        <v>414.10930000000002</v>
      </c>
      <c r="M73" s="438">
        <v>9.875</v>
      </c>
      <c r="N73" s="438">
        <v>0.95920000000000005</v>
      </c>
      <c r="O73" s="438">
        <v>2.9016999999999999</v>
      </c>
      <c r="P73" s="23"/>
      <c r="Q73" s="438">
        <v>16.204999999999998</v>
      </c>
      <c r="R73" s="438">
        <v>8.6300000000000002E-2</v>
      </c>
      <c r="S73" s="438">
        <v>0.17949999999999999</v>
      </c>
      <c r="T73" s="445"/>
      <c r="W73" s="6">
        <v>6.1440000000000001</v>
      </c>
      <c r="X73" s="6">
        <v>0.48039999999999999</v>
      </c>
      <c r="Y73" s="6">
        <v>2.0564</v>
      </c>
      <c r="Z73" s="442">
        <v>8.8279999999999994</v>
      </c>
      <c r="AA73" s="442">
        <v>184.5926</v>
      </c>
      <c r="AB73" s="442">
        <v>721.52689999999996</v>
      </c>
      <c r="AC73" s="193">
        <v>9.8710000000000004</v>
      </c>
      <c r="AD73" s="193">
        <v>2.12</v>
      </c>
      <c r="AE73" s="193">
        <v>4.9531999999999998</v>
      </c>
      <c r="AF73" s="6">
        <v>16.193999999999999</v>
      </c>
      <c r="AG73" s="6">
        <v>0.67459999999999998</v>
      </c>
      <c r="AH73" s="6">
        <v>1.4128000000000001</v>
      </c>
      <c r="AI73" s="269"/>
      <c r="AJ73" s="442" t="s">
        <v>182</v>
      </c>
      <c r="AK73" s="442" t="s">
        <v>182</v>
      </c>
      <c r="AL73" s="442" t="s">
        <v>182</v>
      </c>
      <c r="AM73" s="446" t="s">
        <v>1572</v>
      </c>
      <c r="AP73" s="270">
        <v>6.1509999999999998</v>
      </c>
      <c r="AQ73" s="270">
        <v>0.56469999999999998</v>
      </c>
      <c r="AR73" s="270">
        <v>2.5099</v>
      </c>
      <c r="AS73" s="443">
        <v>8.8010000000000002</v>
      </c>
      <c r="AT73" s="443">
        <v>118.89449999999999</v>
      </c>
      <c r="AU73" s="443">
        <v>486.0641</v>
      </c>
      <c r="AV73" s="270">
        <v>9.8710000000000004</v>
      </c>
      <c r="AW73" s="270">
        <v>1.7056</v>
      </c>
      <c r="AX73" s="270">
        <v>4.4339000000000004</v>
      </c>
      <c r="AY73" s="270">
        <v>16.181000000000001</v>
      </c>
      <c r="AZ73" s="270">
        <v>0.46899999999999997</v>
      </c>
      <c r="BA73" s="270">
        <v>0.97740000000000005</v>
      </c>
      <c r="BB73" s="270"/>
      <c r="BC73" s="439">
        <v>4.4039999999999999</v>
      </c>
      <c r="BD73" s="439">
        <v>21.333400000000001</v>
      </c>
      <c r="BE73" s="439">
        <v>31.138999999999999</v>
      </c>
      <c r="BF73" s="439">
        <v>6.1340000000000003</v>
      </c>
      <c r="BG73" s="439">
        <v>0.43440000000000001</v>
      </c>
      <c r="BH73" s="439">
        <v>2.2044000000000001</v>
      </c>
      <c r="BI73" s="439">
        <v>8.8010000000000002</v>
      </c>
      <c r="BJ73" s="439">
        <v>200.7936</v>
      </c>
      <c r="BK73" s="439">
        <v>780.52179999999998</v>
      </c>
      <c r="BL73" s="439">
        <v>9.8309999999999995</v>
      </c>
      <c r="BM73" s="439">
        <v>2.6880999999999999</v>
      </c>
      <c r="BN73" s="439">
        <v>5.6707999999999998</v>
      </c>
      <c r="BO73" s="263"/>
      <c r="BP73" s="439">
        <v>16.084</v>
      </c>
      <c r="BQ73" s="439">
        <v>2.4043000000000001</v>
      </c>
      <c r="BR73" s="439">
        <v>5.2233999999999998</v>
      </c>
      <c r="BS73" s="447" t="s">
        <v>1573</v>
      </c>
      <c r="BT73" s="438"/>
      <c r="BU73" s="438"/>
      <c r="BV73" s="438">
        <v>6.1369999999999996</v>
      </c>
      <c r="BW73" s="438">
        <v>0.56469999999999998</v>
      </c>
      <c r="BX73" s="438">
        <v>2.5158999999999998</v>
      </c>
      <c r="BY73" s="438">
        <v>8.8510000000000009</v>
      </c>
      <c r="BZ73" s="438">
        <v>312.91719999999998</v>
      </c>
      <c r="CA73" s="438">
        <v>1089.3496</v>
      </c>
      <c r="CB73" s="438">
        <v>9.8339999999999996</v>
      </c>
      <c r="CC73" s="438">
        <v>2.1496</v>
      </c>
      <c r="CD73" s="438">
        <v>5.7130999999999998</v>
      </c>
      <c r="CE73" s="438"/>
      <c r="CF73" s="438">
        <v>16.091000000000001</v>
      </c>
      <c r="CG73" s="438">
        <v>0.14149999999999999</v>
      </c>
      <c r="CH73" s="438">
        <v>0.29859999999999998</v>
      </c>
      <c r="CI73" s="245" t="s">
        <v>1575</v>
      </c>
      <c r="CJ73" s="1"/>
      <c r="CK73" s="1"/>
      <c r="CL73" s="1" t="s">
        <v>1576</v>
      </c>
      <c r="CM73" s="1"/>
      <c r="CN73" s="1"/>
      <c r="CO73" s="1">
        <v>8.8079999999999998</v>
      </c>
      <c r="CP73" s="1">
        <v>214.6481</v>
      </c>
      <c r="CQ73" s="1">
        <v>817.50779999999997</v>
      </c>
      <c r="CR73" s="1">
        <v>9.8339999999999996</v>
      </c>
      <c r="CS73" s="1">
        <v>1.9633</v>
      </c>
      <c r="CT73" s="1">
        <v>4.9455999999999998</v>
      </c>
      <c r="CU73" s="1"/>
      <c r="CV73" s="1">
        <v>16.103999999999999</v>
      </c>
      <c r="CW73" s="1">
        <v>0.52910000000000001</v>
      </c>
      <c r="CX73" s="1">
        <v>1.1193</v>
      </c>
      <c r="CY73" s="2" t="s">
        <v>1578</v>
      </c>
      <c r="CZ73" s="2"/>
      <c r="DA73" s="2"/>
      <c r="DB73" s="2">
        <v>6.181</v>
      </c>
      <c r="DC73" s="2">
        <v>0.5978</v>
      </c>
      <c r="DD73" s="2">
        <v>2.1076999999999999</v>
      </c>
      <c r="DE73" s="2">
        <v>8.7479999999999993</v>
      </c>
      <c r="DF73" s="2">
        <v>72.700500000000005</v>
      </c>
      <c r="DG73" s="2">
        <v>308.63229999999999</v>
      </c>
      <c r="DH73" s="2">
        <v>9.8279999999999994</v>
      </c>
      <c r="DI73" s="2">
        <v>1.9004000000000001</v>
      </c>
      <c r="DJ73" s="2">
        <v>4.9280999999999997</v>
      </c>
      <c r="DK73" s="2"/>
      <c r="DL73" s="2">
        <v>16.111000000000001</v>
      </c>
      <c r="DM73" s="2">
        <v>0.4703</v>
      </c>
      <c r="DN73" s="2">
        <v>0.98480000000000001</v>
      </c>
      <c r="DO73" s="266">
        <v>4.3639999999999999</v>
      </c>
      <c r="DP73" s="266">
        <v>19.963699999999999</v>
      </c>
      <c r="DQ73" s="266">
        <v>39.124899999999997</v>
      </c>
      <c r="DR73" s="266">
        <v>6.1280000000000001</v>
      </c>
      <c r="DS73" s="266">
        <v>0.94259999999999999</v>
      </c>
      <c r="DT73" s="266">
        <v>3.5741000000000001</v>
      </c>
      <c r="DU73" s="266">
        <v>8.7910000000000004</v>
      </c>
      <c r="DV73" s="266">
        <v>196.90600000000001</v>
      </c>
      <c r="DW73" s="266">
        <v>771.35299999999995</v>
      </c>
      <c r="DX73" s="266">
        <v>9.8179999999999996</v>
      </c>
      <c r="DY73" s="266">
        <v>2.4350000000000001</v>
      </c>
      <c r="DZ73" s="266">
        <v>5.6375000000000002</v>
      </c>
      <c r="EA73" s="266"/>
      <c r="EB73" s="266">
        <v>16.088000000000001</v>
      </c>
      <c r="EC73" s="266">
        <v>1.9167000000000001</v>
      </c>
      <c r="ED73" s="266">
        <v>4.1249000000000002</v>
      </c>
      <c r="EE73" s="4" t="s">
        <v>1573</v>
      </c>
      <c r="EF73" s="4"/>
      <c r="EG73" s="4"/>
      <c r="EH73" s="4">
        <v>6.1479999999999997</v>
      </c>
      <c r="EI73" s="4">
        <v>0.50170000000000003</v>
      </c>
      <c r="EJ73" s="4">
        <v>2.5099999999999998</v>
      </c>
      <c r="EK73" s="4">
        <v>8.7910000000000004</v>
      </c>
      <c r="EL73" s="4">
        <v>168.55869999999999</v>
      </c>
      <c r="EM73" s="4">
        <v>680.64170000000001</v>
      </c>
      <c r="EN73" s="4">
        <v>9.8309999999999995</v>
      </c>
      <c r="EO73" s="4">
        <v>1.0979000000000001</v>
      </c>
      <c r="EP73" s="4">
        <v>2.8769999999999998</v>
      </c>
      <c r="EQ73" s="4"/>
      <c r="ER73" s="4">
        <v>16.125</v>
      </c>
      <c r="ES73" s="4">
        <v>0.1336</v>
      </c>
      <c r="ET73" s="4">
        <v>0.27410000000000001</v>
      </c>
      <c r="EU73" s="1">
        <v>4.4610000000000003</v>
      </c>
      <c r="EV73" s="1">
        <v>10.6989</v>
      </c>
      <c r="EW73" s="1">
        <v>13.995900000000001</v>
      </c>
      <c r="EX73" s="1">
        <v>6.1479999999999997</v>
      </c>
      <c r="EY73" s="1">
        <v>0.55610000000000004</v>
      </c>
      <c r="EZ73" s="1">
        <v>2.2595000000000001</v>
      </c>
      <c r="FA73" s="1">
        <v>8.798</v>
      </c>
      <c r="FB73" s="1">
        <v>157.38910000000001</v>
      </c>
      <c r="FC73" s="1">
        <v>639.82360000000006</v>
      </c>
      <c r="FD73" s="1">
        <v>9.8409999999999993</v>
      </c>
      <c r="FE73" s="1">
        <v>2.1078999999999999</v>
      </c>
      <c r="FF73" s="1">
        <v>5.03</v>
      </c>
      <c r="FG73" s="1"/>
      <c r="FH73" s="1">
        <v>16.125</v>
      </c>
      <c r="FI73" s="1">
        <v>0.70199999999999996</v>
      </c>
      <c r="FJ73" s="1">
        <v>1.4866999999999999</v>
      </c>
      <c r="FK73" s="2" t="s">
        <v>1572</v>
      </c>
      <c r="FL73" s="2"/>
      <c r="FM73" s="2"/>
      <c r="FN73" s="2">
        <v>6.1449999999999996</v>
      </c>
      <c r="FO73" s="2">
        <v>1.9545999999999999</v>
      </c>
      <c r="FP73" s="2">
        <v>4.2054999999999998</v>
      </c>
      <c r="FQ73" s="2">
        <v>8.8249999999999993</v>
      </c>
      <c r="FR73" s="2">
        <v>228.4974</v>
      </c>
      <c r="FS73" s="2">
        <v>870.05330000000004</v>
      </c>
      <c r="FT73" s="2">
        <v>9.8350000000000009</v>
      </c>
      <c r="FU73" s="2">
        <v>2.0745</v>
      </c>
      <c r="FV73" s="2">
        <v>5.2656000000000001</v>
      </c>
      <c r="FW73" s="2"/>
      <c r="FX73" s="2">
        <v>16.117999999999999</v>
      </c>
      <c r="FY73" s="2">
        <v>0.78859999999999997</v>
      </c>
      <c r="FZ73" s="2">
        <v>1.6803999999999999</v>
      </c>
      <c r="GA73" s="3" t="s">
        <v>1572</v>
      </c>
      <c r="GB73" s="3"/>
      <c r="GC73" s="3"/>
      <c r="GD73" s="3">
        <v>6.1449999999999996</v>
      </c>
      <c r="GE73" s="3">
        <v>0.4461</v>
      </c>
      <c r="GF73" s="3">
        <v>1.6851</v>
      </c>
      <c r="GG73" s="3">
        <v>8.8350000000000009</v>
      </c>
      <c r="GH73" s="3">
        <v>231.21109999999999</v>
      </c>
      <c r="GI73" s="3">
        <v>878.78489999999999</v>
      </c>
      <c r="GJ73" s="3">
        <v>9.8409999999999993</v>
      </c>
      <c r="GK73" s="3">
        <v>1.7717000000000001</v>
      </c>
      <c r="GL73" s="3">
        <v>3.5935999999999999</v>
      </c>
      <c r="GM73" s="3"/>
      <c r="GN73" s="3">
        <v>16.135000000000002</v>
      </c>
      <c r="GO73" s="3">
        <v>0.72670000000000001</v>
      </c>
      <c r="GP73" s="3">
        <v>1.5516000000000001</v>
      </c>
      <c r="GQ73" s="380"/>
      <c r="GR73" s="380"/>
      <c r="GS73" s="380"/>
      <c r="GT73" s="380"/>
      <c r="GU73" s="380"/>
      <c r="GV73" s="380"/>
      <c r="GW73" s="380"/>
      <c r="GX73" s="380"/>
      <c r="GY73" s="380"/>
      <c r="GZ73" s="380"/>
      <c r="HA73" s="380"/>
      <c r="HB73" s="380"/>
      <c r="HC73" s="380"/>
      <c r="HD73" s="380"/>
      <c r="HE73" s="380"/>
      <c r="HF73" s="380"/>
    </row>
    <row r="74" spans="1:214">
      <c r="B74">
        <v>9</v>
      </c>
      <c r="C74">
        <f t="shared" si="93"/>
        <v>90</v>
      </c>
      <c r="D74" s="438">
        <v>4.3979999999999997</v>
      </c>
      <c r="E74" s="438">
        <v>0.6845</v>
      </c>
      <c r="F74" s="438">
        <v>1.3898999999999999</v>
      </c>
      <c r="G74" s="438">
        <v>6.1609999999999996</v>
      </c>
      <c r="H74" s="438">
        <v>0.75070000000000003</v>
      </c>
      <c r="I74" s="438">
        <v>3.0867</v>
      </c>
      <c r="J74" s="438">
        <v>8.7880000000000003</v>
      </c>
      <c r="K74" s="438">
        <v>76.8977</v>
      </c>
      <c r="L74" s="438">
        <v>326.11950000000002</v>
      </c>
      <c r="M74" s="438">
        <v>9.875</v>
      </c>
      <c r="N74" s="438">
        <v>0.92059999999999997</v>
      </c>
      <c r="O74" s="438">
        <v>2.891</v>
      </c>
      <c r="P74" s="23"/>
      <c r="Q74" s="438">
        <v>16.201000000000001</v>
      </c>
      <c r="R74" s="438">
        <v>8.0600000000000005E-2</v>
      </c>
      <c r="S74" s="438">
        <v>0.1668</v>
      </c>
      <c r="T74" s="445"/>
      <c r="W74" s="6">
        <v>6.1509999999999998</v>
      </c>
      <c r="X74" s="6">
        <v>0.47039999999999998</v>
      </c>
      <c r="Y74" s="6">
        <v>2.0434000000000001</v>
      </c>
      <c r="Z74" s="442">
        <v>8.8209999999999997</v>
      </c>
      <c r="AA74" s="442">
        <v>159.7902</v>
      </c>
      <c r="AB74" s="442">
        <v>638.25409999999999</v>
      </c>
      <c r="AC74" s="193">
        <v>9.8780000000000001</v>
      </c>
      <c r="AD74" s="193">
        <v>1.5987</v>
      </c>
      <c r="AE74" s="193">
        <v>4.8171999999999997</v>
      </c>
      <c r="AF74" s="6">
        <v>16.198</v>
      </c>
      <c r="AG74" s="6">
        <v>0.67679999999999996</v>
      </c>
      <c r="AH74" s="6">
        <v>1.4279999999999999</v>
      </c>
      <c r="AI74" s="269"/>
      <c r="AJ74" s="442" t="s">
        <v>182</v>
      </c>
      <c r="AK74" s="442" t="s">
        <v>182</v>
      </c>
      <c r="AL74" s="442" t="s">
        <v>182</v>
      </c>
      <c r="AM74" s="446" t="s">
        <v>1572</v>
      </c>
      <c r="AP74" s="270">
        <v>6.1539999999999999</v>
      </c>
      <c r="AQ74" s="270">
        <v>2.1871999999999998</v>
      </c>
      <c r="AR74" s="270">
        <v>4.5145</v>
      </c>
      <c r="AS74" s="443">
        <v>8.7940000000000005</v>
      </c>
      <c r="AT74" s="443">
        <v>102.64579999999999</v>
      </c>
      <c r="AU74" s="443">
        <v>423.7321</v>
      </c>
      <c r="AV74" s="270">
        <v>9.8710000000000004</v>
      </c>
      <c r="AW74" s="270">
        <v>1.8504</v>
      </c>
      <c r="AX74" s="270">
        <v>4.6268000000000002</v>
      </c>
      <c r="AY74" s="270">
        <v>16.181000000000001</v>
      </c>
      <c r="AZ74" s="270">
        <v>0.48259999999999997</v>
      </c>
      <c r="BA74" s="270">
        <v>1.0035000000000001</v>
      </c>
      <c r="BB74" s="270"/>
      <c r="BC74" s="439">
        <v>4.4080000000000004</v>
      </c>
      <c r="BD74" s="439">
        <v>21.5395</v>
      </c>
      <c r="BE74" s="439">
        <v>33.769799999999996</v>
      </c>
      <c r="BF74" s="439">
        <v>6.1379999999999999</v>
      </c>
      <c r="BG74" s="439">
        <v>0.4239</v>
      </c>
      <c r="BH74" s="439">
        <v>2.2233000000000001</v>
      </c>
      <c r="BI74" s="439">
        <v>8.7650000000000006</v>
      </c>
      <c r="BJ74" s="439">
        <v>115.9256</v>
      </c>
      <c r="BK74" s="439">
        <v>481.47469999999998</v>
      </c>
      <c r="BL74" s="439">
        <v>9.8309999999999995</v>
      </c>
      <c r="BM74" s="439">
        <v>2.33</v>
      </c>
      <c r="BN74" s="439">
        <v>5.58</v>
      </c>
      <c r="BO74" s="263"/>
      <c r="BP74" s="439">
        <v>16.081</v>
      </c>
      <c r="BQ74" s="439">
        <v>2.5293999999999999</v>
      </c>
      <c r="BR74" s="439">
        <v>5.5052000000000003</v>
      </c>
      <c r="BS74" s="447" t="s">
        <v>1573</v>
      </c>
      <c r="BT74" s="438"/>
      <c r="BU74" s="438"/>
      <c r="BV74" s="438">
        <v>6.1479999999999997</v>
      </c>
      <c r="BW74" s="438">
        <v>0.55620000000000003</v>
      </c>
      <c r="BX74" s="438">
        <v>2.7174</v>
      </c>
      <c r="BY74" s="438">
        <v>8.7880000000000003</v>
      </c>
      <c r="BZ74" s="438">
        <v>165.55779999999999</v>
      </c>
      <c r="CA74" s="438">
        <v>662.08979999999997</v>
      </c>
      <c r="CB74" s="438">
        <v>9.8339999999999996</v>
      </c>
      <c r="CC74" s="438">
        <v>1.917</v>
      </c>
      <c r="CD74" s="438">
        <v>5.9561000000000002</v>
      </c>
      <c r="CE74" s="438"/>
      <c r="CF74" s="438">
        <v>16.097999999999999</v>
      </c>
      <c r="CG74" s="438">
        <v>0.1081</v>
      </c>
      <c r="CH74" s="438">
        <v>0.2278</v>
      </c>
      <c r="CI74" s="245" t="s">
        <v>1575</v>
      </c>
      <c r="CJ74" s="1"/>
      <c r="CK74" s="1"/>
      <c r="CL74" s="1" t="s">
        <v>1576</v>
      </c>
      <c r="CM74" s="1"/>
      <c r="CN74" s="1"/>
      <c r="CO74" s="1">
        <v>8.7880000000000003</v>
      </c>
      <c r="CP74" s="1">
        <v>175.6388</v>
      </c>
      <c r="CQ74" s="1">
        <v>690.41079999999999</v>
      </c>
      <c r="CR74" s="1">
        <v>9.8309999999999995</v>
      </c>
      <c r="CS74" s="1">
        <v>1.9663999999999999</v>
      </c>
      <c r="CT74" s="1">
        <v>5.1730999999999998</v>
      </c>
      <c r="CU74" s="1"/>
      <c r="CV74" s="1">
        <v>16.100999999999999</v>
      </c>
      <c r="CW74" s="1">
        <v>0.6472</v>
      </c>
      <c r="CX74" s="1">
        <v>1.3707</v>
      </c>
      <c r="CY74" s="2" t="s">
        <v>1578</v>
      </c>
      <c r="CZ74" s="2"/>
      <c r="DA74" s="2"/>
      <c r="DB74" s="2">
        <v>6.1879999999999997</v>
      </c>
      <c r="DC74" s="2">
        <v>0.58950000000000002</v>
      </c>
      <c r="DD74" s="2">
        <v>2.1109</v>
      </c>
      <c r="DE74" s="2">
        <v>8.7439999999999998</v>
      </c>
      <c r="DF74" s="2">
        <v>60.042000000000002</v>
      </c>
      <c r="DG74" s="2">
        <v>256.50209999999998</v>
      </c>
      <c r="DH74" s="2">
        <v>9.8309999999999995</v>
      </c>
      <c r="DI74" s="2">
        <v>1.6732</v>
      </c>
      <c r="DJ74" s="2">
        <v>4.8202999999999996</v>
      </c>
      <c r="DK74" s="2"/>
      <c r="DL74" s="2">
        <v>16.114000000000001</v>
      </c>
      <c r="DM74" s="2">
        <v>0.46810000000000002</v>
      </c>
      <c r="DN74" s="2">
        <v>0.98450000000000004</v>
      </c>
      <c r="DO74" s="266">
        <v>4.3680000000000003</v>
      </c>
      <c r="DP74" s="266">
        <v>19.916799999999999</v>
      </c>
      <c r="DQ74" s="266">
        <v>39.820999999999998</v>
      </c>
      <c r="DR74" s="266">
        <v>6.1340000000000003</v>
      </c>
      <c r="DS74" s="266">
        <v>0.74780000000000002</v>
      </c>
      <c r="DT74" s="266">
        <v>2.9350000000000001</v>
      </c>
      <c r="DU74" s="266">
        <v>8.7639999999999993</v>
      </c>
      <c r="DV74" s="266">
        <v>129.17740000000001</v>
      </c>
      <c r="DW74" s="266">
        <v>532.85889999999995</v>
      </c>
      <c r="DX74" s="266">
        <v>9.8209999999999997</v>
      </c>
      <c r="DY74" s="266">
        <v>1.9814000000000001</v>
      </c>
      <c r="DZ74" s="266">
        <v>5.3448000000000002</v>
      </c>
      <c r="EA74" s="266"/>
      <c r="EB74" s="266">
        <v>16.091000000000001</v>
      </c>
      <c r="EC74" s="266">
        <v>1.8285</v>
      </c>
      <c r="ED74" s="266">
        <v>3.9304999999999999</v>
      </c>
      <c r="EE74" s="4" t="s">
        <v>1573</v>
      </c>
      <c r="EF74" s="4"/>
      <c r="EG74" s="4"/>
      <c r="EH74" s="4">
        <v>6.1509999999999998</v>
      </c>
      <c r="EI74" s="4">
        <v>0.52410000000000001</v>
      </c>
      <c r="EJ74" s="4">
        <v>2.6490999999999998</v>
      </c>
      <c r="EK74" s="4">
        <v>8.7850000000000001</v>
      </c>
      <c r="EL74" s="4">
        <v>146.45070000000001</v>
      </c>
      <c r="EM74" s="4">
        <v>602.52239999999995</v>
      </c>
      <c r="EN74" s="4">
        <v>9.8350000000000009</v>
      </c>
      <c r="EO74" s="4">
        <v>1.0703</v>
      </c>
      <c r="EP74" s="4">
        <v>3.0150999999999999</v>
      </c>
      <c r="EQ74" s="4"/>
      <c r="ER74" s="4">
        <v>16.125</v>
      </c>
      <c r="ES74" s="4">
        <v>0.13289999999999999</v>
      </c>
      <c r="ET74" s="4">
        <v>0.2777</v>
      </c>
      <c r="EU74" s="1">
        <v>4.4610000000000003</v>
      </c>
      <c r="EV74" s="1">
        <v>10.4077</v>
      </c>
      <c r="EW74" s="1">
        <v>13.6257</v>
      </c>
      <c r="EX74" s="1">
        <v>6.1509999999999998</v>
      </c>
      <c r="EY74" s="1">
        <v>0.5514</v>
      </c>
      <c r="EZ74" s="1">
        <v>2.3020999999999998</v>
      </c>
      <c r="FA74" s="1">
        <v>8.7850000000000001</v>
      </c>
      <c r="FB74" s="1">
        <v>126.3642</v>
      </c>
      <c r="FC74" s="1">
        <v>525.83720000000005</v>
      </c>
      <c r="FD74" s="1">
        <v>9.8409999999999993</v>
      </c>
      <c r="FE74" s="1">
        <v>2.0926</v>
      </c>
      <c r="FF74" s="1">
        <v>5.1082000000000001</v>
      </c>
      <c r="FG74" s="1"/>
      <c r="FH74" s="1">
        <v>16.125</v>
      </c>
      <c r="FI74" s="1">
        <v>0.63600000000000001</v>
      </c>
      <c r="FJ74" s="1">
        <v>1.3493999999999999</v>
      </c>
      <c r="FK74" s="2" t="s">
        <v>1572</v>
      </c>
      <c r="FL74" s="2"/>
      <c r="FM74" s="2"/>
      <c r="FN74" s="2">
        <v>6.1479999999999997</v>
      </c>
      <c r="FO74" s="2">
        <v>0.7581</v>
      </c>
      <c r="FP74" s="2">
        <v>3.1520000000000001</v>
      </c>
      <c r="FQ74" s="2">
        <v>8.8040000000000003</v>
      </c>
      <c r="FR74" s="2">
        <v>177.92429999999999</v>
      </c>
      <c r="FS74" s="2">
        <v>708.71879999999999</v>
      </c>
      <c r="FT74" s="2">
        <v>9.8379999999999992</v>
      </c>
      <c r="FU74" s="2">
        <v>2.2027000000000001</v>
      </c>
      <c r="FV74" s="2">
        <v>5.3063000000000002</v>
      </c>
      <c r="FW74" s="2"/>
      <c r="FX74" s="2">
        <v>16.120999999999999</v>
      </c>
      <c r="FY74" s="2">
        <v>0.73529999999999995</v>
      </c>
      <c r="FZ74" s="2">
        <v>1.5602</v>
      </c>
      <c r="GA74" s="3" t="s">
        <v>1572</v>
      </c>
      <c r="GB74" s="3"/>
      <c r="GC74" s="3"/>
      <c r="GD74" s="3">
        <v>6.1479999999999997</v>
      </c>
      <c r="GE74" s="3">
        <v>0.3478</v>
      </c>
      <c r="GF74" s="3">
        <v>1.3647</v>
      </c>
      <c r="GG74" s="3">
        <v>8.8239999999999998</v>
      </c>
      <c r="GH74" s="3">
        <v>208.64019999999999</v>
      </c>
      <c r="GI74" s="3">
        <v>810.26480000000004</v>
      </c>
      <c r="GJ74" s="3">
        <v>9.8409999999999993</v>
      </c>
      <c r="GK74" s="3">
        <v>1.6386000000000001</v>
      </c>
      <c r="GL74" s="3">
        <v>3.0718999999999999</v>
      </c>
      <c r="GM74" s="3"/>
      <c r="GN74" s="3">
        <v>16.138000000000002</v>
      </c>
      <c r="GO74" s="3">
        <v>0.66349999999999998</v>
      </c>
      <c r="GP74" s="3">
        <v>1.4166000000000001</v>
      </c>
      <c r="GQ74" s="380"/>
      <c r="GR74" s="380"/>
      <c r="GS74" s="380"/>
      <c r="GT74" s="380"/>
      <c r="GU74" s="380"/>
      <c r="GV74" s="380"/>
      <c r="GW74" s="380"/>
      <c r="GX74" s="380"/>
      <c r="GY74" s="380"/>
      <c r="GZ74" s="380"/>
      <c r="HA74" s="380"/>
      <c r="HB74" s="380"/>
      <c r="HC74" s="380"/>
      <c r="HD74" s="380"/>
      <c r="HE74" s="380"/>
      <c r="HF74" s="380"/>
    </row>
    <row r="75" spans="1:214">
      <c r="B75">
        <v>10</v>
      </c>
      <c r="C75">
        <f t="shared" si="93"/>
        <v>100</v>
      </c>
      <c r="D75" s="438">
        <v>4.4009999999999998</v>
      </c>
      <c r="E75" s="438">
        <v>0.56410000000000005</v>
      </c>
      <c r="F75" s="438">
        <v>1.3747</v>
      </c>
      <c r="G75" s="438">
        <v>6.1639999999999997</v>
      </c>
      <c r="H75" s="438">
        <v>0.66910000000000003</v>
      </c>
      <c r="I75" s="438">
        <v>3.0181</v>
      </c>
      <c r="J75" s="438">
        <v>8.7840000000000007</v>
      </c>
      <c r="K75" s="438">
        <v>56.768300000000004</v>
      </c>
      <c r="L75" s="438">
        <v>243.32830000000001</v>
      </c>
      <c r="M75" s="438">
        <v>9.8810000000000002</v>
      </c>
      <c r="N75" s="438">
        <v>0.99209999999999998</v>
      </c>
      <c r="O75" s="438">
        <v>3.2536999999999998</v>
      </c>
      <c r="P75" s="23"/>
      <c r="Q75" s="438">
        <v>16.193999999999999</v>
      </c>
      <c r="R75" s="438">
        <v>8.14E-2</v>
      </c>
      <c r="S75" s="438">
        <v>0.17269999999999999</v>
      </c>
      <c r="T75" s="445"/>
      <c r="W75" s="6">
        <v>6.1479999999999997</v>
      </c>
      <c r="X75" s="6">
        <v>0.48159999999999997</v>
      </c>
      <c r="Y75" s="6">
        <v>2.1105999999999998</v>
      </c>
      <c r="Z75" s="193">
        <v>8.8109999999999999</v>
      </c>
      <c r="AA75" s="442">
        <v>138.93610000000001</v>
      </c>
      <c r="AB75" s="442">
        <v>563.46360000000004</v>
      </c>
      <c r="AC75" s="193">
        <v>9.8740000000000006</v>
      </c>
      <c r="AD75" s="193">
        <v>1.5692999999999999</v>
      </c>
      <c r="AE75" s="193">
        <v>4.8540999999999999</v>
      </c>
      <c r="AF75" s="6">
        <v>16.190999999999999</v>
      </c>
      <c r="AG75" s="6">
        <v>0.68710000000000004</v>
      </c>
      <c r="AH75" s="6">
        <v>1.4501999999999999</v>
      </c>
      <c r="AI75" s="269"/>
      <c r="AJ75" s="442" t="s">
        <v>182</v>
      </c>
      <c r="AK75" s="442" t="s">
        <v>182</v>
      </c>
      <c r="AL75" s="442" t="s">
        <v>182</v>
      </c>
      <c r="AM75" s="446" t="s">
        <v>1572</v>
      </c>
      <c r="AP75" s="270">
        <v>6.1539999999999999</v>
      </c>
      <c r="AQ75" s="270">
        <v>0.56799999999999995</v>
      </c>
      <c r="AR75" s="270">
        <v>2.5375000000000001</v>
      </c>
      <c r="AS75" s="443">
        <v>8.7880000000000003</v>
      </c>
      <c r="AT75" s="443">
        <v>91.005499999999998</v>
      </c>
      <c r="AU75" s="443">
        <v>378.6474</v>
      </c>
      <c r="AV75" s="270">
        <v>9.8710000000000004</v>
      </c>
      <c r="AW75" s="270">
        <v>1.9084000000000001</v>
      </c>
      <c r="AX75" s="270">
        <v>4.9417</v>
      </c>
      <c r="AY75" s="270">
        <v>16.184000000000001</v>
      </c>
      <c r="AZ75" s="270">
        <v>0.46889999999999998</v>
      </c>
      <c r="BA75" s="270">
        <v>0.97740000000000005</v>
      </c>
      <c r="BB75" s="270"/>
      <c r="BC75" s="439">
        <v>4.4139999999999997</v>
      </c>
      <c r="BD75" s="439">
        <v>21.346299999999999</v>
      </c>
      <c r="BE75" s="439">
        <v>33.826300000000003</v>
      </c>
      <c r="BF75" s="439">
        <v>6.1440000000000001</v>
      </c>
      <c r="BG75" s="439">
        <v>0.44700000000000001</v>
      </c>
      <c r="BH75" s="439">
        <v>2.3719999999999999</v>
      </c>
      <c r="BI75" s="439">
        <v>8.7479999999999993</v>
      </c>
      <c r="BJ75" s="439">
        <v>60.273600000000002</v>
      </c>
      <c r="BK75" s="439">
        <v>258.27800000000002</v>
      </c>
      <c r="BL75" s="439">
        <v>9.8379999999999992</v>
      </c>
      <c r="BM75" s="439">
        <v>2.1511999999999998</v>
      </c>
      <c r="BN75" s="439">
        <v>5.5435999999999996</v>
      </c>
      <c r="BO75" s="263"/>
      <c r="BP75" s="439">
        <v>16.091000000000001</v>
      </c>
      <c r="BQ75" s="439">
        <v>2.4224999999999999</v>
      </c>
      <c r="BR75" s="439">
        <v>5.2640000000000002</v>
      </c>
      <c r="BS75" s="447" t="s">
        <v>1573</v>
      </c>
      <c r="BT75" s="438"/>
      <c r="BU75" s="438"/>
      <c r="BV75" s="438">
        <v>6.1509999999999998</v>
      </c>
      <c r="BW75" s="438">
        <v>0.51870000000000005</v>
      </c>
      <c r="BX75" s="438">
        <v>2.6574</v>
      </c>
      <c r="BY75" s="438">
        <v>8.7539999999999996</v>
      </c>
      <c r="BZ75" s="438">
        <v>81.891599999999997</v>
      </c>
      <c r="CA75" s="438">
        <v>347.11090000000002</v>
      </c>
      <c r="CB75" s="438">
        <v>9.8339999999999996</v>
      </c>
      <c r="CC75" s="438">
        <v>1.8527</v>
      </c>
      <c r="CD75" s="438">
        <v>6.3003</v>
      </c>
      <c r="CE75" s="438"/>
      <c r="CF75" s="438" t="s">
        <v>1574</v>
      </c>
      <c r="CG75" s="438">
        <v>8.6099999999999996E-2</v>
      </c>
      <c r="CH75" s="438">
        <v>0.17810000000000001</v>
      </c>
      <c r="CI75" s="245" t="s">
        <v>1575</v>
      </c>
      <c r="CJ75" s="1"/>
      <c r="CK75" s="1"/>
      <c r="CL75" s="1" t="s">
        <v>1576</v>
      </c>
      <c r="CM75" s="1"/>
      <c r="CN75" s="1"/>
      <c r="CO75" s="1">
        <v>8.7710000000000008</v>
      </c>
      <c r="CP75" s="1">
        <v>134.5206</v>
      </c>
      <c r="CQ75" s="1">
        <v>544.42100000000005</v>
      </c>
      <c r="CR75" s="1">
        <v>9.8309999999999995</v>
      </c>
      <c r="CS75" s="1">
        <v>1.9930000000000001</v>
      </c>
      <c r="CT75" s="1">
        <v>5.1890999999999998</v>
      </c>
      <c r="CU75" s="1"/>
      <c r="CV75" s="1">
        <v>16.105</v>
      </c>
      <c r="CW75" s="1">
        <v>0.53800000000000003</v>
      </c>
      <c r="CX75" s="1">
        <v>1.1388</v>
      </c>
      <c r="CY75" s="2" t="s">
        <v>1578</v>
      </c>
      <c r="CZ75" s="2"/>
      <c r="DA75" s="2"/>
      <c r="DB75" s="2">
        <v>6.1840000000000002</v>
      </c>
      <c r="DC75" s="2">
        <v>0.58779999999999999</v>
      </c>
      <c r="DD75" s="2">
        <v>2.1173000000000002</v>
      </c>
      <c r="DE75" s="2">
        <v>8.7409999999999997</v>
      </c>
      <c r="DF75" s="2">
        <v>50.839799999999997</v>
      </c>
      <c r="DG75" s="2">
        <v>218.01300000000001</v>
      </c>
      <c r="DH75" s="2">
        <v>9.8339999999999996</v>
      </c>
      <c r="DI75" s="2">
        <v>1.7191000000000001</v>
      </c>
      <c r="DJ75" s="2">
        <v>4.8723999999999998</v>
      </c>
      <c r="DK75" s="2"/>
      <c r="DL75" s="2">
        <v>16.117999999999999</v>
      </c>
      <c r="DM75" s="2">
        <v>0.45950000000000002</v>
      </c>
      <c r="DN75" s="2">
        <v>0.96830000000000005</v>
      </c>
      <c r="DO75" s="266">
        <v>4.3710000000000004</v>
      </c>
      <c r="DP75" s="266">
        <v>19.495999999999999</v>
      </c>
      <c r="DQ75" s="266">
        <v>39.069699999999997</v>
      </c>
      <c r="DR75" s="266">
        <v>6.141</v>
      </c>
      <c r="DS75" s="266">
        <v>0.65749999999999997</v>
      </c>
      <c r="DT75" s="266">
        <v>2.6722999999999999</v>
      </c>
      <c r="DU75" s="266">
        <v>8.7439999999999998</v>
      </c>
      <c r="DV75" s="266">
        <v>80.843800000000002</v>
      </c>
      <c r="DW75" s="266">
        <v>342.90210000000002</v>
      </c>
      <c r="DX75" s="266">
        <v>9.8239999999999998</v>
      </c>
      <c r="DY75" s="266">
        <v>2.2269999999999999</v>
      </c>
      <c r="DZ75" s="266">
        <v>5.3929</v>
      </c>
      <c r="EA75" s="266"/>
      <c r="EB75" s="266">
        <v>16.091000000000001</v>
      </c>
      <c r="EC75" s="266">
        <v>1.7552000000000001</v>
      </c>
      <c r="ED75" s="266">
        <v>3.7669999999999999</v>
      </c>
      <c r="EE75" s="4" t="s">
        <v>1573</v>
      </c>
      <c r="EF75" s="4"/>
      <c r="EG75" s="4"/>
      <c r="EH75" s="4">
        <v>6.1509999999999998</v>
      </c>
      <c r="EI75" s="4">
        <v>0.52370000000000005</v>
      </c>
      <c r="EJ75" s="4">
        <v>2.6812999999999998</v>
      </c>
      <c r="EK75" s="4">
        <v>8.7750000000000004</v>
      </c>
      <c r="EL75" s="4">
        <v>124.7949</v>
      </c>
      <c r="EM75" s="4">
        <v>522.14580000000001</v>
      </c>
      <c r="EN75" s="4">
        <v>9.8350000000000009</v>
      </c>
      <c r="EO75" s="4">
        <v>1.0595000000000001</v>
      </c>
      <c r="EP75" s="4">
        <v>3.0975000000000001</v>
      </c>
      <c r="EQ75" s="4"/>
      <c r="ER75" s="4">
        <v>16.117999999999999</v>
      </c>
      <c r="ES75" s="4">
        <v>0.1144</v>
      </c>
      <c r="ET75" s="4">
        <v>0.24279999999999999</v>
      </c>
      <c r="EU75" s="1">
        <v>4.4610000000000003</v>
      </c>
      <c r="EV75" s="1">
        <v>10.2386</v>
      </c>
      <c r="EW75" s="1">
        <v>13.4376</v>
      </c>
      <c r="EX75" s="1">
        <v>6.1550000000000002</v>
      </c>
      <c r="EY75" s="1">
        <v>0.51910000000000001</v>
      </c>
      <c r="EZ75" s="1">
        <v>2.1974999999999998</v>
      </c>
      <c r="FA75" s="1">
        <v>8.7750000000000004</v>
      </c>
      <c r="FB75" s="1">
        <v>103.7312</v>
      </c>
      <c r="FC75" s="1">
        <v>438.42970000000003</v>
      </c>
      <c r="FD75" s="1">
        <v>9.8409999999999993</v>
      </c>
      <c r="FE75" s="1">
        <v>2.2736000000000001</v>
      </c>
      <c r="FF75" s="1">
        <v>5.1665999999999999</v>
      </c>
      <c r="FG75" s="1"/>
      <c r="FH75" s="1">
        <v>16.125</v>
      </c>
      <c r="FI75" s="1">
        <v>0.60250000000000004</v>
      </c>
      <c r="FJ75" s="1">
        <v>1.2762</v>
      </c>
      <c r="FK75" s="2" t="s">
        <v>1572</v>
      </c>
      <c r="FL75" s="2"/>
      <c r="FM75" s="2"/>
      <c r="FN75" s="2">
        <v>6.1539999999999999</v>
      </c>
      <c r="FO75" s="2">
        <v>0.62150000000000005</v>
      </c>
      <c r="FP75" s="2">
        <v>2.5973000000000002</v>
      </c>
      <c r="FQ75" s="2">
        <v>8.7910000000000004</v>
      </c>
      <c r="FR75" s="2">
        <v>137.88409999999999</v>
      </c>
      <c r="FS75" s="2">
        <v>568.31659999999999</v>
      </c>
      <c r="FT75" s="2">
        <v>9.8409999999999993</v>
      </c>
      <c r="FU75" s="2">
        <v>1.8686</v>
      </c>
      <c r="FV75" s="2">
        <v>5.1105</v>
      </c>
      <c r="FW75" s="2"/>
      <c r="FX75" s="2">
        <v>16.123999999999999</v>
      </c>
      <c r="FY75" s="2">
        <v>0.61299999999999999</v>
      </c>
      <c r="FZ75" s="2">
        <v>1.3075000000000001</v>
      </c>
      <c r="GA75" s="3" t="s">
        <v>1572</v>
      </c>
      <c r="GB75" s="3"/>
      <c r="GC75" s="3"/>
      <c r="GD75" s="3">
        <v>6.1479999999999997</v>
      </c>
      <c r="GE75" s="3">
        <v>0.69269999999999998</v>
      </c>
      <c r="GF75" s="3">
        <v>1.7782</v>
      </c>
      <c r="GG75" s="3">
        <v>8.8109999999999999</v>
      </c>
      <c r="GH75" s="3">
        <v>175.88560000000001</v>
      </c>
      <c r="GI75" s="3">
        <v>704.4203</v>
      </c>
      <c r="GJ75" s="3">
        <v>9.8409999999999993</v>
      </c>
      <c r="GK75" s="3">
        <v>0.95840000000000003</v>
      </c>
      <c r="GL75" s="3">
        <v>2.3900999999999999</v>
      </c>
      <c r="GM75" s="3"/>
      <c r="GN75" s="3">
        <v>16.138000000000002</v>
      </c>
      <c r="GO75" s="3">
        <v>0.62949999999999995</v>
      </c>
      <c r="GP75" s="3">
        <v>1.3475999999999999</v>
      </c>
      <c r="GQ75" s="380"/>
      <c r="GR75" s="380"/>
      <c r="GS75" s="380"/>
      <c r="GT75" s="380"/>
      <c r="GU75" s="380"/>
      <c r="GV75" s="380"/>
      <c r="GW75" s="380"/>
      <c r="GX75" s="380"/>
      <c r="GY75" s="380"/>
      <c r="GZ75" s="380"/>
      <c r="HA75" s="380"/>
      <c r="HB75" s="380"/>
      <c r="HC75" s="380"/>
      <c r="HD75" s="380"/>
      <c r="HE75" s="380"/>
      <c r="HF75" s="380"/>
    </row>
    <row r="76" spans="1:214">
      <c r="B76">
        <v>11</v>
      </c>
      <c r="C76">
        <f t="shared" si="93"/>
        <v>110</v>
      </c>
      <c r="D76" s="438">
        <v>4.4009999999999998</v>
      </c>
      <c r="E76" s="438">
        <v>0.5907</v>
      </c>
      <c r="F76" s="438">
        <v>1.4562999999999999</v>
      </c>
      <c r="G76" s="438">
        <v>6.165</v>
      </c>
      <c r="H76" s="438">
        <v>0.6825</v>
      </c>
      <c r="I76" s="438">
        <v>3.0840000000000001</v>
      </c>
      <c r="J76" s="438">
        <v>8.7780000000000005</v>
      </c>
      <c r="K76" s="438">
        <v>42.080500000000001</v>
      </c>
      <c r="L76" s="438">
        <v>182.24359999999999</v>
      </c>
      <c r="M76" s="438">
        <v>9.8780000000000001</v>
      </c>
      <c r="N76" s="438">
        <v>1.0463</v>
      </c>
      <c r="O76" s="438">
        <v>3.5466000000000002</v>
      </c>
      <c r="P76" s="23"/>
      <c r="Q76" s="438">
        <v>16.207999999999998</v>
      </c>
      <c r="R76" s="438">
        <v>9.0700000000000003E-2</v>
      </c>
      <c r="S76" s="438">
        <v>0.1895</v>
      </c>
      <c r="T76" s="445"/>
      <c r="W76" s="6">
        <v>6.1539999999999999</v>
      </c>
      <c r="X76" s="6">
        <v>0.49759999999999999</v>
      </c>
      <c r="Y76" s="6">
        <v>2.1823000000000001</v>
      </c>
      <c r="Z76" s="442">
        <v>8.8010000000000002</v>
      </c>
      <c r="AA76" s="442">
        <v>113.69110000000001</v>
      </c>
      <c r="AB76" s="442">
        <v>469.39400000000001</v>
      </c>
      <c r="AC76" s="193">
        <v>9.8740000000000006</v>
      </c>
      <c r="AD76" s="193">
        <v>1.5597000000000001</v>
      </c>
      <c r="AE76" s="193">
        <v>4.9775</v>
      </c>
      <c r="AF76" s="6">
        <v>16.190999999999999</v>
      </c>
      <c r="AG76" s="6">
        <v>0.75109999999999999</v>
      </c>
      <c r="AH76" s="6">
        <v>1.5736000000000001</v>
      </c>
      <c r="AI76" s="269"/>
      <c r="AJ76" s="442" t="s">
        <v>182</v>
      </c>
      <c r="AK76" s="442" t="s">
        <v>182</v>
      </c>
      <c r="AL76" s="442" t="s">
        <v>182</v>
      </c>
      <c r="AM76" s="446" t="s">
        <v>1572</v>
      </c>
      <c r="AP76" s="270">
        <v>6.1580000000000004</v>
      </c>
      <c r="AQ76" s="270">
        <v>0.54510000000000003</v>
      </c>
      <c r="AR76" s="270">
        <v>2.4687000000000001</v>
      </c>
      <c r="AS76" s="443">
        <v>8.7850000000000001</v>
      </c>
      <c r="AT76" s="443">
        <v>73.5548</v>
      </c>
      <c r="AU76" s="443">
        <v>309.64679999999998</v>
      </c>
      <c r="AV76" s="270">
        <v>9.875</v>
      </c>
      <c r="AW76" s="270">
        <v>1.8303</v>
      </c>
      <c r="AX76" s="270">
        <v>4.6966000000000001</v>
      </c>
      <c r="AY76" s="270">
        <v>16.184999999999999</v>
      </c>
      <c r="AZ76" s="270">
        <v>0.4728</v>
      </c>
      <c r="BA76" s="270">
        <v>0.98880000000000001</v>
      </c>
      <c r="BB76" s="270"/>
      <c r="BC76" s="439">
        <v>4.4109999999999996</v>
      </c>
      <c r="BD76" s="439">
        <v>20.1477</v>
      </c>
      <c r="BE76" s="439">
        <v>31.913499999999999</v>
      </c>
      <c r="BF76" s="439">
        <v>6.141</v>
      </c>
      <c r="BG76" s="439">
        <v>0.44750000000000001</v>
      </c>
      <c r="BH76" s="439">
        <v>2.3832</v>
      </c>
      <c r="BI76" s="439">
        <v>8.7379999999999995</v>
      </c>
      <c r="BJ76" s="439">
        <v>28.2348</v>
      </c>
      <c r="BK76" s="439">
        <v>122.67449999999999</v>
      </c>
      <c r="BL76" s="439">
        <v>9.8350000000000009</v>
      </c>
      <c r="BM76" s="439">
        <v>2.0457000000000001</v>
      </c>
      <c r="BN76" s="439">
        <v>5.5480999999999998</v>
      </c>
      <c r="BO76" s="263"/>
      <c r="BP76" s="439">
        <v>16.088000000000001</v>
      </c>
      <c r="BQ76" s="439">
        <v>2.1903999999999999</v>
      </c>
      <c r="BR76" s="439">
        <v>4.7496999999999998</v>
      </c>
      <c r="BS76" s="447" t="s">
        <v>1573</v>
      </c>
      <c r="BT76" s="438"/>
      <c r="BU76" s="438"/>
      <c r="BV76" s="438">
        <v>6.1539999999999999</v>
      </c>
      <c r="BW76" s="438">
        <v>0.52800000000000002</v>
      </c>
      <c r="BX76" s="438">
        <v>2.7685</v>
      </c>
      <c r="BY76" s="438">
        <v>8.7479999999999993</v>
      </c>
      <c r="BZ76" s="438">
        <v>41.156700000000001</v>
      </c>
      <c r="CA76" s="438">
        <v>178.9315</v>
      </c>
      <c r="CB76" s="438">
        <v>9.8409999999999993</v>
      </c>
      <c r="CC76" s="438">
        <v>1.7143999999999999</v>
      </c>
      <c r="CD76" s="438">
        <v>6.0968999999999998</v>
      </c>
      <c r="CE76" s="438"/>
      <c r="CF76" s="438">
        <v>16.103999999999999</v>
      </c>
      <c r="CG76" s="438">
        <v>8.3299999999999999E-2</v>
      </c>
      <c r="CH76" s="438">
        <v>0.1777</v>
      </c>
      <c r="CI76" s="245" t="s">
        <v>1575</v>
      </c>
      <c r="CJ76" s="1"/>
      <c r="CK76" s="1"/>
      <c r="CL76" s="1" t="s">
        <v>1576</v>
      </c>
      <c r="CM76" s="1"/>
      <c r="CN76" s="1"/>
      <c r="CO76" s="1">
        <v>8.7609999999999992</v>
      </c>
      <c r="CP76" s="1">
        <v>93.356899999999996</v>
      </c>
      <c r="CQ76" s="1">
        <v>387.27620000000002</v>
      </c>
      <c r="CR76" s="1">
        <v>9.8379999999999992</v>
      </c>
      <c r="CS76" s="1">
        <v>1.7644</v>
      </c>
      <c r="CT76" s="1">
        <v>5.2241999999999997</v>
      </c>
      <c r="CU76" s="1"/>
      <c r="CV76" s="1">
        <v>16.111000000000001</v>
      </c>
      <c r="CW76" s="1">
        <v>0.54110000000000003</v>
      </c>
      <c r="CX76" s="1">
        <v>1.1402000000000001</v>
      </c>
      <c r="CY76" s="2" t="s">
        <v>1578</v>
      </c>
      <c r="CZ76" s="2"/>
      <c r="DA76" s="2"/>
      <c r="DB76" s="2">
        <v>6.1779999999999999</v>
      </c>
      <c r="DC76" s="2">
        <v>0.57999999999999996</v>
      </c>
      <c r="DD76" s="2">
        <v>2.0945999999999998</v>
      </c>
      <c r="DE76" s="2">
        <v>8.7379999999999995</v>
      </c>
      <c r="DF76" s="2">
        <v>37.182699999999997</v>
      </c>
      <c r="DG76" s="2">
        <v>161.08789999999999</v>
      </c>
      <c r="DH76" s="2">
        <v>9.8309999999999995</v>
      </c>
      <c r="DI76" s="2">
        <v>1.8343</v>
      </c>
      <c r="DJ76" s="2">
        <v>5.0435999999999996</v>
      </c>
      <c r="DK76" s="2"/>
      <c r="DL76" s="2">
        <v>16.114000000000001</v>
      </c>
      <c r="DM76" s="2">
        <v>0.42859999999999998</v>
      </c>
      <c r="DN76" s="2">
        <v>0.90720000000000001</v>
      </c>
      <c r="DO76" s="266">
        <v>4.3739999999999997</v>
      </c>
      <c r="DP76" s="266">
        <v>18.946899999999999</v>
      </c>
      <c r="DQ76" s="266">
        <v>38.131100000000004</v>
      </c>
      <c r="DR76" s="266">
        <v>6.141</v>
      </c>
      <c r="DS76" s="266">
        <v>0.60360000000000003</v>
      </c>
      <c r="DT76" s="266">
        <v>2.5276000000000001</v>
      </c>
      <c r="DU76" s="266">
        <v>8.7379999999999995</v>
      </c>
      <c r="DV76" s="266">
        <v>50.299900000000001</v>
      </c>
      <c r="DW76" s="266">
        <v>217.21979999999999</v>
      </c>
      <c r="DX76" s="266">
        <v>9.8239999999999998</v>
      </c>
      <c r="DY76" s="266">
        <v>2.0779000000000001</v>
      </c>
      <c r="DZ76" s="266">
        <v>5.4010999999999996</v>
      </c>
      <c r="EA76" s="266"/>
      <c r="EB76" s="266">
        <v>16.094000000000001</v>
      </c>
      <c r="EC76" s="266">
        <v>1.6922999999999999</v>
      </c>
      <c r="ED76" s="266">
        <v>3.6391</v>
      </c>
      <c r="EE76" s="4" t="s">
        <v>1573</v>
      </c>
      <c r="EF76" s="4"/>
      <c r="EG76" s="4"/>
      <c r="EH76" s="4">
        <v>6.1509999999999998</v>
      </c>
      <c r="EI76" s="4">
        <v>0.52370000000000005</v>
      </c>
      <c r="EJ76" s="4">
        <v>0.71599999999999997</v>
      </c>
      <c r="EK76" s="4">
        <v>8.7650000000000006</v>
      </c>
      <c r="EL76" s="4">
        <v>100.5996</v>
      </c>
      <c r="EM76" s="4">
        <v>427.9153</v>
      </c>
      <c r="EN76" s="4">
        <v>9.8350000000000009</v>
      </c>
      <c r="EO76" s="4">
        <v>1.1167</v>
      </c>
      <c r="EP76" s="4">
        <v>3.4777</v>
      </c>
      <c r="EQ76" s="4"/>
      <c r="ER76" s="4">
        <v>16.125</v>
      </c>
      <c r="ES76" s="4">
        <v>0.1027</v>
      </c>
      <c r="ET76" s="4">
        <v>0.21890000000000001</v>
      </c>
      <c r="EU76" s="1">
        <v>4.4580000000000002</v>
      </c>
      <c r="EV76" s="1">
        <v>10.062099999999999</v>
      </c>
      <c r="EW76" s="1">
        <v>13.3323</v>
      </c>
      <c r="EX76" s="1">
        <v>6.1550000000000002</v>
      </c>
      <c r="EY76" s="1">
        <v>0.58689999999999998</v>
      </c>
      <c r="EZ76" s="1">
        <v>2.5327999999999999</v>
      </c>
      <c r="FA76" s="1">
        <v>8.7680000000000007</v>
      </c>
      <c r="FB76" s="1">
        <v>88.603399999999993</v>
      </c>
      <c r="FC76" s="1">
        <v>377.75940000000003</v>
      </c>
      <c r="FD76" s="1">
        <v>9.8379999999999992</v>
      </c>
      <c r="FE76" s="1">
        <v>2.0089999999999999</v>
      </c>
      <c r="FF76" s="1">
        <v>5.3261000000000003</v>
      </c>
      <c r="FG76" s="1"/>
      <c r="FH76" s="1">
        <v>16.120999999999999</v>
      </c>
      <c r="FI76" s="1">
        <v>0.62319999999999998</v>
      </c>
      <c r="FJ76" s="1">
        <v>1.3225</v>
      </c>
      <c r="FK76" s="2" t="s">
        <v>1572</v>
      </c>
      <c r="FL76" s="2"/>
      <c r="FM76" s="2"/>
      <c r="FN76" s="2">
        <v>6.1550000000000002</v>
      </c>
      <c r="FO76" s="2">
        <v>0.56630000000000003</v>
      </c>
      <c r="FP76" s="2">
        <v>2.3795999999999999</v>
      </c>
      <c r="FQ76" s="2">
        <v>8.7780000000000005</v>
      </c>
      <c r="FR76" s="2">
        <v>107.44459999999999</v>
      </c>
      <c r="FS76" s="2">
        <v>453.01690000000002</v>
      </c>
      <c r="FT76" s="2">
        <v>9.8409999999999993</v>
      </c>
      <c r="FU76" s="2">
        <v>2.2481</v>
      </c>
      <c r="FV76" s="2">
        <v>5.2096999999999998</v>
      </c>
      <c r="FW76" s="2"/>
      <c r="FX76" s="2">
        <v>16.125</v>
      </c>
      <c r="FY76" s="2">
        <v>0.55269999999999997</v>
      </c>
      <c r="FZ76" s="2">
        <v>1.179</v>
      </c>
      <c r="GA76" s="3" t="s">
        <v>1572</v>
      </c>
      <c r="GB76" s="3"/>
      <c r="GC76" s="3"/>
      <c r="GD76" s="3">
        <v>6.1509999999999998</v>
      </c>
      <c r="GE76" s="3">
        <v>0.65529999999999999</v>
      </c>
      <c r="GF76" s="3">
        <v>1.6120000000000001</v>
      </c>
      <c r="GG76" s="3">
        <v>8.7940000000000005</v>
      </c>
      <c r="GH76" s="3">
        <v>141.81540000000001</v>
      </c>
      <c r="GI76" s="3">
        <v>584.36739999999998</v>
      </c>
      <c r="GJ76" s="3">
        <v>9.8409999999999993</v>
      </c>
      <c r="GK76" s="3">
        <v>0.77610000000000001</v>
      </c>
      <c r="GL76" s="3">
        <v>1.9933000000000001</v>
      </c>
      <c r="GM76" s="3"/>
      <c r="GN76" s="3">
        <v>16.134</v>
      </c>
      <c r="GO76" s="3">
        <v>0.63790000000000002</v>
      </c>
      <c r="GP76" s="3">
        <v>0.35949999999999999</v>
      </c>
      <c r="GQ76" s="380"/>
      <c r="GR76" s="380"/>
      <c r="GS76" s="380"/>
      <c r="GT76" s="380"/>
      <c r="GU76" s="380"/>
      <c r="GV76" s="380"/>
      <c r="GW76" s="380"/>
      <c r="GX76" s="380"/>
      <c r="GY76" s="380"/>
      <c r="GZ76" s="380"/>
      <c r="HA76" s="380"/>
      <c r="HB76" s="380"/>
      <c r="HC76" s="380"/>
      <c r="HD76" s="380"/>
      <c r="HE76" s="380"/>
      <c r="HF76" s="380"/>
    </row>
    <row r="77" spans="1:214">
      <c r="B77">
        <v>12</v>
      </c>
      <c r="C77">
        <f t="shared" si="93"/>
        <v>120</v>
      </c>
      <c r="D77" s="438">
        <v>4.4009999999999998</v>
      </c>
      <c r="E77" s="438">
        <v>0.53920000000000001</v>
      </c>
      <c r="F77" s="438">
        <v>1.3436999999999999</v>
      </c>
      <c r="G77" s="438">
        <v>6.1639999999999997</v>
      </c>
      <c r="H77" s="438">
        <v>0.67659999999999998</v>
      </c>
      <c r="I77" s="438">
        <v>3.0348999999999999</v>
      </c>
      <c r="J77" s="438">
        <v>9.7739999999999991</v>
      </c>
      <c r="K77" s="438">
        <v>33.632599999999996</v>
      </c>
      <c r="L77" s="438">
        <v>146.79560000000001</v>
      </c>
      <c r="M77" s="438">
        <v>9.8780000000000001</v>
      </c>
      <c r="N77" s="438">
        <v>0.94950000000000001</v>
      </c>
      <c r="O77" s="438">
        <v>3.2562000000000002</v>
      </c>
      <c r="P77" s="23"/>
      <c r="Q77" s="438">
        <v>16.193999999999999</v>
      </c>
      <c r="R77" s="438">
        <v>0.08</v>
      </c>
      <c r="S77" s="438">
        <v>0.1636</v>
      </c>
      <c r="T77" s="445"/>
      <c r="W77" s="6">
        <v>6.1580000000000004</v>
      </c>
      <c r="X77" s="6">
        <v>0.49270000000000003</v>
      </c>
      <c r="Y77" s="6">
        <v>2.1640000000000001</v>
      </c>
      <c r="Z77" s="442">
        <v>8.7880000000000003</v>
      </c>
      <c r="AA77" s="442">
        <v>77.972099999999998</v>
      </c>
      <c r="AB77" s="442">
        <v>328.4171</v>
      </c>
      <c r="AC77" s="193">
        <v>9.8740000000000006</v>
      </c>
      <c r="AD77" s="193">
        <v>1.4985999999999999</v>
      </c>
      <c r="AE77" s="193">
        <v>4.9717000000000002</v>
      </c>
      <c r="AF77" s="6">
        <v>16.187999999999999</v>
      </c>
      <c r="AG77" s="6">
        <v>0.78049999999999997</v>
      </c>
      <c r="AH77" s="6">
        <v>1.6457999999999999</v>
      </c>
      <c r="AI77" s="269"/>
      <c r="AJ77" s="442" t="s">
        <v>182</v>
      </c>
      <c r="AK77" s="442" t="s">
        <v>182</v>
      </c>
      <c r="AL77" s="442" t="s">
        <v>182</v>
      </c>
      <c r="AM77" s="446" t="s">
        <v>1572</v>
      </c>
      <c r="AP77" s="270">
        <v>6.1580000000000004</v>
      </c>
      <c r="AQ77" s="270">
        <v>0.52729999999999999</v>
      </c>
      <c r="AR77" s="270">
        <v>2.4306999999999999</v>
      </c>
      <c r="AS77" s="443">
        <v>8.7810000000000006</v>
      </c>
      <c r="AT77" s="443">
        <v>57.768300000000004</v>
      </c>
      <c r="AU77" s="443">
        <v>245.52709999999999</v>
      </c>
      <c r="AV77" s="270">
        <v>9.8740000000000006</v>
      </c>
      <c r="AW77" s="270">
        <v>1.7966</v>
      </c>
      <c r="AX77" s="270">
        <v>4.5952000000000002</v>
      </c>
      <c r="AY77" s="270">
        <v>16.184000000000001</v>
      </c>
      <c r="AZ77" s="270">
        <v>0.4476</v>
      </c>
      <c r="BA77" s="270">
        <v>0.93799999999999994</v>
      </c>
      <c r="BB77" s="270"/>
      <c r="BC77" s="439">
        <v>4.4109999999999996</v>
      </c>
      <c r="BD77" s="439">
        <v>18.3996</v>
      </c>
      <c r="BE77" s="439">
        <v>29.040900000000001</v>
      </c>
      <c r="BF77" s="439">
        <v>6.1479999999999997</v>
      </c>
      <c r="BG77" s="439">
        <v>0.43830000000000002</v>
      </c>
      <c r="BH77" s="439">
        <v>2.3542000000000001</v>
      </c>
      <c r="BI77" s="439">
        <v>8.7379999999999995</v>
      </c>
      <c r="BJ77" s="439">
        <v>13.6006</v>
      </c>
      <c r="BK77" s="439">
        <v>58.828800000000001</v>
      </c>
      <c r="BL77" s="439">
        <v>9.8379999999999992</v>
      </c>
      <c r="BM77" s="439">
        <v>1.8482000000000001</v>
      </c>
      <c r="BN77" s="439">
        <v>5.4908999999999999</v>
      </c>
      <c r="BO77" s="263"/>
      <c r="BP77" s="439">
        <v>16.094999999999999</v>
      </c>
      <c r="BQ77" s="439">
        <v>1.954</v>
      </c>
      <c r="BR77" s="439">
        <v>4.2245999999999997</v>
      </c>
      <c r="BS77" s="447" t="s">
        <v>1573</v>
      </c>
      <c r="BT77" s="438"/>
      <c r="BU77" s="438"/>
      <c r="BV77" s="438">
        <v>6.1580000000000004</v>
      </c>
      <c r="BW77" s="438">
        <v>0.51090000000000002</v>
      </c>
      <c r="BX77" s="438">
        <v>2.7031000000000001</v>
      </c>
      <c r="BY77" s="438">
        <v>8.7449999999999992</v>
      </c>
      <c r="BZ77" s="438">
        <v>21.282699999999998</v>
      </c>
      <c r="CA77" s="438">
        <v>93.521000000000001</v>
      </c>
      <c r="CB77" s="438">
        <v>9.8450000000000006</v>
      </c>
      <c r="CC77" s="438">
        <v>1.7047000000000001</v>
      </c>
      <c r="CD77" s="438">
        <v>6.1722000000000001</v>
      </c>
      <c r="CE77" s="438"/>
      <c r="CF77" s="438">
        <v>16.097999999999999</v>
      </c>
      <c r="CG77" s="438">
        <v>7.7700000000000005E-2</v>
      </c>
      <c r="CH77" s="438">
        <v>0.1648</v>
      </c>
      <c r="CI77" s="245" t="s">
        <v>1575</v>
      </c>
      <c r="CJ77" s="1"/>
      <c r="CK77" s="1"/>
      <c r="CL77" s="1" t="s">
        <v>1576</v>
      </c>
      <c r="CM77" s="1"/>
      <c r="CN77" s="1"/>
      <c r="CO77" s="1">
        <v>8.7509999999999994</v>
      </c>
      <c r="CP77" s="1">
        <v>61.42</v>
      </c>
      <c r="CQ77" s="1">
        <v>259.31830000000002</v>
      </c>
      <c r="CR77" s="1">
        <v>9.8379999999999992</v>
      </c>
      <c r="CS77" s="1">
        <v>1.7873000000000001</v>
      </c>
      <c r="CT77" s="1">
        <v>5.3319999999999999</v>
      </c>
      <c r="CU77" s="1"/>
      <c r="CV77" s="1">
        <v>16.111000000000001</v>
      </c>
      <c r="CW77" s="1">
        <v>0.53879999999999995</v>
      </c>
      <c r="CX77" s="1">
        <v>1.1442000000000001</v>
      </c>
      <c r="CY77" s="2" t="s">
        <v>1578</v>
      </c>
      <c r="CZ77" s="2"/>
      <c r="DA77" s="2"/>
      <c r="DB77" s="2">
        <v>6.1740000000000004</v>
      </c>
      <c r="DC77" s="2">
        <v>0.56369999999999998</v>
      </c>
      <c r="DD77" s="2">
        <v>2.0526</v>
      </c>
      <c r="DE77" s="2">
        <v>8.7379999999999995</v>
      </c>
      <c r="DF77" s="2">
        <v>27.7822</v>
      </c>
      <c r="DG77" s="2">
        <v>120.925</v>
      </c>
      <c r="DH77" s="2">
        <v>9.8379999999999992</v>
      </c>
      <c r="DI77" s="2">
        <v>1.8871</v>
      </c>
      <c r="DJ77" s="2">
        <v>5.125</v>
      </c>
      <c r="DK77" s="2"/>
      <c r="DL77" s="2">
        <v>16.120999999999999</v>
      </c>
      <c r="DM77" s="2">
        <v>0.40770000000000001</v>
      </c>
      <c r="DN77" s="2">
        <v>0.86570000000000003</v>
      </c>
      <c r="DO77" s="266">
        <v>4.3739999999999997</v>
      </c>
      <c r="DP77" s="266">
        <v>18.031199999999998</v>
      </c>
      <c r="DQ77" s="266">
        <v>36.3782</v>
      </c>
      <c r="DR77" s="266">
        <v>6.1440000000000001</v>
      </c>
      <c r="DS77" s="266">
        <v>0.56859999999999999</v>
      </c>
      <c r="DT77" s="266">
        <v>2.4512999999999998</v>
      </c>
      <c r="DU77" s="266">
        <v>8.734</v>
      </c>
      <c r="DV77" s="266">
        <v>29.2806</v>
      </c>
      <c r="DW77" s="266">
        <v>127.93940000000001</v>
      </c>
      <c r="DX77" s="266">
        <v>9.8279999999999994</v>
      </c>
      <c r="DY77" s="266">
        <v>1.8180000000000001</v>
      </c>
      <c r="DZ77" s="266">
        <v>5.3968999999999996</v>
      </c>
      <c r="EA77" s="266"/>
      <c r="EB77" s="266">
        <v>16.100999999999999</v>
      </c>
      <c r="EC77" s="266">
        <v>1.6137999999999999</v>
      </c>
      <c r="ED77" s="266">
        <v>3.4668999999999999</v>
      </c>
      <c r="EE77" s="4" t="s">
        <v>1573</v>
      </c>
      <c r="EF77" s="4"/>
      <c r="EG77" s="4"/>
      <c r="EH77" s="4">
        <v>6.1550000000000002</v>
      </c>
      <c r="EI77" s="4">
        <v>0.5202</v>
      </c>
      <c r="EJ77" s="4">
        <v>2.7046999999999999</v>
      </c>
      <c r="EK77" s="4">
        <v>8.7650000000000006</v>
      </c>
      <c r="EL77" s="4">
        <v>92.677300000000002</v>
      </c>
      <c r="EM77" s="4">
        <v>396.82960000000003</v>
      </c>
      <c r="EN77" s="4">
        <v>9.8379999999999992</v>
      </c>
      <c r="EO77" s="4">
        <v>1.1389</v>
      </c>
      <c r="EP77" s="4">
        <v>3.6286</v>
      </c>
      <c r="EQ77" s="4"/>
      <c r="ER77" s="4">
        <v>16.125</v>
      </c>
      <c r="ES77" s="4">
        <v>9.64E-2</v>
      </c>
      <c r="ET77" s="4">
        <v>0.20649999999999999</v>
      </c>
      <c r="EU77" s="1">
        <v>4.4580000000000002</v>
      </c>
      <c r="EV77" s="1">
        <v>9.9291</v>
      </c>
      <c r="EW77" s="1">
        <v>13.1797</v>
      </c>
      <c r="EX77" s="1">
        <v>6.1550000000000002</v>
      </c>
      <c r="EY77" s="1">
        <v>0.5393</v>
      </c>
      <c r="EZ77" s="1">
        <v>2.3511000000000002</v>
      </c>
      <c r="FA77" s="1">
        <v>8.7650000000000006</v>
      </c>
      <c r="FB77" s="1">
        <v>73.122900000000001</v>
      </c>
      <c r="FC77" s="1">
        <v>314.60890000000001</v>
      </c>
      <c r="FD77" s="1">
        <v>9.8409999999999993</v>
      </c>
      <c r="FE77" s="1">
        <v>2.1122999999999998</v>
      </c>
      <c r="FF77" s="1">
        <v>5.5823</v>
      </c>
      <c r="FG77" s="1"/>
      <c r="FH77" s="1">
        <v>16.120999999999999</v>
      </c>
      <c r="FI77" s="1">
        <v>0.5907</v>
      </c>
      <c r="FJ77" s="1">
        <v>1.2536</v>
      </c>
      <c r="FK77" s="2" t="s">
        <v>1572</v>
      </c>
      <c r="FL77" s="2"/>
      <c r="FM77" s="2"/>
      <c r="FN77" s="2">
        <v>6.1580000000000004</v>
      </c>
      <c r="FO77" s="2">
        <v>0.57809999999999995</v>
      </c>
      <c r="FP77" s="2">
        <v>2.4319000000000002</v>
      </c>
      <c r="FQ77" s="2">
        <v>8.7710000000000008</v>
      </c>
      <c r="FR77" s="2">
        <v>88.425399999999996</v>
      </c>
      <c r="FS77" s="2">
        <v>377.59050000000002</v>
      </c>
      <c r="FT77" s="2">
        <v>9.8409999999999993</v>
      </c>
      <c r="FU77" s="2">
        <v>2.1619000000000002</v>
      </c>
      <c r="FV77" s="2">
        <v>5.2803000000000004</v>
      </c>
      <c r="FW77" s="2"/>
      <c r="FX77" s="2">
        <v>16.128</v>
      </c>
      <c r="FY77" s="2">
        <v>0.55349999999999999</v>
      </c>
      <c r="FZ77" s="2">
        <v>1.1653</v>
      </c>
      <c r="GA77" s="3" t="s">
        <v>1572</v>
      </c>
      <c r="GB77" s="3"/>
      <c r="GC77" s="3"/>
      <c r="GD77" s="3">
        <v>6.1509999999999998</v>
      </c>
      <c r="GE77" s="3">
        <v>0.58879999999999999</v>
      </c>
      <c r="GF77" s="3">
        <v>1.3104</v>
      </c>
      <c r="GG77" s="3">
        <v>8.7810000000000006</v>
      </c>
      <c r="GH77" s="3">
        <v>106.5261</v>
      </c>
      <c r="GI77" s="3">
        <v>449.76560000000001</v>
      </c>
      <c r="GJ77" s="3">
        <v>9.8409999999999993</v>
      </c>
      <c r="GK77" s="3">
        <v>0.58979999999999999</v>
      </c>
      <c r="GL77" s="3">
        <v>1.5278</v>
      </c>
      <c r="GM77" s="3"/>
      <c r="GN77" s="3">
        <v>16.131</v>
      </c>
      <c r="GO77" s="3">
        <v>0.6038</v>
      </c>
      <c r="GP77" s="3">
        <v>1.2803</v>
      </c>
      <c r="GQ77" s="380"/>
      <c r="GR77" s="380"/>
      <c r="GS77" s="380"/>
      <c r="GT77" s="380"/>
      <c r="GU77" s="380"/>
      <c r="GV77" s="380"/>
      <c r="GW77" s="380"/>
      <c r="GX77" s="380"/>
      <c r="GY77" s="380"/>
      <c r="GZ77" s="380"/>
      <c r="HA77" s="380"/>
      <c r="HB77" s="380"/>
      <c r="HC77" s="380"/>
      <c r="HD77" s="380"/>
      <c r="HE77" s="380"/>
      <c r="HF77" s="380"/>
    </row>
    <row r="78" spans="1:214">
      <c r="B78">
        <v>13</v>
      </c>
      <c r="C78">
        <f t="shared" si="93"/>
        <v>130</v>
      </c>
      <c r="D78" s="438">
        <v>4.4050000000000002</v>
      </c>
      <c r="E78" s="438">
        <v>0.54239999999999999</v>
      </c>
      <c r="F78" s="438">
        <v>1.1990000000000001</v>
      </c>
      <c r="G78" s="438">
        <v>6.165</v>
      </c>
      <c r="H78" s="438">
        <v>0.65129999999999999</v>
      </c>
      <c r="I78" s="438">
        <v>2.9540999999999999</v>
      </c>
      <c r="J78" s="438">
        <v>8.7750000000000004</v>
      </c>
      <c r="K78" s="438">
        <v>28.7502</v>
      </c>
      <c r="L78" s="438">
        <v>125.59520000000001</v>
      </c>
      <c r="M78" s="438">
        <v>9.8810000000000002</v>
      </c>
      <c r="N78" s="438">
        <v>0.95569999999999999</v>
      </c>
      <c r="O78" s="438">
        <v>3.3466</v>
      </c>
      <c r="P78" s="23"/>
      <c r="Q78" s="438">
        <v>16.207999999999998</v>
      </c>
      <c r="R78" s="438">
        <v>7.17E-2</v>
      </c>
      <c r="S78" s="438">
        <v>0.14810000000000001</v>
      </c>
      <c r="T78" s="445"/>
      <c r="W78" s="6">
        <v>6.1609999999999996</v>
      </c>
      <c r="X78" s="6">
        <v>0.49819999999999998</v>
      </c>
      <c r="Y78" s="6">
        <v>2.2061999999999999</v>
      </c>
      <c r="Z78" s="442">
        <v>8.7780000000000005</v>
      </c>
      <c r="AA78" s="442">
        <v>50.460299999999997</v>
      </c>
      <c r="AB78" s="442">
        <v>214.6611</v>
      </c>
      <c r="AC78" s="193">
        <v>9.8740000000000006</v>
      </c>
      <c r="AD78" s="193">
        <v>1.9455</v>
      </c>
      <c r="AE78" s="193">
        <v>5.2110000000000003</v>
      </c>
      <c r="AF78" s="6">
        <v>16.190999999999999</v>
      </c>
      <c r="AG78" s="6">
        <v>0.81530000000000002</v>
      </c>
      <c r="AH78" s="6">
        <v>1.7192000000000001</v>
      </c>
      <c r="AI78" s="269"/>
      <c r="AJ78" s="442" t="s">
        <v>182</v>
      </c>
      <c r="AK78" s="442" t="s">
        <v>182</v>
      </c>
      <c r="AL78" s="442" t="s">
        <v>182</v>
      </c>
      <c r="AM78" s="446" t="s">
        <v>1572</v>
      </c>
      <c r="AP78" s="270">
        <v>6.1609999999999996</v>
      </c>
      <c r="AQ78" s="270">
        <v>0.5222</v>
      </c>
      <c r="AR78" s="270">
        <v>2.4108999999999998</v>
      </c>
      <c r="AS78" s="443">
        <v>8.7780000000000005</v>
      </c>
      <c r="AT78" s="443">
        <v>46.300400000000003</v>
      </c>
      <c r="AU78" s="443">
        <v>198.3672</v>
      </c>
      <c r="AV78" s="270">
        <v>9.875</v>
      </c>
      <c r="AW78" s="270">
        <v>1.7748999999999999</v>
      </c>
      <c r="AX78" s="270">
        <v>4.6291000000000002</v>
      </c>
      <c r="AY78" s="270">
        <v>16.187999999999999</v>
      </c>
      <c r="AZ78" s="270">
        <v>0.45729999999999998</v>
      </c>
      <c r="BA78" s="270">
        <v>0.96009999999999995</v>
      </c>
      <c r="BB78" s="270"/>
      <c r="BC78" s="439">
        <v>4.4080000000000004</v>
      </c>
      <c r="BD78" s="439">
        <v>16.6374</v>
      </c>
      <c r="BE78" s="439">
        <v>25.991299999999999</v>
      </c>
      <c r="BF78" s="439">
        <v>6.1479999999999997</v>
      </c>
      <c r="BG78" s="439">
        <v>0.43859999999999999</v>
      </c>
      <c r="BH78" s="439">
        <v>2.3679999999999999</v>
      </c>
      <c r="BI78" s="439">
        <v>8.734</v>
      </c>
      <c r="BJ78" s="439">
        <v>7.2019000000000002</v>
      </c>
      <c r="BK78" s="439">
        <v>28.228100000000001</v>
      </c>
      <c r="BL78" s="439">
        <v>9.8409999999999993</v>
      </c>
      <c r="BM78" s="439">
        <v>1.4219999999999999</v>
      </c>
      <c r="BN78" s="439">
        <v>5.2598000000000003</v>
      </c>
      <c r="BO78" s="263"/>
      <c r="BP78" s="439">
        <v>16.097999999999999</v>
      </c>
      <c r="BQ78" s="439">
        <v>1.7228000000000001</v>
      </c>
      <c r="BR78" s="439">
        <v>3.7132000000000001</v>
      </c>
      <c r="BS78" s="447" t="s">
        <v>1573</v>
      </c>
      <c r="BT78" s="438"/>
      <c r="BU78" s="438"/>
      <c r="BV78" s="438">
        <v>6.157</v>
      </c>
      <c r="BW78" s="438">
        <v>0.49840000000000001</v>
      </c>
      <c r="BX78" s="438">
        <v>2.6549</v>
      </c>
      <c r="BY78" s="438">
        <v>8.7370000000000001</v>
      </c>
      <c r="BZ78" s="438">
        <v>10.7257</v>
      </c>
      <c r="CA78" s="438">
        <v>46.858499999999999</v>
      </c>
      <c r="CB78" s="438">
        <v>9.8409999999999993</v>
      </c>
      <c r="CC78" s="438">
        <v>1.5165999999999999</v>
      </c>
      <c r="CD78" s="438">
        <v>5.6050000000000004</v>
      </c>
      <c r="CE78" s="438"/>
      <c r="CF78" s="438">
        <v>16.106999999999999</v>
      </c>
      <c r="CG78" s="438">
        <v>7.0000000000000007E-2</v>
      </c>
      <c r="CH78" s="438">
        <v>0.15179999999999999</v>
      </c>
      <c r="CI78" s="245" t="s">
        <v>1575</v>
      </c>
      <c r="CJ78" s="1"/>
      <c r="CK78" s="1"/>
      <c r="CL78" s="1" t="s">
        <v>1576</v>
      </c>
      <c r="CM78" s="1"/>
      <c r="CN78" s="1"/>
      <c r="CO78" s="1">
        <v>8.7449999999999992</v>
      </c>
      <c r="CP78" s="1">
        <v>36.025300000000001</v>
      </c>
      <c r="CQ78" s="1">
        <v>154.57650000000001</v>
      </c>
      <c r="CR78" s="1">
        <v>9.8409999999999993</v>
      </c>
      <c r="CS78" s="1">
        <v>1.6587000000000001</v>
      </c>
      <c r="CT78" s="1">
        <v>5.3171999999999997</v>
      </c>
      <c r="CU78" s="1"/>
      <c r="CV78" s="1">
        <v>16.108000000000001</v>
      </c>
      <c r="CW78" s="1">
        <v>0.54400000000000004</v>
      </c>
      <c r="CX78" s="1">
        <v>1.1511</v>
      </c>
      <c r="CY78" s="2" t="s">
        <v>1578</v>
      </c>
      <c r="CZ78" s="2"/>
      <c r="DA78" s="2"/>
      <c r="DB78" s="2">
        <v>6.1609999999999996</v>
      </c>
      <c r="DC78" s="2">
        <v>0.63449999999999995</v>
      </c>
      <c r="DD78" s="2">
        <v>2.4110999999999998</v>
      </c>
      <c r="DE78" s="2">
        <v>8.7349999999999994</v>
      </c>
      <c r="DF78" s="2">
        <v>20.786200000000001</v>
      </c>
      <c r="DG78" s="2">
        <v>90.638499999999993</v>
      </c>
      <c r="DH78" s="2">
        <v>9.8309999999999995</v>
      </c>
      <c r="DI78" s="2">
        <v>1.681</v>
      </c>
      <c r="DJ78" s="2">
        <v>5.1729000000000003</v>
      </c>
      <c r="DK78" s="2"/>
      <c r="DL78" s="2">
        <v>16.114999999999998</v>
      </c>
      <c r="DM78" s="2">
        <v>0.41909999999999997</v>
      </c>
      <c r="DN78" s="2">
        <v>0.88529999999999998</v>
      </c>
      <c r="DO78" s="266">
        <v>4.3780000000000001</v>
      </c>
      <c r="DP78" s="266">
        <v>17.5474</v>
      </c>
      <c r="DQ78" s="266">
        <v>35.270000000000003</v>
      </c>
      <c r="DR78" s="266">
        <v>6.1479999999999997</v>
      </c>
      <c r="DS78" s="266">
        <v>0.56720000000000004</v>
      </c>
      <c r="DT78" s="266">
        <v>2.5068999999999999</v>
      </c>
      <c r="DU78" s="266">
        <v>8.7309999999999999</v>
      </c>
      <c r="DV78" s="266">
        <v>18.0806</v>
      </c>
      <c r="DW78" s="266">
        <v>79.047600000000003</v>
      </c>
      <c r="DX78" s="266">
        <v>9.8309999999999995</v>
      </c>
      <c r="DY78" s="266">
        <v>1.9754</v>
      </c>
      <c r="DZ78" s="266">
        <v>5.4897999999999998</v>
      </c>
      <c r="EA78" s="266"/>
      <c r="EB78" s="266">
        <v>16.097999999999999</v>
      </c>
      <c r="EC78" s="266">
        <v>1.5744</v>
      </c>
      <c r="ED78" s="266">
        <v>3.3774000000000002</v>
      </c>
      <c r="EE78" s="4" t="s">
        <v>1573</v>
      </c>
      <c r="EF78" s="4"/>
      <c r="EG78" s="4"/>
      <c r="EH78" s="4">
        <v>6.1539999999999999</v>
      </c>
      <c r="EI78" s="4">
        <v>0.51719999999999999</v>
      </c>
      <c r="EJ78" s="4">
        <v>2.7238000000000002</v>
      </c>
      <c r="EK78" s="4">
        <v>8.7579999999999991</v>
      </c>
      <c r="EL78" s="4">
        <v>78.410700000000006</v>
      </c>
      <c r="EM78" s="4">
        <v>338.86450000000002</v>
      </c>
      <c r="EN78" s="4">
        <v>9.8379999999999992</v>
      </c>
      <c r="EO78" s="4">
        <v>1.1661999999999999</v>
      </c>
      <c r="EP78" s="4">
        <v>3.8481000000000001</v>
      </c>
      <c r="EQ78" s="4"/>
      <c r="ER78" s="4">
        <v>16.120999999999999</v>
      </c>
      <c r="ES78" s="4">
        <v>8.9599999999999999E-2</v>
      </c>
      <c r="ET78" s="4">
        <v>0.19270000000000001</v>
      </c>
      <c r="EU78" s="1">
        <v>4.4569999999999999</v>
      </c>
      <c r="EV78" s="1">
        <v>9.8978000000000002</v>
      </c>
      <c r="EW78" s="1">
        <v>13.229100000000001</v>
      </c>
      <c r="EX78" s="1">
        <v>6.1609999999999996</v>
      </c>
      <c r="EY78" s="1">
        <v>0.55730000000000002</v>
      </c>
      <c r="EZ78" s="1">
        <v>2.4581</v>
      </c>
      <c r="FA78" s="1">
        <v>8.7609999999999992</v>
      </c>
      <c r="FB78" s="1">
        <v>59.084000000000003</v>
      </c>
      <c r="FC78" s="1">
        <v>256.18920000000003</v>
      </c>
      <c r="FD78" s="1">
        <v>9.8439999999999994</v>
      </c>
      <c r="FE78" s="1">
        <v>2.2932000000000001</v>
      </c>
      <c r="FF78" s="1">
        <v>6.3593000000000002</v>
      </c>
      <c r="FG78" s="1"/>
      <c r="FH78" s="1">
        <v>16.126999999999999</v>
      </c>
      <c r="FI78" s="1">
        <v>0.57979999999999998</v>
      </c>
      <c r="FJ78" s="1">
        <v>1.2302999999999999</v>
      </c>
      <c r="FK78" s="2" t="s">
        <v>1572</v>
      </c>
      <c r="FL78" s="2"/>
      <c r="FM78" s="2"/>
      <c r="FN78" s="2">
        <v>6.1609999999999996</v>
      </c>
      <c r="FO78" s="2">
        <v>0.61980000000000002</v>
      </c>
      <c r="FP78" s="2">
        <v>2.6269999999999998</v>
      </c>
      <c r="FQ78" s="2">
        <v>8.7680000000000007</v>
      </c>
      <c r="FR78" s="2">
        <v>74.442700000000002</v>
      </c>
      <c r="FS78" s="2">
        <v>320.68009999999998</v>
      </c>
      <c r="FT78" s="2">
        <v>9.8450000000000006</v>
      </c>
      <c r="FU78" s="2">
        <v>2.3001999999999998</v>
      </c>
      <c r="FV78" s="2">
        <v>5.6723999999999997</v>
      </c>
      <c r="FW78" s="2"/>
      <c r="FX78" s="2">
        <v>16.135000000000002</v>
      </c>
      <c r="FY78" s="2">
        <v>0.56910000000000005</v>
      </c>
      <c r="FZ78" s="2">
        <v>1.2089000000000001</v>
      </c>
      <c r="GA78" s="3" t="s">
        <v>1572</v>
      </c>
      <c r="GB78" s="3"/>
      <c r="GC78" s="3"/>
      <c r="GD78" s="3">
        <v>6.1539999999999999</v>
      </c>
      <c r="GE78" s="3">
        <v>0.96560000000000001</v>
      </c>
      <c r="GF78" s="3">
        <v>1.5242</v>
      </c>
      <c r="GG78" s="3">
        <v>8.7680000000000007</v>
      </c>
      <c r="GH78" s="3">
        <v>72.651799999999994</v>
      </c>
      <c r="GI78" s="3">
        <v>313.17410000000001</v>
      </c>
      <c r="GJ78" s="3">
        <v>9.8409999999999993</v>
      </c>
      <c r="GK78" s="3">
        <v>0.4254</v>
      </c>
      <c r="GL78" s="3">
        <v>1.1734</v>
      </c>
      <c r="GM78" s="3"/>
      <c r="GN78" s="3">
        <v>16.128</v>
      </c>
      <c r="GO78" s="3">
        <v>0.58199999999999996</v>
      </c>
      <c r="GP78" s="3">
        <v>1.2413000000000001</v>
      </c>
      <c r="GQ78" s="380"/>
      <c r="GR78" s="380"/>
      <c r="GS78" s="380"/>
      <c r="GT78" s="380"/>
      <c r="GU78" s="380"/>
      <c r="GV78" s="380"/>
      <c r="GW78" s="380"/>
      <c r="GX78" s="380"/>
      <c r="GY78" s="380"/>
      <c r="GZ78" s="380"/>
      <c r="HA78" s="380"/>
      <c r="HB78" s="380"/>
      <c r="HC78" s="380"/>
      <c r="HD78" s="380"/>
      <c r="HE78" s="380"/>
      <c r="HF78" s="380"/>
    </row>
    <row r="79" spans="1:214">
      <c r="B79">
        <v>14</v>
      </c>
      <c r="C79">
        <f t="shared" si="93"/>
        <v>140</v>
      </c>
      <c r="D79" s="438">
        <v>4.4009999999999998</v>
      </c>
      <c r="E79" s="438">
        <v>0.44790000000000002</v>
      </c>
      <c r="F79" s="438">
        <v>1.0163</v>
      </c>
      <c r="G79" s="438">
        <v>6.1639999999999997</v>
      </c>
      <c r="H79" s="438">
        <v>0.63919999999999999</v>
      </c>
      <c r="I79" s="438">
        <v>2.8820000000000001</v>
      </c>
      <c r="J79" s="438">
        <v>8.7710000000000008</v>
      </c>
      <c r="K79" s="438">
        <v>31.8688</v>
      </c>
      <c r="L79" s="438">
        <v>139.1729</v>
      </c>
      <c r="M79" s="438">
        <v>9.8740000000000006</v>
      </c>
      <c r="N79" s="438">
        <v>0.91320000000000001</v>
      </c>
      <c r="O79" s="438">
        <v>3.1518000000000002</v>
      </c>
      <c r="P79" s="23"/>
      <c r="Q79" s="438">
        <v>16.198</v>
      </c>
      <c r="R79" s="438">
        <v>5.7700000000000001E-2</v>
      </c>
      <c r="S79" s="438">
        <v>0.12</v>
      </c>
      <c r="T79" s="445"/>
      <c r="W79" s="6">
        <v>6.1639999999999997</v>
      </c>
      <c r="X79" s="6">
        <v>0.49059999999999998</v>
      </c>
      <c r="Y79" s="6">
        <v>2.1817000000000002</v>
      </c>
      <c r="Z79" s="442">
        <v>8.7710000000000008</v>
      </c>
      <c r="AA79" s="442">
        <v>27.591000000000001</v>
      </c>
      <c r="AB79" s="442">
        <v>118.4439</v>
      </c>
      <c r="AC79" s="193">
        <v>9.8780000000000001</v>
      </c>
      <c r="AD79" s="193">
        <v>1.7050000000000001</v>
      </c>
      <c r="AE79" s="193">
        <v>5.1307</v>
      </c>
      <c r="AF79" s="6">
        <v>16.190999999999999</v>
      </c>
      <c r="AG79" s="6">
        <v>0.80379999999999996</v>
      </c>
      <c r="AH79" s="6">
        <v>1.6899</v>
      </c>
      <c r="AI79" s="269"/>
      <c r="AJ79" s="442" t="s">
        <v>182</v>
      </c>
      <c r="AK79" s="442" t="s">
        <v>182</v>
      </c>
      <c r="AL79" s="442" t="s">
        <v>182</v>
      </c>
      <c r="AM79" s="446" t="s">
        <v>1572</v>
      </c>
      <c r="AP79" s="270">
        <v>6.1609999999999996</v>
      </c>
      <c r="AQ79" s="270">
        <v>0.51900000000000002</v>
      </c>
      <c r="AR79" s="270">
        <v>2.4076</v>
      </c>
      <c r="AS79" s="443">
        <v>8.7750000000000004</v>
      </c>
      <c r="AT79" s="443">
        <v>35.560099999999998</v>
      </c>
      <c r="AU79" s="443">
        <v>153.23929999999999</v>
      </c>
      <c r="AV79" s="270">
        <v>9.875</v>
      </c>
      <c r="AW79" s="270">
        <v>1.7294</v>
      </c>
      <c r="AX79" s="270">
        <v>4.6425000000000001</v>
      </c>
      <c r="AY79" s="270">
        <v>16.190999999999999</v>
      </c>
      <c r="AZ79" s="270">
        <v>0.45419999999999999</v>
      </c>
      <c r="BA79" s="270">
        <v>0.95499999999999996</v>
      </c>
      <c r="BB79" s="270"/>
      <c r="BC79" s="439">
        <v>4.4009999999999998</v>
      </c>
      <c r="BD79" s="439">
        <v>15.261200000000001</v>
      </c>
      <c r="BE79" s="439">
        <v>23.705500000000001</v>
      </c>
      <c r="BF79" s="439">
        <v>6.1479999999999997</v>
      </c>
      <c r="BG79" s="439">
        <v>0.43759999999999999</v>
      </c>
      <c r="BH79" s="439">
        <v>2.3805999999999998</v>
      </c>
      <c r="BI79" s="439">
        <v>8.7309999999999999</v>
      </c>
      <c r="BJ79" s="439">
        <v>3.6558000000000002</v>
      </c>
      <c r="BK79" s="439">
        <v>14.610300000000001</v>
      </c>
      <c r="BL79" s="439">
        <v>9.8379999999999992</v>
      </c>
      <c r="BM79" s="439">
        <v>2.0118999999999998</v>
      </c>
      <c r="BN79" s="439">
        <v>5.5105000000000004</v>
      </c>
      <c r="BO79" s="263"/>
      <c r="BP79" s="439">
        <v>16.094999999999999</v>
      </c>
      <c r="BQ79" s="439">
        <v>1.5432999999999999</v>
      </c>
      <c r="BR79" s="439">
        <v>3.3302</v>
      </c>
      <c r="BS79" s="447" t="s">
        <v>1573</v>
      </c>
      <c r="BT79" s="438"/>
      <c r="BU79" s="438"/>
      <c r="BV79" s="438">
        <v>6.1580000000000004</v>
      </c>
      <c r="BW79" s="438">
        <v>0.49419999999999997</v>
      </c>
      <c r="BX79" s="438">
        <v>2.6366999999999998</v>
      </c>
      <c r="BY79" s="438">
        <v>8.7379999999999995</v>
      </c>
      <c r="BZ79" s="438">
        <v>5.6205999999999996</v>
      </c>
      <c r="CA79" s="438">
        <v>24.287400000000002</v>
      </c>
      <c r="CB79" s="438">
        <v>9.8450000000000006</v>
      </c>
      <c r="CC79" s="438">
        <v>1.5187999999999999</v>
      </c>
      <c r="CD79" s="438">
        <v>5.5793999999999997</v>
      </c>
      <c r="CE79" s="438"/>
      <c r="CF79" s="438">
        <v>16.108000000000001</v>
      </c>
      <c r="CG79" s="438">
        <v>6.6900000000000001E-2</v>
      </c>
      <c r="CH79" s="438">
        <v>0.1409</v>
      </c>
      <c r="CI79" s="245" t="s">
        <v>1575</v>
      </c>
      <c r="CJ79" s="1"/>
      <c r="CK79" s="1"/>
      <c r="CL79" s="1" t="s">
        <v>1576</v>
      </c>
      <c r="CM79" s="1"/>
      <c r="CN79" s="1"/>
      <c r="CO79" s="1">
        <v>8.7409999999999997</v>
      </c>
      <c r="CP79" s="1">
        <v>21.635000000000002</v>
      </c>
      <c r="CQ79" s="1">
        <v>93.197999999999993</v>
      </c>
      <c r="CR79" s="1">
        <v>9.8409999999999993</v>
      </c>
      <c r="CS79" s="1">
        <v>2.2299000000000002</v>
      </c>
      <c r="CT79" s="1">
        <v>5.7618</v>
      </c>
      <c r="CU79" s="1"/>
      <c r="CV79" s="1">
        <v>16.111000000000001</v>
      </c>
      <c r="CW79" s="1">
        <v>0.52390000000000003</v>
      </c>
      <c r="CX79" s="1">
        <v>1.1155999999999999</v>
      </c>
      <c r="CY79" s="2" t="s">
        <v>1578</v>
      </c>
      <c r="CZ79" s="2"/>
      <c r="DA79" s="2"/>
      <c r="DB79" s="2">
        <v>6.1550000000000002</v>
      </c>
      <c r="DC79" s="2">
        <v>0.56999999999999995</v>
      </c>
      <c r="DD79" s="2">
        <v>2.1526999999999998</v>
      </c>
      <c r="DE79" s="2">
        <v>8.7349999999999994</v>
      </c>
      <c r="DF79" s="2">
        <v>18.046199999999999</v>
      </c>
      <c r="DG79" s="2">
        <v>78.653800000000004</v>
      </c>
      <c r="DH79" s="2">
        <v>9.8309999999999995</v>
      </c>
      <c r="DI79" s="2">
        <v>1.7337</v>
      </c>
      <c r="DJ79" s="2">
        <v>5.21</v>
      </c>
      <c r="DK79" s="2"/>
      <c r="DL79" s="2">
        <v>16.114999999999998</v>
      </c>
      <c r="DM79" s="2">
        <v>0.41339999999999999</v>
      </c>
      <c r="DN79" s="2">
        <v>0.8609</v>
      </c>
      <c r="DO79" s="266">
        <v>4.3780000000000001</v>
      </c>
      <c r="DP79" s="266">
        <v>17.032299999999999</v>
      </c>
      <c r="DQ79" s="266">
        <v>34.424199999999999</v>
      </c>
      <c r="DR79" s="266">
        <v>6.1479999999999997</v>
      </c>
      <c r="DS79" s="266">
        <v>0.51890000000000003</v>
      </c>
      <c r="DT79" s="266">
        <v>2.3262999999999998</v>
      </c>
      <c r="DU79" s="266">
        <v>8.7309999999999999</v>
      </c>
      <c r="DV79" s="266">
        <v>10.9992</v>
      </c>
      <c r="DW79" s="266">
        <v>46.102600000000002</v>
      </c>
      <c r="DX79" s="266">
        <v>9.8350000000000009</v>
      </c>
      <c r="DY79" s="266">
        <v>1.3959999999999999</v>
      </c>
      <c r="DZ79" s="266">
        <v>5.1837</v>
      </c>
      <c r="EA79" s="266"/>
      <c r="EB79" s="266">
        <v>16.108000000000001</v>
      </c>
      <c r="EC79" s="266">
        <v>1.5118</v>
      </c>
      <c r="ED79" s="266">
        <v>3.2469999999999999</v>
      </c>
      <c r="EE79" s="4" t="s">
        <v>1573</v>
      </c>
      <c r="EF79" s="4"/>
      <c r="EG79" s="4"/>
      <c r="EH79" s="4">
        <v>6.1580000000000004</v>
      </c>
      <c r="EI79" s="4">
        <v>0.53269999999999995</v>
      </c>
      <c r="EJ79" s="4">
        <v>2.8001999999999998</v>
      </c>
      <c r="EK79" s="4">
        <v>8.7539999999999996</v>
      </c>
      <c r="EL79" s="4">
        <v>61.392499999999998</v>
      </c>
      <c r="EM79" s="4">
        <v>268.16289999999998</v>
      </c>
      <c r="EN79" s="4">
        <v>9.8379999999999992</v>
      </c>
      <c r="EO79" s="4">
        <v>1.1889000000000001</v>
      </c>
      <c r="EP79" s="4">
        <v>4.0465</v>
      </c>
      <c r="EQ79" s="4"/>
      <c r="ER79" s="4">
        <v>16.123999999999999</v>
      </c>
      <c r="ES79" s="4">
        <v>8.3400000000000002E-2</v>
      </c>
      <c r="ET79" s="4">
        <v>0.17760000000000001</v>
      </c>
      <c r="EU79" s="1">
        <v>4.4550000000000001</v>
      </c>
      <c r="EV79" s="1">
        <v>9.9873999999999992</v>
      </c>
      <c r="EW79" s="1">
        <v>13.451700000000001</v>
      </c>
      <c r="EX79" s="1">
        <v>6.1609999999999996</v>
      </c>
      <c r="EY79" s="1">
        <v>0.54300000000000004</v>
      </c>
      <c r="EZ79" s="1">
        <v>2.3995000000000002</v>
      </c>
      <c r="FA79" s="1">
        <v>8.7579999999999991</v>
      </c>
      <c r="FB79" s="1">
        <v>47.125999999999998</v>
      </c>
      <c r="FC79" s="1">
        <v>205.45429999999999</v>
      </c>
      <c r="FD79" s="1">
        <v>9.8450000000000006</v>
      </c>
      <c r="FE79" s="1">
        <v>2.0994000000000002</v>
      </c>
      <c r="FF79" s="1">
        <v>5.9048999999999996</v>
      </c>
      <c r="FG79" s="1"/>
      <c r="FH79" s="1">
        <v>16.125</v>
      </c>
      <c r="FI79" s="1">
        <v>0.58850000000000002</v>
      </c>
      <c r="FJ79" s="1">
        <v>1.244</v>
      </c>
      <c r="FK79" s="2" t="s">
        <v>1572</v>
      </c>
      <c r="FL79" s="2"/>
      <c r="FM79" s="2"/>
      <c r="FN79" s="2">
        <v>6.1609999999999996</v>
      </c>
      <c r="FO79" s="2">
        <v>0.70850000000000002</v>
      </c>
      <c r="FP79" s="2">
        <v>3.0661</v>
      </c>
      <c r="FQ79" s="2">
        <v>8.7609999999999992</v>
      </c>
      <c r="FR79" s="2">
        <v>62.563899999999997</v>
      </c>
      <c r="FS79" s="2">
        <v>271.89699999999999</v>
      </c>
      <c r="FT79" s="2">
        <v>9.8409999999999993</v>
      </c>
      <c r="FU79" s="2">
        <v>2.2134</v>
      </c>
      <c r="FV79" s="2">
        <v>6.6608999999999998</v>
      </c>
      <c r="FW79" s="2"/>
      <c r="FX79" s="2">
        <v>16.134</v>
      </c>
      <c r="FY79" s="2">
        <v>0.57799999999999996</v>
      </c>
      <c r="FZ79" s="2">
        <v>1.2304999999999999</v>
      </c>
      <c r="GA79" s="3" t="s">
        <v>1572</v>
      </c>
      <c r="GB79" s="3"/>
      <c r="GC79" s="3"/>
      <c r="GD79" s="3">
        <v>6.1509999999999998</v>
      </c>
      <c r="GE79" s="3">
        <v>0.91920000000000002</v>
      </c>
      <c r="GF79" s="3">
        <v>0.32650000000000001</v>
      </c>
      <c r="GG79" s="3">
        <v>8.7609999999999992</v>
      </c>
      <c r="GH79" s="3">
        <v>49.614400000000003</v>
      </c>
      <c r="GI79" s="3">
        <v>216.7594</v>
      </c>
      <c r="GJ79" s="3">
        <v>9.8450000000000006</v>
      </c>
      <c r="GK79" s="3">
        <v>0.27939999999999998</v>
      </c>
      <c r="GL79" s="3">
        <v>0.91779999999999995</v>
      </c>
      <c r="GM79" s="3"/>
      <c r="GN79" s="3">
        <v>16.128</v>
      </c>
      <c r="GO79" s="3">
        <v>0.57099999999999995</v>
      </c>
      <c r="GP79" s="3">
        <v>1.2211000000000001</v>
      </c>
      <c r="GQ79" s="380"/>
      <c r="GR79" s="380"/>
      <c r="GS79" s="380"/>
      <c r="GT79" s="380"/>
      <c r="GU79" s="380"/>
      <c r="GV79" s="380"/>
      <c r="GW79" s="380"/>
      <c r="GX79" s="380"/>
      <c r="GY79" s="380"/>
      <c r="GZ79" s="380"/>
      <c r="HA79" s="380"/>
      <c r="HB79" s="380"/>
      <c r="HC79" s="380"/>
      <c r="HD79" s="380"/>
      <c r="HE79" s="380"/>
      <c r="HF79" s="380"/>
    </row>
    <row r="80" spans="1:214">
      <c r="B80">
        <v>15</v>
      </c>
      <c r="C80">
        <f t="shared" si="93"/>
        <v>150</v>
      </c>
      <c r="D80" s="438">
        <v>4.4050000000000002</v>
      </c>
      <c r="E80" s="438">
        <v>0.35639999999999999</v>
      </c>
      <c r="F80" s="438">
        <v>0.71309999999999996</v>
      </c>
      <c r="G80" s="438">
        <v>6.165</v>
      </c>
      <c r="H80" s="438">
        <v>0.62109999999999999</v>
      </c>
      <c r="I80" s="438">
        <v>2.8435000000000001</v>
      </c>
      <c r="J80" s="438">
        <v>8.7780000000000005</v>
      </c>
      <c r="K80" s="438">
        <v>36.4938</v>
      </c>
      <c r="L80" s="438">
        <v>158.95490000000001</v>
      </c>
      <c r="M80" s="438">
        <v>9.8810000000000002</v>
      </c>
      <c r="N80" s="438">
        <v>0.98609999999999998</v>
      </c>
      <c r="O80" s="438">
        <v>3.3723999999999998</v>
      </c>
      <c r="P80" s="23"/>
      <c r="Q80" s="438">
        <v>16.190999999999999</v>
      </c>
      <c r="R80" s="438">
        <v>4.2900000000000001E-2</v>
      </c>
      <c r="S80" s="438">
        <v>8.9499999999999996E-2</v>
      </c>
      <c r="T80" s="445"/>
      <c r="W80" s="6">
        <v>6.165</v>
      </c>
      <c r="X80" s="6">
        <v>0.4879</v>
      </c>
      <c r="Y80" s="6">
        <v>2.1920000000000002</v>
      </c>
      <c r="Z80" s="442">
        <v>8.7710000000000008</v>
      </c>
      <c r="AA80" s="442">
        <v>16.0914</v>
      </c>
      <c r="AB80" s="442">
        <v>68.793599999999998</v>
      </c>
      <c r="AC80" s="193">
        <v>9.8780000000000001</v>
      </c>
      <c r="AD80" s="193">
        <v>1.8732</v>
      </c>
      <c r="AE80" s="193">
        <v>5.1604000000000001</v>
      </c>
      <c r="AF80" s="6">
        <v>16.187999999999999</v>
      </c>
      <c r="AG80" s="6">
        <v>0.79330000000000001</v>
      </c>
      <c r="AH80" s="6">
        <v>1.6666000000000001</v>
      </c>
      <c r="AI80" s="269"/>
      <c r="AJ80" s="442" t="s">
        <v>182</v>
      </c>
      <c r="AK80" s="442" t="s">
        <v>182</v>
      </c>
      <c r="AL80" s="442" t="s">
        <v>182</v>
      </c>
      <c r="AM80" s="446" t="s">
        <v>1572</v>
      </c>
      <c r="AP80" s="270">
        <v>6.1639999999999997</v>
      </c>
      <c r="AQ80" s="270">
        <v>0.50829999999999997</v>
      </c>
      <c r="AR80" s="270">
        <v>2.3641000000000001</v>
      </c>
      <c r="AS80" s="443">
        <v>8.7739999999999991</v>
      </c>
      <c r="AT80" s="443">
        <v>29.1297</v>
      </c>
      <c r="AU80" s="443">
        <v>125.86360000000001</v>
      </c>
      <c r="AV80" s="270">
        <v>9.8770000000000007</v>
      </c>
      <c r="AW80" s="270">
        <v>1.4804999999999999</v>
      </c>
      <c r="AX80" s="270">
        <v>4.6203000000000003</v>
      </c>
      <c r="AY80" s="270">
        <v>16.193999999999999</v>
      </c>
      <c r="AZ80" s="270">
        <v>0.45290000000000002</v>
      </c>
      <c r="BA80" s="270">
        <v>0.9526</v>
      </c>
      <c r="BB80" s="270"/>
      <c r="BC80" s="439">
        <v>4.4009999999999998</v>
      </c>
      <c r="BD80" s="439">
        <v>14.3064</v>
      </c>
      <c r="BE80" s="439">
        <v>22.216699999999999</v>
      </c>
      <c r="BF80" s="439">
        <v>6.1509999999999998</v>
      </c>
      <c r="BG80" s="439">
        <v>0.43740000000000001</v>
      </c>
      <c r="BH80" s="439">
        <v>2.3872</v>
      </c>
      <c r="BI80" s="439">
        <v>8.734</v>
      </c>
      <c r="BJ80" s="439">
        <v>2.2871999999999999</v>
      </c>
      <c r="BK80" s="439">
        <v>8.6862999999999992</v>
      </c>
      <c r="BL80" s="439">
        <v>9.8409999999999993</v>
      </c>
      <c r="BM80" s="439">
        <v>1.9328000000000001</v>
      </c>
      <c r="BN80" s="439">
        <v>5.4946999999999999</v>
      </c>
      <c r="BO80" s="263"/>
      <c r="BP80" s="439">
        <v>16.097999999999999</v>
      </c>
      <c r="BQ80" s="439">
        <v>1.4376</v>
      </c>
      <c r="BR80" s="439">
        <v>3.1044</v>
      </c>
      <c r="BS80" s="447" t="s">
        <v>1573</v>
      </c>
      <c r="BT80" s="438"/>
      <c r="BU80" s="438"/>
      <c r="BV80" s="438">
        <v>6.1580000000000004</v>
      </c>
      <c r="BW80" s="438">
        <v>0.48149999999999998</v>
      </c>
      <c r="BX80" s="438">
        <v>2.5836999999999999</v>
      </c>
      <c r="BY80" s="438">
        <v>8.7379999999999995</v>
      </c>
      <c r="BZ80" s="438">
        <v>2.7292000000000001</v>
      </c>
      <c r="CA80" s="438">
        <v>11.62</v>
      </c>
      <c r="CB80" s="438">
        <v>9.8439999999999994</v>
      </c>
      <c r="CC80" s="438">
        <v>1.4976</v>
      </c>
      <c r="CD80" s="438">
        <v>5.4837999999999996</v>
      </c>
      <c r="CE80" s="438"/>
      <c r="CF80" s="438">
        <v>16.103999999999999</v>
      </c>
      <c r="CG80" s="438">
        <v>6.1199999999999997E-2</v>
      </c>
      <c r="CH80" s="438">
        <v>0.13250000000000001</v>
      </c>
      <c r="CI80" s="245" t="s">
        <v>1575</v>
      </c>
      <c r="CJ80" s="1"/>
      <c r="CK80" s="1"/>
      <c r="CL80" s="1" t="s">
        <v>1576</v>
      </c>
      <c r="CM80" s="1"/>
      <c r="CN80" s="1"/>
      <c r="CO80" s="1">
        <v>8.7370000000000001</v>
      </c>
      <c r="CP80" s="1">
        <v>11.807499999999999</v>
      </c>
      <c r="CQ80" s="1">
        <v>51.217700000000001</v>
      </c>
      <c r="CR80" s="1">
        <v>9.8369999999999997</v>
      </c>
      <c r="CS80" s="1">
        <v>1.6992</v>
      </c>
      <c r="CT80" s="1">
        <v>6.2377000000000002</v>
      </c>
      <c r="CU80" s="1"/>
      <c r="CV80" s="1">
        <v>16.103999999999999</v>
      </c>
      <c r="CW80" s="1">
        <v>0.51749999999999996</v>
      </c>
      <c r="CX80" s="1">
        <v>1.0962000000000001</v>
      </c>
      <c r="CY80" s="2" t="s">
        <v>1578</v>
      </c>
      <c r="CZ80" s="2"/>
      <c r="DA80" s="2"/>
      <c r="DB80" s="2">
        <v>6.1580000000000004</v>
      </c>
      <c r="DC80" s="2">
        <v>0.56559999999999999</v>
      </c>
      <c r="DD80" s="2">
        <v>2.1315</v>
      </c>
      <c r="DE80" s="2">
        <v>8.734</v>
      </c>
      <c r="DF80" s="2">
        <v>15.4472</v>
      </c>
      <c r="DG80" s="2">
        <v>67.186400000000006</v>
      </c>
      <c r="DH80" s="2">
        <v>9.8339999999999996</v>
      </c>
      <c r="DI80" s="2">
        <v>1.7730999999999999</v>
      </c>
      <c r="DJ80" s="2">
        <v>5.2405999999999997</v>
      </c>
      <c r="DK80" s="2"/>
      <c r="DL80" s="2">
        <v>16.117999999999999</v>
      </c>
      <c r="DM80" s="2">
        <v>0.4108</v>
      </c>
      <c r="DN80" s="2">
        <v>0.86429999999999996</v>
      </c>
      <c r="DO80" s="266">
        <v>4.375</v>
      </c>
      <c r="DP80" s="266">
        <v>16.728000000000002</v>
      </c>
      <c r="DQ80" s="266">
        <v>33.753999999999998</v>
      </c>
      <c r="DR80" s="266">
        <v>6.1449999999999996</v>
      </c>
      <c r="DS80" s="266">
        <v>0.51480000000000004</v>
      </c>
      <c r="DT80" s="266">
        <v>2.3389000000000002</v>
      </c>
      <c r="DU80" s="266">
        <v>8.7279999999999998</v>
      </c>
      <c r="DV80" s="266">
        <v>7.6219999999999999</v>
      </c>
      <c r="DW80" s="266">
        <v>30.179400000000001</v>
      </c>
      <c r="DX80" s="266">
        <v>9.8309999999999995</v>
      </c>
      <c r="DY80" s="266">
        <v>1.409</v>
      </c>
      <c r="DZ80" s="266">
        <v>5.2286999999999999</v>
      </c>
      <c r="EA80" s="266"/>
      <c r="EB80" s="266">
        <v>16.105</v>
      </c>
      <c r="EC80" s="266">
        <v>1.4996</v>
      </c>
      <c r="ED80" s="266">
        <v>3.2241</v>
      </c>
      <c r="EE80" s="4" t="s">
        <v>1573</v>
      </c>
      <c r="EF80" s="4"/>
      <c r="EG80" s="4"/>
      <c r="EH80" s="4">
        <v>6.1580000000000004</v>
      </c>
      <c r="EI80" s="4">
        <v>0.54900000000000004</v>
      </c>
      <c r="EJ80" s="4">
        <v>2.9003000000000001</v>
      </c>
      <c r="EK80" s="4">
        <v>8.7479999999999993</v>
      </c>
      <c r="EL80" s="4">
        <v>43.824300000000001</v>
      </c>
      <c r="EM80" s="4">
        <v>193.74709999999999</v>
      </c>
      <c r="EN80" s="4">
        <v>9.8409999999999993</v>
      </c>
      <c r="EO80" s="4">
        <v>1.2296</v>
      </c>
      <c r="EP80" s="4">
        <v>4.3190999999999997</v>
      </c>
      <c r="EQ80" s="4"/>
      <c r="ER80" s="4">
        <v>16.128</v>
      </c>
      <c r="ES80" s="4">
        <v>8.4099999999999994E-2</v>
      </c>
      <c r="ET80" s="4">
        <v>0.1767</v>
      </c>
      <c r="EU80" s="1">
        <v>4.4539999999999997</v>
      </c>
      <c r="EV80" s="1">
        <v>10.094900000000001</v>
      </c>
      <c r="EW80" s="1">
        <v>13.682399999999999</v>
      </c>
      <c r="EX80" s="1">
        <v>6.1609999999999996</v>
      </c>
      <c r="EY80" s="1">
        <v>0.51680000000000004</v>
      </c>
      <c r="EZ80" s="1">
        <v>2.2818999999999998</v>
      </c>
      <c r="FA80" s="1">
        <v>8.7539999999999996</v>
      </c>
      <c r="FB80" s="1">
        <v>35.790799999999997</v>
      </c>
      <c r="FC80" s="1">
        <v>156.97380000000001</v>
      </c>
      <c r="FD80" s="1">
        <v>9.8439999999999994</v>
      </c>
      <c r="FE80" s="1">
        <v>2.2526999999999999</v>
      </c>
      <c r="FF80" s="1">
        <v>5.5682</v>
      </c>
      <c r="FG80" s="1"/>
      <c r="FH80" s="1">
        <v>16.123999999999999</v>
      </c>
      <c r="FI80" s="1">
        <v>0.57030000000000003</v>
      </c>
      <c r="FJ80" s="1">
        <v>1.2175</v>
      </c>
      <c r="FK80" s="2" t="s">
        <v>1572</v>
      </c>
      <c r="FL80" s="2"/>
      <c r="FM80" s="2"/>
      <c r="FN80" s="2">
        <v>6.165</v>
      </c>
      <c r="FO80" s="2">
        <v>0.57930000000000004</v>
      </c>
      <c r="FP80" s="2">
        <v>2.4077000000000002</v>
      </c>
      <c r="FQ80" s="2">
        <v>8.7609999999999992</v>
      </c>
      <c r="FR80" s="2">
        <v>54.183300000000003</v>
      </c>
      <c r="FS80" s="2">
        <v>236.7159</v>
      </c>
      <c r="FT80" s="2">
        <v>9.8450000000000006</v>
      </c>
      <c r="FU80" s="2">
        <v>2.1545000000000001</v>
      </c>
      <c r="FV80" s="2">
        <v>5.9474</v>
      </c>
      <c r="FW80" s="2"/>
      <c r="FX80" s="2">
        <v>16.135000000000002</v>
      </c>
      <c r="FY80" s="2">
        <v>0.52849999999999997</v>
      </c>
      <c r="FZ80" s="2">
        <v>1.1256999999999999</v>
      </c>
      <c r="GA80" s="3" t="s">
        <v>1572</v>
      </c>
      <c r="GB80" s="3"/>
      <c r="GC80" s="3"/>
      <c r="GD80" s="3">
        <v>6.1479999999999997</v>
      </c>
      <c r="GE80" s="3">
        <v>0.86370000000000002</v>
      </c>
      <c r="GF80" s="3">
        <v>1.1114999999999999</v>
      </c>
      <c r="GG80" s="3">
        <v>8.7539999999999996</v>
      </c>
      <c r="GH80" s="3">
        <v>34.631599999999999</v>
      </c>
      <c r="GI80" s="3">
        <v>152.87219999999999</v>
      </c>
      <c r="GJ80" s="3">
        <v>9.8439999999999994</v>
      </c>
      <c r="GK80" s="3">
        <v>0.21790000000000001</v>
      </c>
      <c r="GL80" s="3">
        <v>0.71970000000000001</v>
      </c>
      <c r="GM80" s="3"/>
      <c r="GN80" s="3">
        <v>16.128</v>
      </c>
      <c r="GO80" s="3">
        <v>0.53400000000000003</v>
      </c>
      <c r="GP80" s="3">
        <v>1.1442000000000001</v>
      </c>
      <c r="GQ80" s="380"/>
      <c r="GR80" s="380"/>
      <c r="GS80" s="380"/>
      <c r="GT80" s="380"/>
      <c r="GU80" s="380"/>
      <c r="GV80" s="380"/>
      <c r="GW80" s="380"/>
      <c r="GX80" s="380"/>
      <c r="GY80" s="380"/>
      <c r="GZ80" s="380"/>
      <c r="HA80" s="380"/>
      <c r="HB80" s="380"/>
      <c r="HC80" s="380"/>
      <c r="HD80" s="380"/>
      <c r="HE80" s="380"/>
      <c r="HF80" s="380"/>
    </row>
  </sheetData>
  <mergeCells count="26">
    <mergeCell ref="FH63:FW63"/>
    <mergeCell ref="FX63:GM63"/>
    <mergeCell ref="GN63:HC63"/>
    <mergeCell ref="CF63:CU63"/>
    <mergeCell ref="CV63:DK63"/>
    <mergeCell ref="DL63:EA63"/>
    <mergeCell ref="EB63:EQ63"/>
    <mergeCell ref="ER63:FG63"/>
    <mergeCell ref="D63:S63"/>
    <mergeCell ref="T63:AI63"/>
    <mergeCell ref="AJ63:AY63"/>
    <mergeCell ref="AZ63:BO63"/>
    <mergeCell ref="BP63:CE63"/>
    <mergeCell ref="CV1:DK1"/>
    <mergeCell ref="DL1:EA1"/>
    <mergeCell ref="EB1:EQ1"/>
    <mergeCell ref="D1:S1"/>
    <mergeCell ref="T1:AI1"/>
    <mergeCell ref="AJ1:AY1"/>
    <mergeCell ref="AZ1:BO1"/>
    <mergeCell ref="BP1:CE1"/>
    <mergeCell ref="T32:AI32"/>
    <mergeCell ref="AJ32:AY32"/>
    <mergeCell ref="D32:S32"/>
    <mergeCell ref="AZ32:BO32"/>
    <mergeCell ref="CF1:CU1"/>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008EB-2159-1545-BFB5-6363BD8C90BC}">
  <dimension ref="A1:AV57"/>
  <sheetViews>
    <sheetView zoomScale="92" workbookViewId="0">
      <selection activeCell="AE2" sqref="AE2"/>
    </sheetView>
  </sheetViews>
  <sheetFormatPr defaultColWidth="10.6640625" defaultRowHeight="15.5"/>
  <cols>
    <col min="14" max="14" width="11.83203125" customWidth="1"/>
  </cols>
  <sheetData>
    <row r="1" spans="1:48">
      <c r="A1" t="s">
        <v>157</v>
      </c>
      <c r="B1" t="s">
        <v>158</v>
      </c>
      <c r="C1" t="s">
        <v>159</v>
      </c>
      <c r="D1" t="s">
        <v>5</v>
      </c>
      <c r="E1" t="s">
        <v>148</v>
      </c>
      <c r="F1" t="s">
        <v>149</v>
      </c>
      <c r="G1" t="s">
        <v>150</v>
      </c>
      <c r="H1" t="s">
        <v>151</v>
      </c>
      <c r="I1" t="s">
        <v>152</v>
      </c>
      <c r="J1" t="s">
        <v>153</v>
      </c>
      <c r="K1" t="s">
        <v>154</v>
      </c>
      <c r="L1" t="s">
        <v>155</v>
      </c>
      <c r="M1" t="s">
        <v>156</v>
      </c>
      <c r="N1" t="s">
        <v>261</v>
      </c>
      <c r="O1" t="s">
        <v>253</v>
      </c>
      <c r="P1" t="s">
        <v>262</v>
      </c>
      <c r="R1" t="s">
        <v>451</v>
      </c>
      <c r="T1" t="s">
        <v>452</v>
      </c>
      <c r="V1" t="s">
        <v>453</v>
      </c>
      <c r="X1" t="s">
        <v>454</v>
      </c>
      <c r="Z1" t="s">
        <v>455</v>
      </c>
      <c r="AB1" t="s">
        <v>881</v>
      </c>
      <c r="AE1" t="s">
        <v>1327</v>
      </c>
      <c r="AF1" t="s">
        <v>1328</v>
      </c>
      <c r="AG1" t="s">
        <v>1329</v>
      </c>
      <c r="AH1" t="s">
        <v>1330</v>
      </c>
      <c r="AI1" t="s">
        <v>1331</v>
      </c>
      <c r="AJ1" t="s">
        <v>1332</v>
      </c>
      <c r="AK1" t="s">
        <v>1333</v>
      </c>
      <c r="AL1" t="s">
        <v>1334</v>
      </c>
      <c r="AM1" t="s">
        <v>1335</v>
      </c>
      <c r="AT1" t="s">
        <v>1558</v>
      </c>
    </row>
    <row r="2" spans="1:48">
      <c r="A2" s="12">
        <f>62/60</f>
        <v>1.0333333333333334</v>
      </c>
      <c r="B2" s="12">
        <f>222/60</f>
        <v>3.7</v>
      </c>
      <c r="C2" s="12">
        <v>0.98333333333333328</v>
      </c>
      <c r="D2" s="12">
        <v>6.0004377325454143</v>
      </c>
      <c r="E2" s="12">
        <v>6.1062109384499408</v>
      </c>
      <c r="F2" s="12">
        <v>0.94739913912599394</v>
      </c>
      <c r="G2" s="12">
        <v>0.95998460966617227</v>
      </c>
      <c r="H2" s="12">
        <v>3.1522402820777429</v>
      </c>
      <c r="I2" s="12"/>
      <c r="J2" s="12">
        <v>1.5835893980893609</v>
      </c>
      <c r="K2" s="12">
        <f>'Set 3 IC'!CA3</f>
        <v>1.8517561460043368</v>
      </c>
      <c r="L2" s="12">
        <f>'Set 3 IC'!G3</f>
        <v>1.4644008025779778</v>
      </c>
      <c r="M2" s="12">
        <f>'Set 3 IC'!CE3</f>
        <v>2.9522356799728287</v>
      </c>
      <c r="N2" s="12">
        <f>'0 Set 2&amp;3'!C3</f>
        <v>1.75</v>
      </c>
      <c r="O2" s="12">
        <f>'0 Set 2&amp;3'!G3</f>
        <v>3.4565518460677134</v>
      </c>
      <c r="P2" s="12">
        <f>'0 Set 2&amp;3'!U3</f>
        <v>3.411762972566815</v>
      </c>
      <c r="R2">
        <v>1910</v>
      </c>
      <c r="S2">
        <v>1.1000000000000001</v>
      </c>
      <c r="T2">
        <v>1450</v>
      </c>
      <c r="U2">
        <v>2.5</v>
      </c>
      <c r="V2">
        <v>950</v>
      </c>
      <c r="W2">
        <v>1.1000000000000001</v>
      </c>
      <c r="X2">
        <v>550</v>
      </c>
      <c r="Y2">
        <v>3.1</v>
      </c>
      <c r="Z2">
        <v>940</v>
      </c>
      <c r="AA2">
        <v>1.2</v>
      </c>
      <c r="AB2">
        <v>1970</v>
      </c>
      <c r="AC2">
        <v>2.1</v>
      </c>
      <c r="AE2" s="12">
        <f>'Set 4 IC'!C3</f>
        <v>45.216666666666669</v>
      </c>
      <c r="AF2" s="12">
        <f>'Set 4 IC'!$G3</f>
        <v>0.40523809523809523</v>
      </c>
      <c r="AG2" s="12">
        <f>'Set 4 IC'!$BK3</f>
        <v>4.4341746031746032</v>
      </c>
      <c r="AH2" s="12">
        <f>'Set 4 IC'!$AW3</f>
        <v>4.4268253968253966</v>
      </c>
      <c r="AI2" s="12">
        <f>'Set 5 IC'!$G3</f>
        <v>0.25523809523809526</v>
      </c>
      <c r="AJ2" s="12">
        <f>'Set 5 IC'!$BK3</f>
        <v>4.4240000000000004</v>
      </c>
      <c r="AK2" s="12">
        <f>'Set 5 IC'!$AW3</f>
        <v>3.9842539682539684</v>
      </c>
      <c r="AL2" s="33">
        <v>10.57</v>
      </c>
      <c r="AM2" s="248">
        <v>4.13</v>
      </c>
      <c r="AU2" t="s">
        <v>1560</v>
      </c>
      <c r="AV2" t="s">
        <v>1561</v>
      </c>
    </row>
    <row r="3" spans="1:48">
      <c r="A3" s="12">
        <f>1562/60</f>
        <v>26.033333333333335</v>
      </c>
      <c r="B3" s="12">
        <f>1489/60</f>
        <v>24.816666666666666</v>
      </c>
      <c r="C3" s="12">
        <v>19.600000000000001</v>
      </c>
      <c r="D3" s="12">
        <v>2.8178303056832275</v>
      </c>
      <c r="E3" s="12">
        <v>3.3009289657352689</v>
      </c>
      <c r="F3" s="12">
        <v>0.51648792587728898</v>
      </c>
      <c r="G3" s="12">
        <v>0.68631583787502926</v>
      </c>
      <c r="H3" s="12">
        <v>4.4187881899354728</v>
      </c>
      <c r="I3" s="12">
        <v>0.34207108990426721</v>
      </c>
      <c r="J3" s="12">
        <v>0.26314028585618437</v>
      </c>
      <c r="K3" s="12">
        <f>'Set 3 IC'!CA4</f>
        <v>3.2786121075778767</v>
      </c>
      <c r="L3" s="12">
        <f>'Set 3 IC'!G4</f>
        <v>0.27026205387000668</v>
      </c>
      <c r="M3" s="12">
        <f>'Set 3 IC'!CE4</f>
        <v>1.1834483355756058</v>
      </c>
      <c r="N3" s="12">
        <f>'0 Set 2&amp;3'!C4</f>
        <v>21.616666666666667</v>
      </c>
      <c r="O3" s="12">
        <f>'0 Set 2&amp;3'!G4</f>
        <v>4.828770957951499</v>
      </c>
      <c r="P3" s="12">
        <f>'0 Set 2&amp;3'!U4</f>
        <v>4.2262132775436836</v>
      </c>
      <c r="R3">
        <v>1910</v>
      </c>
      <c r="S3">
        <v>1.5</v>
      </c>
      <c r="T3">
        <v>1450</v>
      </c>
      <c r="U3">
        <v>2.9</v>
      </c>
      <c r="V3">
        <v>950</v>
      </c>
      <c r="W3">
        <v>1.5</v>
      </c>
      <c r="X3">
        <v>550</v>
      </c>
      <c r="Y3">
        <v>3.5</v>
      </c>
      <c r="Z3">
        <v>940</v>
      </c>
      <c r="AA3">
        <v>1.6</v>
      </c>
      <c r="AB3">
        <v>1970</v>
      </c>
      <c r="AC3">
        <v>2.5</v>
      </c>
      <c r="AE3" s="12">
        <f>'Set 4 IC'!C4</f>
        <v>162.96666666666667</v>
      </c>
      <c r="AF3" s="12">
        <f>'Set 4 IC'!$G4</f>
        <v>0.56041269841269836</v>
      </c>
      <c r="AG3" s="12">
        <f>'Set 4 IC'!$BK4</f>
        <v>4.24252380952381</v>
      </c>
      <c r="AH3" s="12">
        <f>'Set 4 IC'!$AW4</f>
        <v>4.2628571428571425</v>
      </c>
      <c r="AI3" s="12">
        <f>'Set 5 IC'!$G4</f>
        <v>0.47961904761904767</v>
      </c>
      <c r="AJ3" s="12">
        <f>'Set 5 IC'!$BK4</f>
        <v>3.9750634920634922</v>
      </c>
      <c r="AK3" s="12">
        <f>'Set 5 IC'!$AW4</f>
        <v>4.0055555555555555</v>
      </c>
      <c r="AL3" s="33">
        <v>9.26</v>
      </c>
      <c r="AM3" s="248">
        <v>3.3</v>
      </c>
      <c r="AT3" t="s">
        <v>1427</v>
      </c>
      <c r="AU3">
        <v>0.34</v>
      </c>
      <c r="AV3">
        <v>-0.34</v>
      </c>
    </row>
    <row r="4" spans="1:48">
      <c r="A4" s="12">
        <f>2995/60</f>
        <v>49.916666666666664</v>
      </c>
      <c r="B4" s="12">
        <f>7211/60</f>
        <v>120.18333333333334</v>
      </c>
      <c r="C4" s="12">
        <v>90.816666666666663</v>
      </c>
      <c r="D4" s="12">
        <v>2.6734515211205956</v>
      </c>
      <c r="E4" s="12">
        <v>3.4404562145862214</v>
      </c>
      <c r="F4" s="12">
        <v>0</v>
      </c>
      <c r="G4" s="12">
        <v>0.52714978349117381</v>
      </c>
      <c r="H4" s="12">
        <v>3.7770160762641054</v>
      </c>
      <c r="I4" s="12">
        <v>0.38691752483918707</v>
      </c>
      <c r="J4" s="12">
        <v>0.11312416352214488</v>
      </c>
      <c r="K4" s="12">
        <f>'Set 3 IC'!CA5</f>
        <v>2.768944691027746</v>
      </c>
      <c r="L4" s="12">
        <f>'Set 3 IC'!G5</f>
        <v>0.19334833100261439</v>
      </c>
      <c r="M4" s="12">
        <f>'Set 3 IC'!CE5</f>
        <v>0.9052471128651769</v>
      </c>
      <c r="N4" s="12">
        <f>'0 Set 2&amp;3'!C5</f>
        <v>46.8</v>
      </c>
      <c r="O4" s="12">
        <f>'0 Set 2&amp;3'!G5</f>
        <v>3.5920464160522183</v>
      </c>
      <c r="P4" s="12">
        <f>'0 Set 2&amp;3'!U5</f>
        <v>3.1998670373504172</v>
      </c>
      <c r="AE4" s="12">
        <f>'Set 4 IC'!C5</f>
        <v>210.7</v>
      </c>
      <c r="AF4" s="12">
        <f>'Set 4 IC'!$G5</f>
        <v>0.74625806252507487</v>
      </c>
      <c r="AG4" s="12">
        <f>'Set 4 IC'!$BK5</f>
        <v>4.2696046662346081</v>
      </c>
      <c r="AH4" s="12">
        <f>'Set 4 IC'!$AW5</f>
        <v>4.3151251427336978</v>
      </c>
      <c r="AI4" s="12">
        <f>'Set 5 IC'!$G5</f>
        <v>0.63944696478721108</v>
      </c>
      <c r="AJ4" s="12">
        <f>'Set 5 IC'!$BK5</f>
        <v>3.8500756102829983</v>
      </c>
      <c r="AK4" s="12">
        <f>'Set 5 IC'!$AW5</f>
        <v>4.2081905996358362</v>
      </c>
      <c r="AL4" s="33">
        <v>9.61</v>
      </c>
      <c r="AM4" s="248">
        <v>3.95</v>
      </c>
      <c r="AT4" t="s">
        <v>1428</v>
      </c>
      <c r="AU4">
        <v>1.21</v>
      </c>
      <c r="AV4">
        <v>-1.21</v>
      </c>
    </row>
    <row r="5" spans="1:48">
      <c r="A5" s="12">
        <f>4470/60</f>
        <v>74.5</v>
      </c>
      <c r="B5" s="12">
        <f>8691/60</f>
        <v>144.85</v>
      </c>
      <c r="C5" s="12">
        <v>114.95</v>
      </c>
      <c r="D5" s="12">
        <v>2.9369665134602756</v>
      </c>
      <c r="E5" s="12">
        <v>3.2251039614795354</v>
      </c>
      <c r="F5" s="12">
        <v>0</v>
      </c>
      <c r="G5" s="12">
        <v>0.98243089127923355</v>
      </c>
      <c r="H5" s="12">
        <v>3.7731505249700521</v>
      </c>
      <c r="I5" s="12">
        <v>0.36378461631383446</v>
      </c>
      <c r="J5" s="12">
        <v>0.17836541077089213</v>
      </c>
      <c r="K5" s="12">
        <f>'Set 3 IC'!CA6</f>
        <v>2.797128290914884</v>
      </c>
      <c r="L5" s="12">
        <f>'Set 3 IC'!G6</f>
        <v>0.20283187955550247</v>
      </c>
      <c r="M5" s="12">
        <f>'Set 3 IC'!CE6</f>
        <v>0.45373777200198639</v>
      </c>
      <c r="N5" s="12">
        <f>'0 Set 2&amp;3'!C6</f>
        <v>166.5</v>
      </c>
      <c r="O5" s="12">
        <f>'0 Set 2&amp;3'!G6</f>
        <v>3.6924029977033728</v>
      </c>
      <c r="P5" s="12">
        <f>'0 Set 2&amp;3'!U6</f>
        <v>3.1740299770337241</v>
      </c>
      <c r="AE5" s="12">
        <f>'Set 4 IC'!C6</f>
        <v>330.61666666666667</v>
      </c>
      <c r="AF5" s="12">
        <f>'Set 4 IC'!$G6</f>
        <v>1.2266765422954664</v>
      </c>
      <c r="AG5" s="12">
        <f>'Set 4 IC'!$BK6</f>
        <v>4.7169397895256608</v>
      </c>
      <c r="AH5" s="12">
        <f>'Set 4 IC'!$AW6</f>
        <v>4.2579082183748413</v>
      </c>
      <c r="AI5" s="12">
        <f>'Set 5 IC'!$G6</f>
        <v>0.82149800944356999</v>
      </c>
      <c r="AJ5" s="12">
        <f>'Set 5 IC'!$BK6</f>
        <v>4.0426040798691476</v>
      </c>
      <c r="AK5" s="12">
        <f>'Set 5 IC'!$AW6</f>
        <v>4.189951547696201</v>
      </c>
      <c r="AL5" s="33">
        <v>9.35</v>
      </c>
      <c r="AM5" s="248">
        <v>3.2970000000000002</v>
      </c>
      <c r="AT5" t="s">
        <v>148</v>
      </c>
      <c r="AU5">
        <v>-0.72</v>
      </c>
      <c r="AV5">
        <v>0.72</v>
      </c>
    </row>
    <row r="6" spans="1:48">
      <c r="A6" s="12">
        <f>5939/60</f>
        <v>98.983333333333334</v>
      </c>
      <c r="B6" s="12">
        <f>9969/60</f>
        <v>166.15</v>
      </c>
      <c r="C6" s="12">
        <v>138.43333333333334</v>
      </c>
      <c r="D6" s="12">
        <v>3.1890275041949367</v>
      </c>
      <c r="E6" s="12">
        <v>3.3159213054157242</v>
      </c>
      <c r="F6" s="12">
        <v>0</v>
      </c>
      <c r="G6" s="12">
        <v>0.64329003099335347</v>
      </c>
      <c r="H6" s="12">
        <v>3.5700077512356674</v>
      </c>
      <c r="I6" s="12">
        <v>0.34605743967626013</v>
      </c>
      <c r="J6" s="12">
        <v>0.16263634000401608</v>
      </c>
      <c r="K6" s="12">
        <f>'Set 3 IC'!CA7</f>
        <v>2.7895355673133451</v>
      </c>
      <c r="L6" s="12">
        <f>'Set 3 IC'!G7</f>
        <v>0.27228565240261143</v>
      </c>
      <c r="M6" s="12">
        <f>'Set 3 IC'!CE7</f>
        <v>0.65530222043633202</v>
      </c>
      <c r="N6" s="12">
        <f>'0 Set 2&amp;3'!C7</f>
        <v>214.66666666666666</v>
      </c>
      <c r="O6" s="12">
        <f>'0 Set 2&amp;3'!G7</f>
        <v>2.9098680924821525</v>
      </c>
      <c r="P6" s="12">
        <f>'0 Set 2&amp;3'!U7</f>
        <v>2.3337935897059254</v>
      </c>
      <c r="AE6" s="12">
        <f>'Set 4 IC'!C7</f>
        <v>450.9</v>
      </c>
      <c r="AF6" s="12">
        <f>'Set 4 IC'!$G7</f>
        <v>0.5968891769280622</v>
      </c>
      <c r="AG6" s="12">
        <f>'Set 4 IC'!$BK7</f>
        <v>4.9442644199611152</v>
      </c>
      <c r="AH6" s="12">
        <f>'Set 4 IC'!$AW7</f>
        <v>4.1906613585161869</v>
      </c>
      <c r="AI6" s="12">
        <f>'Set 5 IC'!$G7</f>
        <v>0.70542850970589144</v>
      </c>
      <c r="AJ6" s="12">
        <f>'Set 5 IC'!$BK7</f>
        <v>3.9903712619201928</v>
      </c>
      <c r="AK6" s="12">
        <f>'Set 5 IC'!$AW7</f>
        <v>4.2937690954541248</v>
      </c>
      <c r="AL6" s="33">
        <v>10.11</v>
      </c>
      <c r="AM6" s="248">
        <v>3.63</v>
      </c>
      <c r="AT6" t="s">
        <v>151</v>
      </c>
      <c r="AU6">
        <v>0.84</v>
      </c>
      <c r="AV6">
        <v>-0.84</v>
      </c>
    </row>
    <row r="7" spans="1:48">
      <c r="A7" s="12">
        <f>10327/60</f>
        <v>172.11666666666667</v>
      </c>
      <c r="B7" s="12">
        <f>11505/60</f>
        <v>191.75</v>
      </c>
      <c r="C7" s="12">
        <v>190.9</v>
      </c>
      <c r="D7" s="12">
        <v>2.5614284672065368</v>
      </c>
      <c r="E7" s="12">
        <v>3.4978478149850445</v>
      </c>
      <c r="F7" s="12">
        <v>0</v>
      </c>
      <c r="G7" s="12">
        <v>0.64438354519395247</v>
      </c>
      <c r="H7" s="12">
        <v>3.5463259107275769</v>
      </c>
      <c r="I7" s="12">
        <v>0.31111580471908762</v>
      </c>
      <c r="J7" s="12">
        <v>0.11989706984470333</v>
      </c>
      <c r="K7" s="12">
        <f>'Set 3 IC'!CA8</f>
        <v>2.496776921728189</v>
      </c>
      <c r="L7" s="12">
        <f>'Set 3 IC'!G8</f>
        <v>0.263467310250936</v>
      </c>
      <c r="M7" s="12">
        <f>'Set 3 IC'!CE8</f>
        <v>0.71834312316552396</v>
      </c>
      <c r="N7" s="12">
        <f>'0 Set 2&amp;3'!C8</f>
        <v>286.59999999999997</v>
      </c>
      <c r="O7" s="12">
        <f>'0 Set 2&amp;3'!G8</f>
        <v>2.9178589265254562</v>
      </c>
      <c r="P7" s="12">
        <f>'0 Set 2&amp;3'!U8</f>
        <v>2.0284085901465962</v>
      </c>
      <c r="AE7" s="12">
        <f>'Set 4 IC'!C8</f>
        <v>498.5</v>
      </c>
      <c r="AF7" s="12">
        <f>'Set 4 IC'!$G8</f>
        <v>0.52430420711974113</v>
      </c>
      <c r="AG7" s="12">
        <f>'Set 4 IC'!$BK8</f>
        <v>5.1566828478964402</v>
      </c>
      <c r="AH7" s="12">
        <f>'Set 4 IC'!$AW8</f>
        <v>4.0682200647249189</v>
      </c>
      <c r="AI7" s="12">
        <f>'Set 5 IC'!$G8</f>
        <v>0.67644012944983833</v>
      </c>
      <c r="AJ7" s="12">
        <f>'Set 5 IC'!$BK8</f>
        <v>3.8978802588996766</v>
      </c>
      <c r="AK7" s="12">
        <f>'Set 5 IC'!$AW8</f>
        <v>4.4816504854368935</v>
      </c>
      <c r="AL7" s="33">
        <v>10.01</v>
      </c>
      <c r="AM7" s="248">
        <v>3.84</v>
      </c>
      <c r="AT7" t="s">
        <v>154</v>
      </c>
      <c r="AU7">
        <v>-1.1499999999999999</v>
      </c>
      <c r="AV7">
        <v>1.1499999999999999</v>
      </c>
    </row>
    <row r="8" spans="1:48">
      <c r="A8" s="12">
        <f>11700/60</f>
        <v>195</v>
      </c>
      <c r="B8" s="12">
        <f>15757/60</f>
        <v>262.61666666666667</v>
      </c>
      <c r="C8" s="12">
        <v>258.45</v>
      </c>
      <c r="D8" s="12">
        <v>2.9093893630991463</v>
      </c>
      <c r="E8" s="12">
        <v>3.1863281534982129</v>
      </c>
      <c r="F8" s="12">
        <v>0</v>
      </c>
      <c r="G8" s="12">
        <v>0.25215958777788433</v>
      </c>
      <c r="H8" s="12">
        <v>3.4807293866795406</v>
      </c>
      <c r="I8" s="12">
        <v>0.27442520065174097</v>
      </c>
      <c r="J8" s="12">
        <v>0.1386760922945445</v>
      </c>
      <c r="K8" s="12">
        <f>'Set 3 IC'!CA9</f>
        <v>2.1507472384665367</v>
      </c>
      <c r="L8" s="12">
        <f>'Set 3 IC'!G9</f>
        <v>0.21442495126705652</v>
      </c>
      <c r="M8" s="12">
        <f>'Set 3 IC'!CE9</f>
        <v>0.41334144652423105</v>
      </c>
      <c r="N8" s="12">
        <f>'0 Set 2&amp;3'!C9</f>
        <v>334.76666666666659</v>
      </c>
      <c r="O8" s="12">
        <f>'0 Set 2&amp;3'!G9</f>
        <v>2.8596852300242133</v>
      </c>
      <c r="P8" s="12">
        <f>'0 Set 2&amp;3'!U9</f>
        <v>1.4207021791767558</v>
      </c>
      <c r="AE8" s="12">
        <f>'Set 4 IC'!C9</f>
        <v>545.95000000000005</v>
      </c>
      <c r="AF8" s="12">
        <f>'Set 4 IC'!$G9</f>
        <v>0.35841423948220064</v>
      </c>
      <c r="AG8" s="12">
        <f>'Set 4 IC'!$BK9</f>
        <v>5.2230582524271849</v>
      </c>
      <c r="AH8" s="12">
        <f>'Set 4 IC'!$AW9</f>
        <v>4.263883495145631</v>
      </c>
      <c r="AI8" s="12">
        <f>'Set 5 IC'!$G9</f>
        <v>0.73443365695792884</v>
      </c>
      <c r="AJ8" s="12">
        <f>'Set 5 IC'!$BK9</f>
        <v>3.8220388349514565</v>
      </c>
      <c r="AK8" s="12">
        <f>'Set 5 IC'!$AW9</f>
        <v>4.6179288025889971</v>
      </c>
      <c r="AL8" s="33">
        <v>10.029999999999999</v>
      </c>
      <c r="AM8" s="248">
        <v>3.94</v>
      </c>
      <c r="AT8" t="s">
        <v>1559</v>
      </c>
      <c r="AU8">
        <v>1.32</v>
      </c>
      <c r="AV8">
        <v>-1.32</v>
      </c>
    </row>
    <row r="9" spans="1:48">
      <c r="A9" s="12">
        <f>12992/60</f>
        <v>216.53333333333333</v>
      </c>
      <c r="B9" s="12">
        <v>311.38333333333333</v>
      </c>
      <c r="C9" s="12">
        <v>306.97000000000003</v>
      </c>
      <c r="D9" s="12">
        <v>2.0485681114551082</v>
      </c>
      <c r="E9" s="12">
        <v>2.4226758685930512</v>
      </c>
      <c r="F9" s="12">
        <v>0</v>
      </c>
      <c r="G9" s="12">
        <v>9.7782104322705038E-2</v>
      </c>
      <c r="H9" s="12">
        <v>3.4119546195160222</v>
      </c>
      <c r="I9" s="12">
        <v>0.28142538169090581</v>
      </c>
      <c r="J9" s="12">
        <v>7.2546027727302898E-2</v>
      </c>
      <c r="K9" s="12">
        <f>'Set 3 IC'!CA10</f>
        <v>1.688030289207189</v>
      </c>
      <c r="L9" s="12">
        <f>'Set 3 IC'!G10</f>
        <v>0</v>
      </c>
      <c r="M9" s="12">
        <f>'Set 3 IC'!CE10</f>
        <v>0.34722893326406834</v>
      </c>
      <c r="N9" s="12">
        <f>'0 Set 2&amp;3'!C10</f>
        <v>380.89999999999992</v>
      </c>
      <c r="O9" s="12">
        <f>'0 Set 2&amp;3'!G10</f>
        <v>3.0462469733656174</v>
      </c>
      <c r="P9" s="12">
        <f>'0 Set 2&amp;3'!U10</f>
        <v>1.7528753026634387</v>
      </c>
      <c r="AE9" s="12">
        <f>'Set 4 IC'!C10</f>
        <v>616.76666666666665</v>
      </c>
      <c r="AF9" s="12">
        <f>'Set 4 IC'!$G10</f>
        <v>0.42460317460317459</v>
      </c>
      <c r="AG9" s="12">
        <f>'Set 4 IC'!$BK10</f>
        <v>4.8601428571428578</v>
      </c>
      <c r="AH9" s="12">
        <f>'Set 4 IC'!$AW10</f>
        <v>3.81</v>
      </c>
      <c r="AI9" s="12">
        <f>'Set 5 IC'!$G10</f>
        <v>0.63244444444444448</v>
      </c>
      <c r="AJ9" s="12">
        <f>'Set 5 IC'!$BK10</f>
        <v>3.4046507936507941</v>
      </c>
      <c r="AK9" s="12">
        <f>'Set 5 IC'!$AW10</f>
        <v>3.7373333333333338</v>
      </c>
      <c r="AL9" s="33">
        <v>9.0299999999999994</v>
      </c>
      <c r="AM9" s="248">
        <v>4.2699999999999996</v>
      </c>
    </row>
    <row r="10" spans="1:48">
      <c r="A10" s="12">
        <f>14420/60</f>
        <v>240.33333333333334</v>
      </c>
      <c r="B10" s="12">
        <v>334.28333333333336</v>
      </c>
      <c r="C10" s="12">
        <v>354.78</v>
      </c>
      <c r="D10" s="12">
        <v>2.0533088235294117</v>
      </c>
      <c r="E10" s="12">
        <v>2.2741658066735462</v>
      </c>
      <c r="F10" s="12">
        <v>0</v>
      </c>
      <c r="G10" s="12">
        <v>0.54206014920674805</v>
      </c>
      <c r="H10" s="12">
        <v>3.3442057409530705</v>
      </c>
      <c r="I10" s="12">
        <v>0.32089191961861085</v>
      </c>
      <c r="J10" s="12">
        <v>5.2813297329698992E-2</v>
      </c>
      <c r="K10" s="12">
        <f>'Set 3 IC'!CA11</f>
        <v>1.1761396466259162</v>
      </c>
      <c r="L10" s="12">
        <f>'Set 3 IC'!G11</f>
        <v>0</v>
      </c>
      <c r="M10" s="12">
        <f>'Set 3 IC'!CE11</f>
        <v>0.28820593664897115</v>
      </c>
      <c r="N10" s="12">
        <f>'0 Set 2&amp;3'!C11</f>
        <v>459.88333333333327</v>
      </c>
      <c r="O10" s="12">
        <f>'0 Set 2&amp;3'!G11</f>
        <v>3.1256053268765136</v>
      </c>
      <c r="P10" s="12">
        <f>'0 Set 2&amp;3'!U11</f>
        <v>1.4131355932203391</v>
      </c>
      <c r="AE10" s="12">
        <f>'Set 4 IC'!C11</f>
        <v>665.56666666666672</v>
      </c>
      <c r="AF10" s="12">
        <f>'Set 4 IC'!$G11</f>
        <v>0.38507936507936513</v>
      </c>
      <c r="AG10" s="12">
        <f>'Set 4 IC'!$BK11</f>
        <v>4.7039047619047629</v>
      </c>
      <c r="AH10" s="12">
        <f>'Set 4 IC'!$AW11</f>
        <v>3.8075555555555556</v>
      </c>
      <c r="AI10" s="12">
        <f>'Set 5 IC'!$G11</f>
        <v>0.53968253968253965</v>
      </c>
      <c r="AJ10" s="12">
        <f>'Set 5 IC'!$BK11</f>
        <v>3.0806507936507939</v>
      </c>
      <c r="AK10" s="12">
        <f>'Set 5 IC'!$AW11</f>
        <v>4.0046349206349214</v>
      </c>
      <c r="AL10" s="33">
        <v>10.97</v>
      </c>
      <c r="AM10" s="248">
        <v>3.27</v>
      </c>
    </row>
    <row r="11" spans="1:48">
      <c r="A11" s="12">
        <f>15878/60</f>
        <v>264.63333333333333</v>
      </c>
      <c r="B11" s="12">
        <v>358.4</v>
      </c>
      <c r="C11" s="12">
        <v>427.75</v>
      </c>
      <c r="D11" s="12">
        <v>1.8432985036119711</v>
      </c>
      <c r="E11" s="12">
        <v>2.2041086171310629</v>
      </c>
      <c r="F11" s="12">
        <v>0</v>
      </c>
      <c r="G11" s="12">
        <v>0.5182053763382124</v>
      </c>
      <c r="H11" s="12">
        <v>3.3295930070363595</v>
      </c>
      <c r="I11" s="12">
        <v>0.22925513778246176</v>
      </c>
      <c r="J11" s="12">
        <v>5.9940183435658753E-2</v>
      </c>
      <c r="K11" s="12">
        <f>'Set 3 IC'!CA12</f>
        <v>0.96592464191223437</v>
      </c>
      <c r="L11" s="12">
        <f>'Set 3 IC'!G12</f>
        <v>0.20360064471003259</v>
      </c>
      <c r="M11" s="12">
        <f>'Set 3 IC'!CE12</f>
        <v>0.21575964983378457</v>
      </c>
      <c r="N11" s="12">
        <f>'0 Set 2&amp;3'!C12</f>
        <v>507.81666666666661</v>
      </c>
      <c r="O11" s="12">
        <f>'0 Set 2&amp;3'!G12</f>
        <v>3.1033568372205145</v>
      </c>
      <c r="P11" s="12">
        <f>'0 Set 2&amp;3'!U12</f>
        <v>2.1176098354727904</v>
      </c>
      <c r="AE11" s="12">
        <f>'Set 4 IC'!C12</f>
        <v>714.1</v>
      </c>
      <c r="AF11" s="12">
        <f>'Set 4 IC'!$G12</f>
        <v>0.38352380952380954</v>
      </c>
      <c r="AG11" s="12">
        <f>'Set 4 IC'!$BK12</f>
        <v>4.9739206349206357</v>
      </c>
      <c r="AH11" s="12">
        <f>'Set 4 IC'!$AW12</f>
        <v>3.9888888888888894</v>
      </c>
      <c r="AI11" s="12">
        <f>'Set 5 IC'!$G12</f>
        <v>0.47225396825396826</v>
      </c>
      <c r="AJ11" s="12">
        <f>'Set 5 IC'!$BK12</f>
        <v>3.3911111111111119</v>
      </c>
      <c r="AK11" s="12">
        <f>'Set 5 IC'!$AW12</f>
        <v>3.7979365079365084</v>
      </c>
      <c r="AL11" s="33">
        <v>10.31</v>
      </c>
      <c r="AM11" s="248">
        <v>3.52</v>
      </c>
    </row>
    <row r="12" spans="1:48">
      <c r="A12" s="12">
        <f>22025/60</f>
        <v>367.08333333333331</v>
      </c>
      <c r="B12" s="12">
        <v>430.51666666666665</v>
      </c>
      <c r="C12" s="12">
        <f>'Set 3 IC'!C13</f>
        <v>474.26666666666665</v>
      </c>
      <c r="D12" s="12">
        <v>1.757546439628483</v>
      </c>
      <c r="E12" s="12">
        <v>2.0054717062263503</v>
      </c>
      <c r="F12" s="12">
        <v>0</v>
      </c>
      <c r="G12" s="12">
        <v>0.19408419652116957</v>
      </c>
      <c r="H12" s="12">
        <v>3.3913600529018524</v>
      </c>
      <c r="I12" s="12">
        <v>0.19584017854375252</v>
      </c>
      <c r="J12" s="12">
        <v>6.3121497518935019E-2</v>
      </c>
      <c r="K12" s="12">
        <f>'Set 3 IC'!CA13</f>
        <v>1.7399213976480705</v>
      </c>
      <c r="L12" s="12">
        <f>'Set 3 IC'!G13</f>
        <v>9.6717737726058524E-3</v>
      </c>
      <c r="M12" s="12">
        <f>'Set 3 IC'!CE13</f>
        <v>0.2234203292824109</v>
      </c>
      <c r="N12" s="12">
        <f>'0 Set 2&amp;3'!C13</f>
        <v>625.1</v>
      </c>
      <c r="O12" s="12">
        <f>'0 Set 2&amp;3'!G13</f>
        <v>2.9270475501717597</v>
      </c>
      <c r="P12" s="12">
        <f>'0 Set 2&amp;3'!U13</f>
        <v>1.5559271982161151</v>
      </c>
      <c r="AE12" s="12">
        <f>'Set 4 IC'!C13</f>
        <v>810.25</v>
      </c>
      <c r="AF12" s="12">
        <f>'Set 4 IC'!$G13</f>
        <v>0.458937978733719</v>
      </c>
      <c r="AG12" s="12">
        <f>'Set 4 IC'!$BK13</f>
        <v>5.2268672635015037</v>
      </c>
      <c r="AH12" s="12">
        <f>'Set 4 IC'!$AW13</f>
        <v>4.1893280760156433</v>
      </c>
      <c r="AI12" s="12">
        <f>'Set 5 IC'!$G13</f>
        <v>0.70550402378720789</v>
      </c>
      <c r="AJ12" s="12">
        <f>'Set 5 IC'!$BK13</f>
        <v>3.5207653275589026</v>
      </c>
      <c r="AK12" s="12">
        <f>'Set 5 IC'!$AW13</f>
        <v>4.2565204744513752</v>
      </c>
      <c r="AL12" s="33">
        <v>9.3699999999999992</v>
      </c>
      <c r="AM12" s="248">
        <v>3.72</v>
      </c>
    </row>
    <row r="13" spans="1:48">
      <c r="A13" s="12">
        <f>23405/60</f>
        <v>390.08333333333331</v>
      </c>
      <c r="B13" s="12">
        <v>453.28333333333336</v>
      </c>
      <c r="C13" s="12">
        <f>'Set 3 IC'!C14</f>
        <v>497.58333333333331</v>
      </c>
      <c r="D13" s="12">
        <v>1.7836042311661506</v>
      </c>
      <c r="E13" s="12">
        <v>1.7919891640866874</v>
      </c>
      <c r="F13" s="12">
        <v>0</v>
      </c>
      <c r="G13" s="12">
        <v>9.2161921265403041E-3</v>
      </c>
      <c r="H13" s="12">
        <v>3.2035894733579244</v>
      </c>
      <c r="I13" s="12">
        <v>0.14268001611853318</v>
      </c>
      <c r="J13" s="12">
        <v>1.5968912502821682E-2</v>
      </c>
      <c r="K13" s="12">
        <f>'Set 3 IC'!CA14</f>
        <v>0.98383432098007306</v>
      </c>
      <c r="L13" s="12">
        <f>'Set 3 IC'!G14</f>
        <v>0</v>
      </c>
      <c r="M13" s="12">
        <f>'Set 3 IC'!CE14</f>
        <v>0.11420147072151794</v>
      </c>
      <c r="N13" s="12">
        <f>'0 Set 2&amp;3'!C14</f>
        <v>717.73333333333335</v>
      </c>
      <c r="O13" s="12">
        <f>'0 Set 2&amp;3'!G14</f>
        <v>3.1012173808232388</v>
      </c>
      <c r="P13" s="12">
        <f>'0 Set 2&amp;3'!U14</f>
        <v>2.0446875188332432</v>
      </c>
      <c r="AE13" s="12">
        <f>'Set 4 IC'!C14</f>
        <v>865.73333333333335</v>
      </c>
      <c r="AF13" s="12">
        <f>'Set 4 IC'!$G14</f>
        <v>0.4122038718852008</v>
      </c>
      <c r="AG13" s="12">
        <f>'Set 4 IC'!$BK14</f>
        <v>5.1448078601208742</v>
      </c>
      <c r="AH13" s="12">
        <f>'Set 4 IC'!$AW14</f>
        <v>3.6560550725574483</v>
      </c>
      <c r="AI13" s="12">
        <f>'Set 5 IC'!$G14</f>
        <v>0.50082414918716267</v>
      </c>
      <c r="AJ13" s="12">
        <f>'Set 5 IC'!$BK14</f>
        <v>3.5756601273391295</v>
      </c>
      <c r="AK13" s="12">
        <f>'Set 5 IC'!$AW14</f>
        <v>3.823890630554927</v>
      </c>
      <c r="AL13" s="33">
        <v>9.15</v>
      </c>
      <c r="AM13" s="248">
        <v>5.28</v>
      </c>
    </row>
    <row r="14" spans="1:48">
      <c r="A14" s="12">
        <f>24547/60</f>
        <v>409.11666666666667</v>
      </c>
      <c r="B14" s="12">
        <v>478.11666666666667</v>
      </c>
      <c r="C14" s="12">
        <f>'Set 3 IC'!C15</f>
        <v>598.85</v>
      </c>
      <c r="D14" s="12">
        <v>1.4685887512899896</v>
      </c>
      <c r="E14" s="12">
        <v>1.6995399036807706</v>
      </c>
      <c r="F14" s="12">
        <v>0</v>
      </c>
      <c r="G14" s="12">
        <v>0.11833932235353366</v>
      </c>
      <c r="H14" s="12">
        <v>3.2560244016132622</v>
      </c>
      <c r="I14" s="12">
        <v>0.23353803125190004</v>
      </c>
      <c r="J14" s="12">
        <v>1.297408281646026E-2</v>
      </c>
      <c r="K14" s="12">
        <f>'Set 3 IC'!CA15</f>
        <v>1.3954987871902729</v>
      </c>
      <c r="L14" s="12">
        <f>'Set 3 IC'!G15</f>
        <v>4.9894071049157177E-2</v>
      </c>
      <c r="M14" s="12">
        <f>'Set 3 IC'!CE15</f>
        <v>0.52417079929771881</v>
      </c>
      <c r="N14" s="12">
        <f>'0 Set 2&amp;3'!C15</f>
        <v>790.18333333333328</v>
      </c>
      <c r="O14" s="12">
        <f>'0 Set 2&amp;3'!G15</f>
        <v>3.0620745012932185</v>
      </c>
      <c r="P14" s="12">
        <f>'0 Set 2&amp;3'!U15</f>
        <v>1.8264113922169036</v>
      </c>
      <c r="AE14" s="12">
        <f>'Set 4 IC'!C15</f>
        <v>912.31666666666672</v>
      </c>
      <c r="AF14" s="12">
        <f>'Set 4 IC'!$G15</f>
        <v>0.23348629782833505</v>
      </c>
      <c r="AG14" s="12">
        <f>'Set 4 IC'!$BK15</f>
        <v>4.6440343846949332</v>
      </c>
      <c r="AH14" s="12">
        <f>'Set 4 IC'!$AW15</f>
        <v>3.1441959669079629</v>
      </c>
      <c r="AI14" s="12">
        <f>'Set 5 IC'!$G15</f>
        <v>0.47912357807652534</v>
      </c>
      <c r="AJ14" s="12">
        <f>'Set 5 IC'!$BK15</f>
        <v>3.2150982419855225</v>
      </c>
      <c r="AK14" s="12">
        <f>'Set 5 IC'!$AW15</f>
        <v>3.4983841778697005</v>
      </c>
    </row>
    <row r="15" spans="1:48">
      <c r="A15" s="12">
        <f>26109/60</f>
        <v>435.15</v>
      </c>
      <c r="B15" s="12">
        <v>509.06666666666666</v>
      </c>
      <c r="C15" s="12">
        <f>'Set 3 IC'!C16</f>
        <v>643.25</v>
      </c>
      <c r="D15" s="12">
        <v>1.4041615075650045</v>
      </c>
      <c r="E15" s="12">
        <v>1.5906139582641259</v>
      </c>
      <c r="F15" s="12">
        <v>8.235436233503457E-2</v>
      </c>
      <c r="G15" s="12">
        <v>0.19356007471616177</v>
      </c>
      <c r="H15" s="12">
        <v>3.2881376542834562</v>
      </c>
      <c r="I15" s="12">
        <v>0.30017632394965643</v>
      </c>
      <c r="J15" s="12">
        <v>0.12955006702661684</v>
      </c>
      <c r="K15" s="12">
        <f>'Set 3 IC'!CA16</f>
        <v>1.4082575994985898</v>
      </c>
      <c r="L15" s="12">
        <f>'Set 3 IC'!G16</f>
        <v>5.3431526167345644E-2</v>
      </c>
      <c r="M15" s="12">
        <f>'Set 3 IC'!CE16</f>
        <v>0.96563706342300648</v>
      </c>
      <c r="N15" s="12">
        <f>'0 Set 2&amp;3'!C16</f>
        <v>838.58333333333337</v>
      </c>
      <c r="O15" s="12">
        <f>'0 Set 2&amp;3'!G16</f>
        <v>3.1197490858281056</v>
      </c>
      <c r="P15" s="12">
        <f>'0 Set 2&amp;3'!U16</f>
        <v>2.2368225466004694</v>
      </c>
      <c r="AE15" s="12"/>
    </row>
    <row r="16" spans="1:48" ht="16" thickBot="1">
      <c r="A16" s="12">
        <f>31829/60</f>
        <v>530.48333333333335</v>
      </c>
      <c r="B16" s="154">
        <v>527.65</v>
      </c>
      <c r="C16" s="12">
        <f>'Set 3 IC'!C17</f>
        <v>667.73333333333335</v>
      </c>
      <c r="D16" s="12">
        <v>1.5781415154169056</v>
      </c>
      <c r="E16" s="12">
        <v>1.6211961062623941</v>
      </c>
      <c r="F16" s="12">
        <v>8.3079153202669648E-2</v>
      </c>
      <c r="G16" s="12">
        <v>0.1688784486248254</v>
      </c>
      <c r="H16" s="12">
        <v>3.2742040088364646</v>
      </c>
      <c r="I16" s="12">
        <v>0.2428406396303277</v>
      </c>
      <c r="J16" s="12">
        <v>0.11765726963541022</v>
      </c>
      <c r="K16" s="12">
        <f>'Set 3 IC'!CA17</f>
        <v>1.5319649012848635</v>
      </c>
      <c r="L16" s="12">
        <f>'Set 3 IC'!G17</f>
        <v>0.12268881228455031</v>
      </c>
      <c r="M16" s="12">
        <f>'Set 3 IC'!CE17</f>
        <v>0.11717020192366764</v>
      </c>
      <c r="N16" s="12">
        <f>'0 Set 2&amp;3'!C17</f>
        <v>958.73333333333335</v>
      </c>
      <c r="O16" s="12">
        <f>'0 Set 2&amp;3'!G17</f>
        <v>3.2353437000435981</v>
      </c>
      <c r="P16" s="12">
        <f>'0 Set 2&amp;3'!U17</f>
        <v>1.8229908443540181</v>
      </c>
      <c r="AE16" s="12"/>
    </row>
    <row r="17" spans="1:31" ht="16" thickTop="1">
      <c r="A17" s="12">
        <f>33309/60</f>
        <v>555.15</v>
      </c>
      <c r="B17" s="12">
        <v>599</v>
      </c>
      <c r="C17" s="12">
        <f>'Set 3 IC'!C18</f>
        <v>691.86666666666667</v>
      </c>
      <c r="D17" s="12">
        <v>1.5449219339836315</v>
      </c>
      <c r="E17" s="12">
        <v>1.5755242150615567</v>
      </c>
      <c r="F17" s="12">
        <v>4.5239029988222143E-2</v>
      </c>
      <c r="G17" s="12">
        <v>0.18260320506892327</v>
      </c>
      <c r="H17" s="12">
        <v>3.3400246943083602</v>
      </c>
      <c r="I17" s="12">
        <v>0.31834747281634607</v>
      </c>
      <c r="J17" s="12">
        <v>0.3731758612139342</v>
      </c>
      <c r="K17" s="12">
        <f>'Set 3 IC'!CA18</f>
        <v>1.1413350047007209</v>
      </c>
      <c r="L17" s="12">
        <f>'Set 3 IC'!G18</f>
        <v>0.12770291444688187</v>
      </c>
      <c r="M17" s="12">
        <f>'Set 3 IC'!CE18</f>
        <v>6.9976648371079031E-2</v>
      </c>
      <c r="N17" s="12">
        <f>'0 Set 2&amp;3'!C18</f>
        <v>1029.5999999999999</v>
      </c>
      <c r="O17" s="12">
        <f>'0 Set 2&amp;3'!G18</f>
        <v>3.5364045923557619</v>
      </c>
      <c r="P17" s="12">
        <f>'0 Set 2&amp;3'!U18</f>
        <v>1.7530882139223949</v>
      </c>
      <c r="AE17" s="12"/>
    </row>
    <row r="18" spans="1:31">
      <c r="A18" s="12">
        <f>34587/60</f>
        <v>576.45000000000005</v>
      </c>
      <c r="B18" s="12">
        <v>623</v>
      </c>
      <c r="C18" s="12">
        <f>'Set 3 IC'!C19</f>
        <v>715.85</v>
      </c>
      <c r="D18" s="12">
        <v>1.5033370579530696</v>
      </c>
      <c r="E18" s="12">
        <v>1.5891442434491989</v>
      </c>
      <c r="F18" s="12">
        <v>4.2611663093045024E-2</v>
      </c>
      <c r="G18" s="12">
        <v>0.11533990616918668</v>
      </c>
      <c r="H18" s="12">
        <v>2.9225415222846216</v>
      </c>
      <c r="I18" s="12">
        <v>0.42776914804636157</v>
      </c>
      <c r="J18" s="12">
        <v>0.14526729519241305</v>
      </c>
      <c r="K18" s="12">
        <f>'Set 3 IC'!CA19</f>
        <v>1.5349029083301411</v>
      </c>
      <c r="L18" s="12">
        <f>'Set 3 IC'!G19</f>
        <v>0.34446179685888562</v>
      </c>
      <c r="M18" s="12">
        <f>'Set 3 IC'!CE19</f>
        <v>0.28116767224598166</v>
      </c>
      <c r="N18" s="12">
        <f>'0 Set 2&amp;3'!C19</f>
        <v>1080.9166666666665</v>
      </c>
      <c r="O18" s="12">
        <f>'0 Set 2&amp;3'!G19</f>
        <v>3.0949967004619356</v>
      </c>
      <c r="P18" s="12">
        <f>'0 Set 2&amp;3'!U19</f>
        <v>1.9278301037854697</v>
      </c>
      <c r="AE18" s="12"/>
    </row>
    <row r="19" spans="1:31" ht="16" thickBot="1">
      <c r="A19" s="12">
        <f>36123/60</f>
        <v>602.04999999999995</v>
      </c>
      <c r="B19">
        <v>646.56666666666672</v>
      </c>
      <c r="C19" s="154">
        <f>'Set 3 IC'!C20</f>
        <v>934.7833333333333</v>
      </c>
      <c r="D19" s="12">
        <v>1.5360871401846599</v>
      </c>
      <c r="E19" s="12">
        <v>1.5690060949852149</v>
      </c>
      <c r="F19" s="12">
        <v>5.3104821676422664E-2</v>
      </c>
      <c r="G19" s="12">
        <v>0.21029618205274125</v>
      </c>
      <c r="H19" s="12">
        <f>'Set 2 IC'!BN20</f>
        <v>2.7957341914456926</v>
      </c>
      <c r="I19" s="12">
        <f>'Set 2 IC'!G20</f>
        <v>0.21770475571645162</v>
      </c>
      <c r="J19" s="12">
        <f>'Set 2 IC'!BR20</f>
        <v>0.14213072978203103</v>
      </c>
      <c r="K19" s="12">
        <f>'Set 3 IC'!CA20</f>
        <v>1.4300763178831364</v>
      </c>
      <c r="L19" s="12">
        <f>'Set 3 IC'!G20</f>
        <v>0.31529009635501082</v>
      </c>
      <c r="M19" s="12">
        <f>'Set 3 IC'!CE20</f>
        <v>7.0961364900176294E-2</v>
      </c>
      <c r="N19" s="12">
        <f>'0 Set 2&amp;3'!C20</f>
        <v>1129.2166666666665</v>
      </c>
      <c r="O19" s="12">
        <f>'0 Set 2&amp;3'!G20</f>
        <v>3.0745418288861455</v>
      </c>
      <c r="P19" s="12">
        <f>'0 Set 2&amp;3'!U20</f>
        <v>1.5992466685658215</v>
      </c>
      <c r="AE19" s="12"/>
    </row>
    <row r="20" spans="1:31" ht="16" thickTop="1">
      <c r="A20" s="12">
        <f>40375/60</f>
        <v>672.91666666666663</v>
      </c>
      <c r="B20">
        <v>699.03</v>
      </c>
      <c r="C20" s="12">
        <f>'Set 3 IC'!C21</f>
        <v>954.58333333333337</v>
      </c>
      <c r="D20" s="12">
        <v>1.3264136141451934</v>
      </c>
      <c r="E20" s="12">
        <v>1.4300283628024861</v>
      </c>
      <c r="F20" s="12">
        <v>4.3751131494780042E-2</v>
      </c>
      <c r="G20" s="12">
        <v>0.16629117030484128</v>
      </c>
      <c r="H20" s="12">
        <f>'Set 2 IC'!BN21</f>
        <v>2.8177955176005853</v>
      </c>
      <c r="I20" s="12">
        <f>'Set 2 IC'!G21</f>
        <v>0.19428200129954518</v>
      </c>
      <c r="J20" s="12">
        <f>'Set 2 IC'!BR21</f>
        <v>9.2576702981917031E-2</v>
      </c>
      <c r="K20" s="12">
        <f>'Set 3 IC'!CA21</f>
        <v>1.2713262810501811</v>
      </c>
      <c r="L20" s="12">
        <f>'Set 3 IC'!G21</f>
        <v>0.23882488139788433</v>
      </c>
      <c r="M20" s="12">
        <f>'Set 3 IC'!CE21</f>
        <v>1.6449265179016574E-2</v>
      </c>
      <c r="N20" s="12">
        <f>'0 Set 2&amp;3'!C21</f>
        <v>1197.6666666666665</v>
      </c>
      <c r="O20" s="12">
        <f>'0 Set 2&amp;3'!G21</f>
        <v>3.0916342227708671</v>
      </c>
      <c r="P20" s="12">
        <f>'0 Set 2&amp;3'!U21</f>
        <v>1.5212230557401956</v>
      </c>
      <c r="AE20" s="12"/>
    </row>
    <row r="21" spans="1:31">
      <c r="A21" s="12">
        <v>721.68333333333328</v>
      </c>
      <c r="B21">
        <v>766.58</v>
      </c>
      <c r="C21" s="12">
        <f>'Set 3 IC'!C22</f>
        <v>979.75</v>
      </c>
      <c r="D21" s="12">
        <v>1.4185022026431717</v>
      </c>
      <c r="E21" s="12">
        <v>1.4224146601492567</v>
      </c>
      <c r="F21" s="12">
        <v>6.4087864341319162E-2</v>
      </c>
      <c r="G21" s="12">
        <v>0.16322373889661207</v>
      </c>
      <c r="H21" s="12">
        <f>'Set 2 IC'!BN22</f>
        <v>2.874614519838691</v>
      </c>
      <c r="I21" s="12">
        <f>'Set 2 IC'!G22</f>
        <v>0.15359386119620039</v>
      </c>
      <c r="J21" s="12">
        <f>'Set 2 IC'!BR22</f>
        <v>3.7359132276710935E-2</v>
      </c>
      <c r="K21" s="12">
        <f>'Set 3 IC'!CA22</f>
        <v>1.1134110963374835</v>
      </c>
      <c r="L21" s="12">
        <f>'Set 3 IC'!G22</f>
        <v>7.5546959990330058E-4</v>
      </c>
      <c r="M21" s="12">
        <f>'Set 3 IC'!CE22</f>
        <v>0.14240823510638681</v>
      </c>
      <c r="N21" s="12">
        <f>'0 Set 2&amp;3'!C22</f>
        <v>1246.0333333333331</v>
      </c>
      <c r="O21" s="12">
        <f>'0 Set 2&amp;3'!G22</f>
        <v>3.1912132434400022</v>
      </c>
      <c r="P21" s="12">
        <f>'0 Set 2&amp;3'!U22</f>
        <v>1.6190476190476191</v>
      </c>
      <c r="AE21" s="12"/>
    </row>
    <row r="22" spans="1:31">
      <c r="A22" s="12">
        <v>744.58333333333337</v>
      </c>
      <c r="B22">
        <v>815.1</v>
      </c>
      <c r="C22" s="12">
        <f>'Set 3 IC'!C23</f>
        <v>1099.45</v>
      </c>
      <c r="D22" s="12">
        <v>1.4319594472270833</v>
      </c>
      <c r="E22" s="12">
        <v>1.4984913402932831</v>
      </c>
      <c r="F22" s="12">
        <v>8.6597067165530131E-2</v>
      </c>
      <c r="G22" s="12">
        <v>0.13538731197066842</v>
      </c>
      <c r="H22" s="12">
        <f>'Set 2 IC'!BN23</f>
        <v>2.5855001064379772</v>
      </c>
      <c r="I22" s="12">
        <f>'Set 2 IC'!G23</f>
        <v>0.15883587263935772</v>
      </c>
      <c r="J22" s="12">
        <f>'Set 2 IC'!BR23</f>
        <v>0.11614839075686037</v>
      </c>
      <c r="K22" s="12">
        <f>'Set 3 IC'!CA23</f>
        <v>1.1286715822555298</v>
      </c>
      <c r="L22" s="12">
        <f>'Set 3 IC'!G23</f>
        <v>0.1328115556630001</v>
      </c>
      <c r="M22" s="12">
        <f>'Set 3 IC'!CE23</f>
        <v>0.14476209023211217</v>
      </c>
      <c r="N22" s="12">
        <f>'0 Set 2&amp;3'!C23</f>
        <v>1295.8499999999997</v>
      </c>
      <c r="O22" s="12">
        <f>'0 Set 2&amp;3'!G23</f>
        <v>3.2861904761904763</v>
      </c>
      <c r="P22" s="12">
        <f>'0 Set 2&amp;3'!U23</f>
        <v>1.7085714285714286</v>
      </c>
      <c r="AE22" s="12"/>
    </row>
    <row r="23" spans="1:31">
      <c r="A23" s="12">
        <v>768.7</v>
      </c>
      <c r="B23">
        <v>862.92</v>
      </c>
      <c r="C23" s="12">
        <f>'Set 3 IC'!C24</f>
        <v>1147.6166666666666</v>
      </c>
      <c r="D23" s="12">
        <v>1.2048293605281919</v>
      </c>
      <c r="E23" s="12">
        <v>1.3021811681803621</v>
      </c>
      <c r="F23" s="12">
        <v>0</v>
      </c>
      <c r="G23" s="12">
        <v>0.11538915995934435</v>
      </c>
      <c r="H23" s="12">
        <f>'Set 2 IC'!BN24</f>
        <v>2.6130523370738685</v>
      </c>
      <c r="I23" s="12">
        <f>'Set 2 IC'!G24</f>
        <v>0.18526290180336347</v>
      </c>
      <c r="J23" s="12">
        <f>'Set 2 IC'!BR24</f>
        <v>0.12608842187249447</v>
      </c>
      <c r="K23" s="12">
        <f>'Set 3 IC'!CA24</f>
        <v>1.8611005023649341</v>
      </c>
      <c r="L23" s="12">
        <f>'Set 3 IC'!G24</f>
        <v>0.58991157202032962</v>
      </c>
      <c r="M23" s="12">
        <f>'Set 3 IC'!CE24</f>
        <v>0.17620437099147671</v>
      </c>
      <c r="N23" s="12">
        <f>'0 Set 2&amp;3'!C24</f>
        <v>1413.5999999999997</v>
      </c>
      <c r="O23" s="12">
        <f>'0 Set 2&amp;3'!G24</f>
        <v>3.1673650793650796</v>
      </c>
      <c r="P23" s="12">
        <f>'0 Set 2&amp;3'!U24</f>
        <v>1.5503174603174605</v>
      </c>
      <c r="AE23" s="12"/>
    </row>
    <row r="24" spans="1:31">
      <c r="A24" s="12">
        <v>840.81666666666672</v>
      </c>
      <c r="B24">
        <v>935.88</v>
      </c>
      <c r="C24" s="12">
        <f>'Set 3 IC'!C25</f>
        <v>1219.55</v>
      </c>
      <c r="D24" s="12">
        <v>1.2318279036607669</v>
      </c>
      <c r="E24" s="12">
        <v>1.2782616781872849</v>
      </c>
      <c r="F24" s="12">
        <v>0</v>
      </c>
      <c r="G24" s="12">
        <v>0.14473947765014739</v>
      </c>
      <c r="H24" s="12">
        <f>'Set 2 IC'!BN25</f>
        <v>2.5130817342294396</v>
      </c>
      <c r="I24" s="12">
        <f>'Set 2 IC'!G25</f>
        <v>0.12982392117507527</v>
      </c>
      <c r="J24" s="12">
        <f>'Set 2 IC'!BR25</f>
        <v>6.7404325987768771E-2</v>
      </c>
      <c r="K24" s="12">
        <f>'Set 3 IC'!CA25</f>
        <v>1.7622433091453922</v>
      </c>
      <c r="L24" s="12">
        <f>'Set 3 IC'!G25</f>
        <v>0.58976468168865126</v>
      </c>
      <c r="M24" s="12">
        <f>'Set 3 IC'!CE25</f>
        <v>0.14569279159901338</v>
      </c>
      <c r="N24" s="12">
        <f>'0 Set 2&amp;3'!C25</f>
        <v>1461.333333333333</v>
      </c>
      <c r="O24" s="12">
        <f>'0 Set 2&amp;3'!G25</f>
        <v>3.1867111069962659</v>
      </c>
      <c r="P24" s="12">
        <f>'0 Set 2&amp;3'!U25</f>
        <v>2.3676820047526466</v>
      </c>
      <c r="AE24" s="12"/>
    </row>
    <row r="25" spans="1:31">
      <c r="A25" s="12">
        <v>863.58333333333337</v>
      </c>
      <c r="B25" s="12">
        <f>'Set 2 IC'!C26</f>
        <v>982.4</v>
      </c>
      <c r="C25" s="12">
        <f>'Set 3 IC'!C26</f>
        <v>1267.7166666666667</v>
      </c>
      <c r="D25" s="12">
        <v>1.0621493444096586</v>
      </c>
      <c r="E25" s="12">
        <v>1.114265935133236</v>
      </c>
      <c r="F25" s="12">
        <v>0</v>
      </c>
      <c r="G25" s="12">
        <v>0.22810797640638808</v>
      </c>
      <c r="H25" s="12">
        <f>'Set 2 IC'!BN26</f>
        <v>2.524680933812316</v>
      </c>
      <c r="I25" s="12">
        <f>'Set 2 IC'!G26</f>
        <v>0.12628573183088213</v>
      </c>
      <c r="J25" s="12">
        <f>'Set 2 IC'!BR26</f>
        <v>4.1053873211906712E-2</v>
      </c>
      <c r="K25" s="12">
        <f>'Set 3 IC'!CA26</f>
        <v>1.1406628329297819</v>
      </c>
      <c r="L25" s="12">
        <f>'Set 3 IC'!G26</f>
        <v>0</v>
      </c>
      <c r="M25" s="12">
        <f>'Set 3 IC'!CE26</f>
        <v>0.1699407646154581</v>
      </c>
      <c r="N25" s="12">
        <f>'0 Set 2&amp;3'!C26</f>
        <v>1581.3499999999997</v>
      </c>
      <c r="O25" s="12">
        <f>'0 Set 2&amp;3'!G26</f>
        <v>3.7757306422244854</v>
      </c>
      <c r="P25" s="12">
        <f>[2]Sets!G32</f>
        <v>2.4594944912508101</v>
      </c>
      <c r="AE25" s="12"/>
    </row>
    <row r="26" spans="1:31">
      <c r="A26" s="12">
        <v>888.4</v>
      </c>
      <c r="B26" s="12">
        <f>'Set 2 IC'!C27</f>
        <v>1006.7833333333333</v>
      </c>
      <c r="C26" s="12">
        <f>'Set 3 IC'!C27</f>
        <v>1313.85</v>
      </c>
      <c r="D26" s="12">
        <v>1.2893840822034413</v>
      </c>
      <c r="E26" s="12">
        <v>1.2326158772623172</v>
      </c>
      <c r="F26" s="12">
        <v>4.6999452787742452E-2</v>
      </c>
      <c r="G26" s="12">
        <v>0.13297185414403867</v>
      </c>
      <c r="H26" s="12">
        <f>'Set 2 IC'!BN27</f>
        <v>2.429692857215962</v>
      </c>
      <c r="I26" s="12">
        <f>'Set 2 IC'!G27</f>
        <v>9.3370996960299685E-2</v>
      </c>
      <c r="J26" s="12">
        <f>'Set 2 IC'!BR27</f>
        <v>0.23349459131452641</v>
      </c>
      <c r="K26" s="12">
        <f>'Set 3 IC'!CA27</f>
        <v>1.1465647699757868</v>
      </c>
      <c r="L26" s="12">
        <f>'Set 3 IC'!G27</f>
        <v>0</v>
      </c>
      <c r="M26" s="12">
        <f>'Set 3 IC'!CE27</f>
        <v>0.20884050033090443</v>
      </c>
      <c r="N26" s="12">
        <f>'0 Set 2&amp;3'!C27</f>
        <v>1701.5999999999997</v>
      </c>
      <c r="O26" s="12">
        <f>'0 Set 2&amp;3'!G27</f>
        <v>3.6395395488072095</v>
      </c>
      <c r="P26" s="12">
        <f>[2]Sets!G33</f>
        <v>2.1687806684566242</v>
      </c>
      <c r="AE26" s="12"/>
    </row>
    <row r="27" spans="1:31">
      <c r="A27" s="12">
        <v>919.36666666666667</v>
      </c>
      <c r="B27" s="12">
        <f>'Set 2 IC'!C28</f>
        <v>1106.5999999999999</v>
      </c>
      <c r="C27" s="12">
        <f>'Set 3 IC'!C28</f>
        <v>1393</v>
      </c>
      <c r="D27" s="12">
        <v>1.2887152672219859</v>
      </c>
      <c r="E27" s="12">
        <v>1.3060436553778805</v>
      </c>
      <c r="F27" s="12">
        <v>4.9066699094059703E-2</v>
      </c>
      <c r="G27" s="12">
        <v>0.21146598830151686</v>
      </c>
      <c r="H27" s="12">
        <f>'Set 2 IC'!BN28</f>
        <v>2.6506186864810091</v>
      </c>
      <c r="I27" s="12">
        <f>'Set 2 IC'!G28</f>
        <v>0.11105652614449324</v>
      </c>
      <c r="J27" s="12">
        <f>'Set 2 IC'!BR28</f>
        <v>0.15838805657742039</v>
      </c>
      <c r="K27" s="12">
        <f>'Set 3 IC'!CA28</f>
        <v>1.0348062953995156</v>
      </c>
      <c r="L27" s="12">
        <f>'Set 3 IC'!G28</f>
        <v>0</v>
      </c>
      <c r="M27" s="12">
        <f>'Set 3 IC'!CE28</f>
        <v>0.38821150390768411</v>
      </c>
      <c r="N27" s="12">
        <f>'0 Set 2&amp;3'!C28</f>
        <v>1749.133333333333</v>
      </c>
      <c r="O27" s="12">
        <f>'0 Set 2&amp;3'!G28</f>
        <v>3.8806148867313914</v>
      </c>
      <c r="P27" s="12">
        <f>[2]Sets!G34</f>
        <v>2.0621359223300972</v>
      </c>
      <c r="AE27" s="12"/>
    </row>
    <row r="28" spans="1:31" ht="16" thickBot="1">
      <c r="A28" s="154">
        <v>937.95</v>
      </c>
      <c r="B28" s="12">
        <f>'Set 2 IC'!C29</f>
        <v>1151.2</v>
      </c>
      <c r="C28" s="12">
        <f>'Set 3 IC'!C29</f>
        <v>1441</v>
      </c>
      <c r="D28" s="12">
        <v>1.2934577734541253</v>
      </c>
      <c r="E28" s="12">
        <v>1.3292191078413491</v>
      </c>
      <c r="F28" s="12">
        <v>5.4934030522283697E-2</v>
      </c>
      <c r="G28" s="12">
        <v>0.15924570380203734</v>
      </c>
      <c r="H28" s="12">
        <f>'Set 2 IC'!BN29</f>
        <v>2.5530659145513419</v>
      </c>
      <c r="I28" s="12">
        <f>'Set 2 IC'!G29</f>
        <v>0.10366656220620495</v>
      </c>
      <c r="J28" s="12">
        <f>'Set 2 IC'!BR29</f>
        <v>0.17714433987192371</v>
      </c>
      <c r="K28" s="12">
        <f>'Set 3 IC'!CA29</f>
        <v>2.1161031760380888</v>
      </c>
      <c r="L28" s="12">
        <f>'Set 3 IC'!G29</f>
        <v>6.8402338335442653E-2</v>
      </c>
      <c r="M28" s="12">
        <f>'Set 3 IC'!CE29</f>
        <v>5.5158912938644993E-2</v>
      </c>
      <c r="N28" s="12">
        <f>'0 Set 2&amp;3'!C29</f>
        <v>1796.583333333333</v>
      </c>
      <c r="O28" s="12">
        <f>'0 Set 2&amp;3'!G29</f>
        <v>3.8356634304207122</v>
      </c>
      <c r="P28" s="12">
        <f>[2]Sets!G35</f>
        <v>2.1169902912621361</v>
      </c>
      <c r="AE28" s="12"/>
    </row>
    <row r="29" spans="1:31" ht="16" thickTop="1">
      <c r="A29" s="12">
        <v>1009.3</v>
      </c>
      <c r="B29" s="12">
        <f>'Set 2 IC'!C30</f>
        <v>1176</v>
      </c>
      <c r="C29" s="12">
        <f>'Set 3 IC'!C30</f>
        <v>1558.2833333333333</v>
      </c>
      <c r="D29" s="12">
        <v>0.97442944198829007</v>
      </c>
      <c r="E29" s="12">
        <v>1.4983570319034534</v>
      </c>
      <c r="F29" s="12">
        <v>2.9394192854582387E-2</v>
      </c>
      <c r="G29" s="12">
        <v>0.58839737858589003</v>
      </c>
      <c r="H29" s="12">
        <f>'Set 2 IC'!BN30</f>
        <v>2.4365193774156482</v>
      </c>
      <c r="I29" s="12">
        <f>'Set 2 IC'!G30</f>
        <v>0.11685991852083986</v>
      </c>
      <c r="J29" s="12">
        <f>'Set 2 IC'!BR30</f>
        <v>0.16141647797993824</v>
      </c>
      <c r="K29" s="12">
        <f>'Set 3 IC'!CA30</f>
        <v>1.8785783161574159</v>
      </c>
      <c r="L29" s="12">
        <f>'Set 3 IC'!G30</f>
        <v>6.8402338335442653E-2</v>
      </c>
      <c r="M29" s="12">
        <f>'Set 3 IC'!CE30</f>
        <v>0.28850849852659971</v>
      </c>
      <c r="N29" s="12">
        <f>'0 Set 2&amp;3'!C30</f>
        <v>1867.3999999999999</v>
      </c>
      <c r="O29" s="12">
        <f>'0 Set 2&amp;3'!G30</f>
        <v>3.3074285714285714</v>
      </c>
      <c r="P29" s="12">
        <f>[2]Sets!G36</f>
        <v>1.6915873015873015</v>
      </c>
      <c r="AE29" s="12"/>
    </row>
    <row r="30" spans="1:31">
      <c r="A30" s="12">
        <v>1033.3</v>
      </c>
      <c r="B30" s="12">
        <f>'Set 2 IC'!C31</f>
        <v>1200.1166666666666</v>
      </c>
      <c r="C30" s="12">
        <f>'Set 3 IC'!C31</f>
        <v>1650.9166666666667</v>
      </c>
      <c r="D30" s="12">
        <v>0.89583582267893413</v>
      </c>
      <c r="E30" s="12">
        <v>1.3269307364480025</v>
      </c>
      <c r="F30" s="12">
        <v>2.9663042179471862E-2</v>
      </c>
      <c r="G30" s="12">
        <v>0.40002023336210174</v>
      </c>
      <c r="H30" s="12">
        <f>'Set 2 IC'!BN31</f>
        <v>2.3050558863470183</v>
      </c>
      <c r="I30" s="12">
        <f>'Set 2 IC'!G31</f>
        <v>0.17104356001253529</v>
      </c>
      <c r="J30" s="12">
        <f>'Set 2 IC'!BR31</f>
        <v>0.14711633446276448</v>
      </c>
      <c r="K30" s="12">
        <f>'Set 3 IC'!CA31</f>
        <v>1.8720996805882</v>
      </c>
      <c r="L30" s="12">
        <f>'Set 3 IC'!G31</f>
        <v>6.8402338335442653E-2</v>
      </c>
      <c r="M30" s="12">
        <f>'Set 3 IC'!CE31</f>
        <v>0.12498774953118477</v>
      </c>
      <c r="N30" s="12">
        <f>'0 Set 2&amp;3'!C31</f>
        <v>1916.1999999999998</v>
      </c>
      <c r="O30" s="12">
        <f>'0 Set 2&amp;3'!G31</f>
        <v>3.4336507936507941</v>
      </c>
      <c r="P30" s="12">
        <f>'0 Set 2&amp;3'!U31</f>
        <v>1.6050793650793649</v>
      </c>
      <c r="AE30" s="12"/>
    </row>
    <row r="31" spans="1:31">
      <c r="A31">
        <v>1056.8666666666666</v>
      </c>
      <c r="B31" s="12">
        <f>'Set 2 IC'!C32</f>
        <v>1223.9833333333333</v>
      </c>
      <c r="C31" s="12">
        <f>'Set 3 IC'!C32</f>
        <v>1722.3</v>
      </c>
      <c r="D31" s="12">
        <v>0.89086914817908969</v>
      </c>
      <c r="E31" s="12">
        <v>1.3741039842404366</v>
      </c>
      <c r="F31" s="12">
        <f>'Set 1 IC'!BT32</f>
        <v>5.3714533246696991E-2</v>
      </c>
      <c r="G31" s="12">
        <v>0.57103143755710473</v>
      </c>
      <c r="H31" s="12">
        <f>'Set 2 IC'!BN32</f>
        <v>2.4585850251937411</v>
      </c>
      <c r="I31" s="12">
        <f>'Set 2 IC'!G32</f>
        <v>0.24059286324660401</v>
      </c>
      <c r="J31" s="12">
        <f>'Set 2 IC'!BR32</f>
        <v>7.4327854119078454E-2</v>
      </c>
      <c r="K31" s="12">
        <f>'Set 3 IC'!CA32</f>
        <v>1.9571454053571959</v>
      </c>
      <c r="L31" s="12">
        <f>'Set 3 IC'!G32</f>
        <v>9.8998127062460986E-2</v>
      </c>
      <c r="M31" s="12">
        <f>'Set 3 IC'!CE32</f>
        <v>0.11983835642926322</v>
      </c>
      <c r="N31" s="12">
        <f>'0 Set 2&amp;3'!C32</f>
        <v>1964.883333333333</v>
      </c>
      <c r="O31" s="12">
        <f>'0 Set 2&amp;3'!G32</f>
        <v>3.552</v>
      </c>
      <c r="P31" s="12">
        <f>'0 Set 2&amp;3'!U32</f>
        <v>1.6357142857142857</v>
      </c>
      <c r="AE31" s="12"/>
    </row>
    <row r="32" spans="1:31" ht="16" thickBot="1">
      <c r="A32">
        <v>1109.33</v>
      </c>
      <c r="B32" s="191">
        <f>'Set 2 IC'!C33</f>
        <v>1442.9166666666667</v>
      </c>
      <c r="C32" s="12">
        <f>'Set 3 IC'!C33</f>
        <v>1770.7</v>
      </c>
      <c r="D32" s="12">
        <v>1.0410594387202574</v>
      </c>
      <c r="E32" s="12">
        <v>1.3645739864063451</v>
      </c>
      <c r="F32" s="12">
        <f>'Set 1 IC'!BT33</f>
        <v>0.10105510690306012</v>
      </c>
      <c r="G32" s="12">
        <v>0.10742773049448741</v>
      </c>
      <c r="H32" s="12">
        <f>'Set 2 IC'!BN33</f>
        <v>2.6703204958206874</v>
      </c>
      <c r="I32" s="12">
        <f>'Set 2 IC'!G33</f>
        <v>0.2989067978902083</v>
      </c>
      <c r="J32" s="12">
        <f>'Set 2 IC'!BR33</f>
        <v>0.52598051337416041</v>
      </c>
      <c r="K32" s="12">
        <f>'Set 3 IC'!CA33</f>
        <v>2.1613104616939678</v>
      </c>
      <c r="L32" s="12">
        <f>'Set 3 IC'!G33</f>
        <v>9.8998127062460986E-2</v>
      </c>
      <c r="M32" s="12">
        <f>'Set 3 IC'!CE33</f>
        <v>4.2454812261571474E-3</v>
      </c>
      <c r="N32" s="12">
        <f>'0 Set 2&amp;3'!C33</f>
        <v>2060.8833333333332</v>
      </c>
      <c r="O32" s="12">
        <f>'0 Set 2&amp;3'!G33</f>
        <v>3.6269674541870014</v>
      </c>
      <c r="P32" s="12">
        <f>'0 Set 2&amp;3'!U33</f>
        <v>2.7054717042112406</v>
      </c>
    </row>
    <row r="33" spans="1:16" ht="16" thickTop="1">
      <c r="A33">
        <v>1176.8800000000001</v>
      </c>
      <c r="B33" s="12">
        <f>'Set 2 IC'!C34</f>
        <v>1462.7833333333333</v>
      </c>
      <c r="C33" s="12">
        <f>'Set 3 IC'!C34</f>
        <v>1890.85</v>
      </c>
      <c r="D33" s="12">
        <v>0.90160586651814723</v>
      </c>
      <c r="E33" s="12">
        <v>1.2342481718700042</v>
      </c>
      <c r="F33" s="12">
        <f>'Set 1 IC'!BT34</f>
        <v>4.2575574739317432E-2</v>
      </c>
      <c r="G33" s="12">
        <v>0.21625208763492149</v>
      </c>
      <c r="H33" s="12">
        <f>'Set 2 IC'!BN34</f>
        <v>3.0484525247763012</v>
      </c>
      <c r="I33" s="12">
        <f>'Set 2 IC'!G34</f>
        <v>0.12744202492854406</v>
      </c>
      <c r="J33" s="12">
        <f>'Set 2 IC'!BR34</f>
        <v>0.54437695670158837</v>
      </c>
      <c r="K33" s="12">
        <f>'Set 3 IC'!CA34</f>
        <v>2.1393692777212614</v>
      </c>
      <c r="L33" s="12">
        <f>'Set 3 IC'!G34</f>
        <v>2.0781863101293416E-2</v>
      </c>
      <c r="M33" s="12">
        <f>'Set 3 IC'!CE34</f>
        <v>9.5843717242689405E-2</v>
      </c>
      <c r="N33" s="12">
        <f>'0 Set 2&amp;3'!C34</f>
        <v>2116.3666666666668</v>
      </c>
      <c r="O33" s="12">
        <f>'0 Set 2&amp;3'!G34</f>
        <v>3.1270482531269193</v>
      </c>
      <c r="P33" s="12">
        <f>'0 Set 2&amp;3'!U34</f>
        <v>2.629359102808571</v>
      </c>
    </row>
    <row r="34" spans="1:16">
      <c r="A34">
        <v>1225.4000000000001</v>
      </c>
      <c r="B34" s="12">
        <f>'Set 2 IC'!C35</f>
        <v>1487.9666666666667</v>
      </c>
      <c r="C34" s="12">
        <f>'Set 3 IC'!C35</f>
        <v>1961.7166666666667</v>
      </c>
      <c r="D34" s="12">
        <f>'Set 1 IC'!G35</f>
        <v>0.7273971352978742</v>
      </c>
      <c r="E34" s="12">
        <f>'Set 1 IC'!CL35</f>
        <v>1.1618059990471263</v>
      </c>
      <c r="F34" s="12">
        <f>'Set 1 IC'!BT35</f>
        <v>4.5585865036645079E-2</v>
      </c>
      <c r="G34" s="12">
        <f>'Set 1 IC'!CP35</f>
        <v>4.1847790013635748E-2</v>
      </c>
      <c r="H34" s="12">
        <f>'Set 2 IC'!BN35</f>
        <v>2.5530843305532049</v>
      </c>
      <c r="I34" s="12">
        <f>'Set 2 IC'!G35</f>
        <v>0.13395986945485311</v>
      </c>
      <c r="J34" s="12">
        <f>'Set 2 IC'!BR35</f>
        <v>0.48742393825328162</v>
      </c>
      <c r="K34" s="12">
        <f>'Set 3 IC'!CA35</f>
        <v>2.3573608487138498</v>
      </c>
      <c r="L34" s="12">
        <f>'Set 3 IC'!G35</f>
        <v>2.0781863101293416E-2</v>
      </c>
      <c r="M34" s="12">
        <f>'Set 3 IC'!CE35</f>
        <v>0.81014354692934598</v>
      </c>
    </row>
    <row r="35" spans="1:16">
      <c r="A35">
        <v>1273.28</v>
      </c>
      <c r="B35" s="12">
        <f>'Set 2 IC'!C36</f>
        <v>1607.6666666666667</v>
      </c>
      <c r="C35" s="12">
        <f>'Set 3 IC'!C36</f>
        <v>2013.0333333333333</v>
      </c>
      <c r="D35" s="12">
        <f>'Set 1 IC'!G36</f>
        <v>0.68810631633366781</v>
      </c>
      <c r="E35" s="12">
        <f>'Set 1 IC'!CL36</f>
        <v>1.08491723180164</v>
      </c>
      <c r="F35" s="12">
        <f>'Set 1 IC'!BT36</f>
        <v>4.1723687011525706E-2</v>
      </c>
      <c r="G35" s="12">
        <f>'Set 1 IC'!CP36</f>
        <v>0.10995358550399044</v>
      </c>
      <c r="H35" s="12">
        <f>'Set 2 IC'!BN36</f>
        <v>2.4211591925540916</v>
      </c>
      <c r="I35" s="12">
        <f>'Set 2 IC'!G36</f>
        <v>0.23851686208146983</v>
      </c>
      <c r="J35" s="12">
        <f>'Set 2 IC'!BR36</f>
        <v>0.46663990041090364</v>
      </c>
      <c r="K35" s="12">
        <f>'Set 3 IC'!CA36</f>
        <v>2.1449247105405242</v>
      </c>
      <c r="L35" s="12">
        <f>'Set 3 IC'!G36</f>
        <v>0.15747795308656787</v>
      </c>
      <c r="M35" s="12">
        <f>'Set 3 IC'!CE36</f>
        <v>0.41842572024982899</v>
      </c>
    </row>
    <row r="36" spans="1:16">
      <c r="A36">
        <v>1345.25</v>
      </c>
      <c r="B36" s="12">
        <f>'Set 2 IC'!C37</f>
        <v>1655.8333333333333</v>
      </c>
      <c r="C36" s="12">
        <f>'Set 3 IC'!C37</f>
        <v>2061.3333333333335</v>
      </c>
      <c r="D36" s="12">
        <f>'Set 1 IC'!G37</f>
        <v>0.5649423714381292</v>
      </c>
      <c r="E36" s="12">
        <f>'Set 1 IC'!CL37</f>
        <v>0.83797098804853565</v>
      </c>
      <c r="F36" s="12">
        <f>'Set 1 IC'!BT37</f>
        <v>4.4186965909436493E-2</v>
      </c>
      <c r="G36" s="12">
        <f>'Set 1 IC'!CP37</f>
        <v>7.6993137576190251E-2</v>
      </c>
      <c r="H36" s="12">
        <f>'Set 2 IC'!BN37</f>
        <v>2.571129194943055</v>
      </c>
      <c r="I36" s="12">
        <f>'Set 2 IC'!G37</f>
        <v>0.22271512089074297</v>
      </c>
      <c r="J36" s="12">
        <f>'Set 2 IC'!BR37</f>
        <v>0.3023936521492076</v>
      </c>
      <c r="K36" s="12">
        <f>'Set 3 IC'!CA37</f>
        <v>1.5736080777387396</v>
      </c>
      <c r="L36" s="12">
        <f>'Set 3 IC'!G37</f>
        <v>0</v>
      </c>
      <c r="M36" s="12">
        <f>'Set 3 IC'!CE37</f>
        <v>6.1227551985436147E-2</v>
      </c>
    </row>
    <row r="37" spans="1:16">
      <c r="A37" s="12">
        <f>'Set 1 IC'!C38</f>
        <v>1394.2666666666667</v>
      </c>
      <c r="B37" s="12">
        <f>'Set 2 IC'!C38</f>
        <v>1727.7666666666667</v>
      </c>
      <c r="C37" s="12">
        <f>'Set 3 IC'!C38</f>
        <v>2129.7833333333338</v>
      </c>
      <c r="D37" s="12">
        <f>'Set 1 IC'!G38</f>
        <v>0.75860480825324694</v>
      </c>
      <c r="E37" s="12">
        <f>'Set 1 IC'!CL38</f>
        <v>0.99876160356985677</v>
      </c>
      <c r="F37" s="12">
        <f>'Set 1 IC'!BT38</f>
        <v>0</v>
      </c>
      <c r="G37" s="12">
        <f>'Set 1 IC'!CP38</f>
        <v>0.27925870609234149</v>
      </c>
      <c r="H37" s="12">
        <f>'Set 2 IC'!BN38</f>
        <v>2.6917359499397748</v>
      </c>
      <c r="I37" s="12">
        <f>'Set 2 IC'!G38</f>
        <v>0.34398777872440434</v>
      </c>
      <c r="J37" s="12">
        <f>'Set 2 IC'!BR38</f>
        <v>0.2213416690311247</v>
      </c>
      <c r="K37" s="12">
        <f>'Set 3 IC'!CA38</f>
        <v>1.2710885322698067</v>
      </c>
      <c r="L37" s="12">
        <f>'Set 3 IC'!G38</f>
        <v>0.25100496945525913</v>
      </c>
      <c r="M37" s="12">
        <f>'Set 3 IC'!CE38</f>
        <v>0.7102806953478249</v>
      </c>
    </row>
    <row r="38" spans="1:16">
      <c r="A38" s="12">
        <f>'Set 1 IC'!C39</f>
        <v>1416.25</v>
      </c>
      <c r="B38" s="12">
        <f>'Set 2 IC'!C39</f>
        <v>1776.1166666666666</v>
      </c>
      <c r="C38" s="12">
        <f>'Set 3 IC'!C39</f>
        <v>2178.1500000000005</v>
      </c>
      <c r="D38" s="12">
        <f>'Set 1 IC'!G39</f>
        <v>0.68890662900303978</v>
      </c>
      <c r="E38" s="12">
        <f>'Set 1 IC'!CL39</f>
        <v>0.95482411700287606</v>
      </c>
      <c r="F38" s="12">
        <f>'Set 1 IC'!BT39</f>
        <v>-4.5134944272160662E-3</v>
      </c>
      <c r="G38" s="12">
        <f>'Set 1 IC'!CP39</f>
        <v>7.0634439770567797E-2</v>
      </c>
      <c r="H38" s="12">
        <f>'Set 2 IC'!BN39</f>
        <v>2.5997881355932204</v>
      </c>
      <c r="I38" s="12">
        <f>'Set 2 IC'!G39</f>
        <v>8.6955205811138025E-2</v>
      </c>
      <c r="J38" s="12">
        <f>'Set 2 IC'!BR39</f>
        <v>0.15456404907396362</v>
      </c>
      <c r="K38" s="12">
        <f>'Set 3 IC'!CA39</f>
        <v>1.5830247206659704</v>
      </c>
      <c r="L38" s="12">
        <f>'Set 3 IC'!G39</f>
        <v>0</v>
      </c>
      <c r="M38" s="12">
        <f>'Set 3 IC'!CE39</f>
        <v>1.0673729280682551</v>
      </c>
    </row>
    <row r="39" spans="1:16">
      <c r="A39" s="12">
        <f>'Set 1 IC'!C40</f>
        <v>1517.2833333333333</v>
      </c>
      <c r="B39" s="12">
        <f>'Set 2 IC'!C40</f>
        <v>1822.25</v>
      </c>
      <c r="C39" s="12">
        <f>'Set 3 IC'!C40</f>
        <v>2227.9666666666672</v>
      </c>
      <c r="D39" s="12">
        <f>'Set 1 IC'!G40</f>
        <v>0.64926770855721705</v>
      </c>
      <c r="E39" s="12">
        <f>'Set 1 IC'!CL40</f>
        <v>0.92642287655950961</v>
      </c>
      <c r="F39" s="12">
        <f>'Set 1 IC'!BT40</f>
        <v>2.7633639350302375E-4</v>
      </c>
      <c r="G39" s="12">
        <f>'Set 1 IC'!CP40</f>
        <v>0.1920983145489652</v>
      </c>
      <c r="H39" s="12">
        <f>'Set 2 IC'!BN40</f>
        <v>2.6989709443099272</v>
      </c>
      <c r="I39" s="12">
        <f>'Set 2 IC'!G40</f>
        <v>7.7481840193704604E-2</v>
      </c>
      <c r="J39" s="12">
        <f>'Set 2 IC'!BR40</f>
        <v>0.23186346017459525</v>
      </c>
      <c r="K39" s="12">
        <f>'Set 3 IC'!CA40</f>
        <v>1.561984126984127</v>
      </c>
      <c r="L39" s="12">
        <f>'Set 3 IC'!G40</f>
        <v>0</v>
      </c>
      <c r="M39" s="12">
        <f>'Set 3 IC'!CE40</f>
        <v>1.3862206785463962</v>
      </c>
    </row>
    <row r="40" spans="1:16">
      <c r="A40" s="12">
        <f>'Set 1 IC'!C41</f>
        <v>1561.9</v>
      </c>
      <c r="B40" s="12">
        <f>'Set 2 IC'!C41</f>
        <v>1901.2333333333333</v>
      </c>
      <c r="C40" s="12">
        <f>'Set 3 IC'!C41</f>
        <v>2345.7166666666672</v>
      </c>
      <c r="D40" s="12">
        <f>'Set 1 IC'!G41</f>
        <v>0.8248198057035413</v>
      </c>
      <c r="E40" s="12">
        <f>'Set 1 IC'!CL41</f>
        <v>1.1702078763188135</v>
      </c>
      <c r="F40" s="12">
        <f>'Set 1 IC'!BT41</f>
        <v>1.3757442807897209E-2</v>
      </c>
      <c r="G40" s="12">
        <f>'Set 1 IC'!CP41</f>
        <v>0.3017097223260648</v>
      </c>
      <c r="H40" s="12">
        <f>'Set 2 IC'!BN41</f>
        <v>2.0079398708635998</v>
      </c>
      <c r="I40" s="12">
        <f>'Set 2 IC'!G41</f>
        <v>7.4909200968523007E-2</v>
      </c>
      <c r="J40" s="12">
        <f>'Set 2 IC'!BR41</f>
        <v>0.14555266922837695</v>
      </c>
      <c r="K40" s="12">
        <f>'Set 3 IC'!CA41</f>
        <v>2.1293650793650793</v>
      </c>
      <c r="L40" s="12">
        <f>'Set 3 IC'!G41</f>
        <v>0</v>
      </c>
      <c r="M40" s="12">
        <f>'Set 3 IC'!CE41</f>
        <v>4.6983546113955041E-2</v>
      </c>
    </row>
    <row r="41" spans="1:16">
      <c r="A41" s="12">
        <f>'Set 1 IC'!C42</f>
        <v>1586.3</v>
      </c>
      <c r="B41" s="12">
        <f>'Set 2 IC'!C42</f>
        <v>1949.1666666666667</v>
      </c>
      <c r="C41" s="12">
        <f>'Set 3 IC'!C42</f>
        <v>2393.4500000000003</v>
      </c>
      <c r="D41" s="12">
        <f>'Set 1 IC'!G42</f>
        <v>0.79984330930742709</v>
      </c>
      <c r="E41" s="12">
        <f>'Set 1 IC'!CL42</f>
        <v>1.0155437167032277</v>
      </c>
      <c r="F41" s="12">
        <f>'Set 1 IC'!BT42</f>
        <v>1.6170479473519277E-2</v>
      </c>
      <c r="G41" s="12">
        <f>'Set 1 IC'!CP42</f>
        <v>0.25048965484881558</v>
      </c>
      <c r="H41" s="12">
        <f>'Set 2 IC'!BN42</f>
        <v>2.7197613451455438</v>
      </c>
      <c r="I41" s="12">
        <f>'Set 2 IC'!G42</f>
        <v>0.14876755258241425</v>
      </c>
      <c r="J41" s="12">
        <f>'Set 2 IC'!BR42</f>
        <v>0.72084873246357639</v>
      </c>
      <c r="K41" s="12">
        <f>'Set 3 IC'!CA42</f>
        <v>2.633938215597321</v>
      </c>
      <c r="L41" s="12">
        <f>'Set 3 IC'!G42</f>
        <v>0</v>
      </c>
      <c r="M41" s="12">
        <f>'Set 3 IC'!CE42</f>
        <v>7.3519465769952178E-2</v>
      </c>
    </row>
    <row r="42" spans="1:16">
      <c r="A42" s="12">
        <f>'Set 1 IC'!C43</f>
        <v>1610.5</v>
      </c>
      <c r="B42" s="12">
        <f>'Set 2 IC'!C43</f>
        <v>2066.4500000000003</v>
      </c>
      <c r="C42" s="12">
        <f>'Set 3 IC'!C43</f>
        <v>2513.4666666666672</v>
      </c>
      <c r="D42" s="12">
        <f>'Set 1 IC'!G43</f>
        <v>0.93610153556878717</v>
      </c>
      <c r="E42" s="12">
        <f>'Set 1 IC'!CL43</f>
        <v>0.96605034994254668</v>
      </c>
      <c r="F42" s="12">
        <f>'Set 1 IC'!BT43</f>
        <v>3.0460670636164217E-2</v>
      </c>
      <c r="G42" s="12">
        <f>'Set 1 IC'!CP43</f>
        <v>0.13723784490001623</v>
      </c>
      <c r="H42" s="12">
        <f>'Set 2 IC'!BN43</f>
        <v>2.5979429076518215</v>
      </c>
      <c r="I42" s="12">
        <f>'Set 2 IC'!G43</f>
        <v>0.16458747664677878</v>
      </c>
      <c r="J42" s="12">
        <f>'Set 2 IC'!BR43</f>
        <v>0.75037987904535342</v>
      </c>
      <c r="K42" s="12">
        <f>'Set 3 IC'!CA43</f>
        <v>3.0959324753880817</v>
      </c>
      <c r="L42" s="12">
        <f>'Set 3 IC'!G43</f>
        <v>0</v>
      </c>
      <c r="M42" s="12">
        <f>'Set 3 IC'!CE43</f>
        <v>6.9112304334152108E-2</v>
      </c>
    </row>
    <row r="43" spans="1:16" ht="16" thickBot="1">
      <c r="A43" s="191">
        <f>'Set 1 IC'!C44</f>
        <v>1901.3333333333333</v>
      </c>
      <c r="B43" s="12">
        <f>'Set 2 IC'!C44</f>
        <v>2159.0833333333335</v>
      </c>
      <c r="C43" s="12">
        <f>'Set 3 IC'!C44</f>
        <v>2633.7166666666672</v>
      </c>
      <c r="D43" s="12">
        <f>'Set 1 IC'!G44</f>
        <v>0.63414562277160624</v>
      </c>
      <c r="E43" s="12">
        <f>'Set 1 IC'!CL44</f>
        <v>1.3104969011207042</v>
      </c>
      <c r="F43" s="12">
        <f>'Set 1 IC'!BT44</f>
        <v>9.5706750744025695E-2</v>
      </c>
      <c r="G43" s="12">
        <f>'Set 1 IC'!CP44</f>
        <v>0.78880636288437256</v>
      </c>
      <c r="H43" s="12">
        <f>'Set 2 IC'!BN44</f>
        <v>3.0364310251310798</v>
      </c>
      <c r="I43" s="12">
        <f>'Set 2 IC'!G44</f>
        <v>0.24212017115651177</v>
      </c>
      <c r="J43" s="12">
        <f>'Set 2 IC'!BR44</f>
        <v>0.67153526101368244</v>
      </c>
      <c r="K43" s="12">
        <f>'Set 3 IC'!CA44</f>
        <v>4.137888467117242</v>
      </c>
      <c r="L43" s="12">
        <f>'Set 3 IC'!G44</f>
        <v>2.2061228898558776</v>
      </c>
      <c r="M43" s="12">
        <f>'Set 3 IC'!CE44</f>
        <v>0.83495676656447704</v>
      </c>
    </row>
    <row r="44" spans="1:16" ht="16" thickTop="1">
      <c r="A44" s="12">
        <f>'Set 1 IC'!C45</f>
        <v>1921.0833333333333</v>
      </c>
      <c r="B44" s="12">
        <f>'Set 2 IC'!C45</f>
        <v>2230.4666666666667</v>
      </c>
      <c r="C44" s="12">
        <f>'Set 3 IC'!C45</f>
        <v>2681.2500000000005</v>
      </c>
      <c r="D44" s="12">
        <f>'Set 1 IC'!G45</f>
        <v>0.58166602822877689</v>
      </c>
      <c r="E44" s="12">
        <f>'Set 1 IC'!CL45</f>
        <v>0.88173183644203468</v>
      </c>
      <c r="F44" s="12">
        <f>'Set 1 IC'!BT45</f>
        <v>6.2468691988095598E-2</v>
      </c>
      <c r="G44" s="12">
        <f>'Set 1 IC'!CP45</f>
        <v>0.37938499909396584</v>
      </c>
      <c r="H44" s="12">
        <f>'Set 2 IC'!BN45</f>
        <v>3.207063650147159</v>
      </c>
      <c r="I44" s="12">
        <f>'Set 2 IC'!G45</f>
        <v>0.15069714897285727</v>
      </c>
      <c r="J44" s="12">
        <f>'Set 2 IC'!BR45</f>
        <v>0.85529936901960857</v>
      </c>
      <c r="K44" s="12">
        <f>'Set 3 IC'!CA45</f>
        <v>1.5864886731391585</v>
      </c>
      <c r="L44" s="12">
        <f>'Set 3 IC'!G45</f>
        <v>0</v>
      </c>
      <c r="M44" s="12">
        <f>'Set 3 IC'!CE45</f>
        <v>0.281703211146972</v>
      </c>
    </row>
    <row r="45" spans="1:16">
      <c r="A45" s="12">
        <f>'Set 1 IC'!C46</f>
        <v>1946.2666666666667</v>
      </c>
      <c r="B45" s="12">
        <f>'Set 2 IC'!C46</f>
        <v>2278.8666666666668</v>
      </c>
      <c r="C45" s="12">
        <f>'Set 3 IC'!C46</f>
        <v>2728.7000000000003</v>
      </c>
      <c r="D45" s="12">
        <f>'Set 1 IC'!G46</f>
        <v>0.66173093194729837</v>
      </c>
      <c r="E45" s="12">
        <f>'Set 1 IC'!CL46</f>
        <v>0.91580039485877762</v>
      </c>
      <c r="F45" s="12">
        <f>'Set 1 IC'!BT46</f>
        <v>3.1729723195938579E-3</v>
      </c>
      <c r="G45" s="12">
        <f>'Set 1 IC'!CP46</f>
        <v>0.22752158177391496</v>
      </c>
      <c r="H45" s="12">
        <f>'Set 2 IC'!BN46</f>
        <v>2.8381246841275973</v>
      </c>
      <c r="I45" s="12">
        <f>'Set 2 IC'!G46</f>
        <v>0.17486696197639501</v>
      </c>
      <c r="J45" s="12">
        <f>'Set 2 IC'!BR46</f>
        <v>0.31042255680076741</v>
      </c>
      <c r="K45" s="12">
        <f>'Set 3 IC'!CA46</f>
        <v>2.5499190938511322</v>
      </c>
      <c r="L45" s="12">
        <f>'Set 3 IC'!G46</f>
        <v>0</v>
      </c>
      <c r="M45" s="12">
        <f>'Set 3 IC'!CE46</f>
        <v>0.11280732616400027</v>
      </c>
    </row>
    <row r="46" spans="1:16">
      <c r="A46" s="12">
        <f>'Set 1 IC'!C47</f>
        <v>2065.9666666666662</v>
      </c>
      <c r="B46" s="12">
        <f>'Set 2 IC'!C47</f>
        <v>2399.0166666666669</v>
      </c>
      <c r="C46" s="12"/>
      <c r="D46" s="12">
        <f>'Set 1 IC'!G47</f>
        <v>0.40339054756436599</v>
      </c>
      <c r="E46" s="12">
        <f>'Set 1 IC'!CL47</f>
        <v>1.4326221846166243</v>
      </c>
      <c r="F46" s="12">
        <f>'Set 1 IC'!BT47</f>
        <v>1.6590112413876461E-2</v>
      </c>
      <c r="G46" s="12">
        <f>'Set 1 IC'!CP47</f>
        <v>0.16889956500642289</v>
      </c>
      <c r="H46" s="12">
        <f>'Set 2 IC'!BN47</f>
        <v>3.1572736520854527</v>
      </c>
      <c r="I46" s="12">
        <f>'Set 2 IC'!G47</f>
        <v>0.18904229036477255</v>
      </c>
      <c r="J46" s="12">
        <f>'Set 2 IC'!BR47</f>
        <v>0.17270995255599966</v>
      </c>
      <c r="K46" s="12"/>
      <c r="L46" s="12"/>
      <c r="M46" s="12"/>
    </row>
    <row r="47" spans="1:16">
      <c r="A47" s="12">
        <f>'Set 1 IC'!C48</f>
        <v>2114.1333333333328</v>
      </c>
      <c r="C47" s="12"/>
      <c r="D47" s="12">
        <f>'Set 1 IC'!G48</f>
        <v>0.51158964716942334</v>
      </c>
      <c r="E47" s="12">
        <f>'Set 1 IC'!CL48</f>
        <v>1.2532291391247294</v>
      </c>
      <c r="F47" s="12">
        <f>'Set 1 IC'!BT48</f>
        <v>0.1258556361820265</v>
      </c>
      <c r="G47" s="12">
        <f>'Set 1 IC'!CP48</f>
        <v>0.39705020967896676</v>
      </c>
      <c r="K47" s="12"/>
      <c r="L47" s="12"/>
      <c r="M47" s="12"/>
    </row>
    <row r="48" spans="1:16">
      <c r="A48" s="12">
        <f>'Set 1 IC'!C49</f>
        <v>2186.0666666666662</v>
      </c>
      <c r="C48" s="12"/>
      <c r="D48" s="12">
        <f>'Set 1 IC'!G49</f>
        <v>0.55548047827491998</v>
      </c>
      <c r="E48" s="12">
        <f>'Set 1 IC'!CL49</f>
        <v>1.3482182202767412</v>
      </c>
      <c r="F48" s="12">
        <f>'Set 1 IC'!BT49</f>
        <v>0.13690178912423984</v>
      </c>
      <c r="G48" s="12">
        <f>'Set 1 IC'!CP49</f>
        <v>0.15934860386668995</v>
      </c>
      <c r="K48" s="12"/>
      <c r="L48" s="12"/>
      <c r="M48" s="12"/>
    </row>
    <row r="49" spans="1:13">
      <c r="A49" s="12">
        <f>'Set 1 IC'!C50</f>
        <v>2234.2333333333327</v>
      </c>
      <c r="C49" s="12"/>
      <c r="D49" s="12">
        <f>'Set 1 IC'!G50</f>
        <v>0.62963075060532681</v>
      </c>
      <c r="E49" s="12">
        <f>'Set 1 IC'!CL50</f>
        <v>1.4603712671509284</v>
      </c>
      <c r="F49" s="12">
        <f>'Set 1 IC'!BT50</f>
        <v>8.4140435835351069E-3</v>
      </c>
      <c r="G49" s="12">
        <f>'Set 1 IC'!CP50</f>
        <v>9.7610839901539639E-2</v>
      </c>
      <c r="K49" s="12"/>
      <c r="L49" s="12"/>
      <c r="M49" s="12"/>
    </row>
    <row r="50" spans="1:13">
      <c r="A50" s="12">
        <f>'Set 1 IC'!C51</f>
        <v>2280.3666666666663</v>
      </c>
      <c r="C50" s="12"/>
      <c r="D50" s="12">
        <f>'Set 1 IC'!G51</f>
        <v>0.70226997578692496</v>
      </c>
      <c r="E50" s="12">
        <f>'Set 1 IC'!CL51</f>
        <v>1.4436440677966103</v>
      </c>
      <c r="F50" s="12">
        <f>'Set 1 IC'!BT51</f>
        <v>3.6743341404358358E-2</v>
      </c>
      <c r="G50" s="12">
        <f>'Set 1 IC'!CP51</f>
        <v>0.11826330288931916</v>
      </c>
      <c r="K50" s="12"/>
      <c r="L50" s="12"/>
      <c r="M50" s="12"/>
    </row>
    <row r="51" spans="1:13">
      <c r="A51" s="12">
        <f>'Set 1 IC'!C52</f>
        <v>2359.3499999999995</v>
      </c>
      <c r="D51" s="12">
        <f>'Set 1 IC'!G52</f>
        <v>0.97433414043583533</v>
      </c>
      <c r="E51" s="12">
        <f>'Set 1 IC'!CL52</f>
        <v>1.6800645682001616</v>
      </c>
      <c r="F51" s="12">
        <f>'Set 1 IC'!BT52</f>
        <v>1.6071428571428573E-2</v>
      </c>
      <c r="G51" s="12">
        <f>'Set 1 IC'!CP52</f>
        <v>2.5171624935643143E-2</v>
      </c>
      <c r="K51" s="12"/>
      <c r="L51" s="12"/>
      <c r="M51" s="12"/>
    </row>
    <row r="52" spans="1:13">
      <c r="A52" s="12">
        <f>'Set 1 IC'!C53</f>
        <v>2407.2833333333328</v>
      </c>
      <c r="D52" s="12">
        <f>'Set 1 IC'!G53</f>
        <v>1.0375760863014523</v>
      </c>
      <c r="E52" s="12">
        <f>'Set 1 IC'!CL53</f>
        <v>1.8565258442315031</v>
      </c>
      <c r="F52" s="12">
        <f>'Set 1 IC'!BT53</f>
        <v>0</v>
      </c>
      <c r="G52" s="12">
        <f>'Set 1 IC'!CP53</f>
        <v>0.25730092808123212</v>
      </c>
    </row>
    <row r="53" spans="1:13">
      <c r="A53" s="12">
        <f>'Set 1 IC'!C54</f>
        <v>2524.5666666666662</v>
      </c>
      <c r="D53" s="12">
        <f>'Set 1 IC'!G54</f>
        <v>0.8973663593081419</v>
      </c>
      <c r="E53" s="12">
        <f>'Set 1 IC'!CL54</f>
        <v>1.7762409851543826</v>
      </c>
      <c r="F53" s="12">
        <f>[2]Sets!AM3</f>
        <v>0.17775568010606882</v>
      </c>
      <c r="G53" s="12">
        <f>'Set 1 IC'!CP54</f>
        <v>0.37011565553018155</v>
      </c>
    </row>
    <row r="54" spans="1:13">
      <c r="A54" s="12">
        <f>'Set 1 IC'!C55</f>
        <v>2617.1999999999994</v>
      </c>
      <c r="D54" s="12">
        <f>'Set 1 IC'!G55</f>
        <v>1.0204905683119387</v>
      </c>
      <c r="E54" s="12">
        <f>'Set 1 IC'!CL55</f>
        <v>2.1223407460977519</v>
      </c>
      <c r="F54" s="12">
        <f>'Set 1 IC'!BT55</f>
        <v>3.4321701922497436E-2</v>
      </c>
      <c r="G54" s="12">
        <f>'Set 1 IC'!CP55</f>
        <v>0.8037926281292096</v>
      </c>
    </row>
    <row r="55" spans="1:13">
      <c r="A55" s="12">
        <f>'Set 1 IC'!C56</f>
        <v>2688.583333333333</v>
      </c>
      <c r="D55" s="12">
        <f>'Set 1 IC'!G56</f>
        <v>1.0347236673900764</v>
      </c>
      <c r="E55" s="12">
        <f>'Set 1 IC'!CL56</f>
        <v>2.2650652555221922</v>
      </c>
      <c r="F55" s="12">
        <f>'Set 1 IC'!BT56</f>
        <v>0.10069268959776437</v>
      </c>
      <c r="G55" s="12">
        <f>'Set 1 IC'!CP56</f>
        <v>0.88144981753268414</v>
      </c>
    </row>
    <row r="56" spans="1:13">
      <c r="A56" s="12">
        <f>'Set 1 IC'!C57</f>
        <v>2736.9833333333327</v>
      </c>
      <c r="D56" s="12">
        <f>'Set 1 IC'!G57</f>
        <v>1.1060142105419628</v>
      </c>
      <c r="E56" s="12">
        <f>'Set 1 IC'!CL57</f>
        <v>2.7852067663584741</v>
      </c>
      <c r="F56" s="12">
        <f>[2]Sets!AM5</f>
        <v>0.10381425216279692</v>
      </c>
      <c r="G56" s="12">
        <f>'Set 1 IC'!CP57</f>
        <v>0.57968536571805984</v>
      </c>
    </row>
    <row r="57" spans="1:13">
      <c r="A57" s="12">
        <f>'Set 1 IC'!C58</f>
        <v>2857.1333333333328</v>
      </c>
      <c r="D57" s="12">
        <f>'Set 1 IC'!G58</f>
        <v>1.1120476674901905</v>
      </c>
      <c r="E57" s="12">
        <f>'Set 1 IC'!CL58</f>
        <v>2.6134379692874097</v>
      </c>
      <c r="F57" s="12">
        <f>'Set 1 IC'!BT58</f>
        <v>2.6798430460688853E-2</v>
      </c>
      <c r="G57" s="12">
        <f>'Set 1 IC'!CP58</f>
        <v>0.64765996679122495</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C5245-13AB-F94B-850D-69AF69E0A1BC}">
  <dimension ref="A1:IL134"/>
  <sheetViews>
    <sheetView zoomScale="143" zoomScaleNormal="143" workbookViewId="0">
      <pane xSplit="2" topLeftCell="C1" activePane="topRight" state="frozen"/>
      <selection pane="topRight" activeCell="M102" sqref="M102"/>
    </sheetView>
  </sheetViews>
  <sheetFormatPr defaultColWidth="10.83203125" defaultRowHeight="15.5"/>
  <cols>
    <col min="1" max="2" width="10.83203125" style="35"/>
    <col min="3" max="5" width="10.83203125" style="86"/>
    <col min="6" max="6" width="10.83203125" style="87"/>
    <col min="7" max="9" width="10.83203125" style="91" customWidth="1"/>
    <col min="10" max="10" width="10.83203125" style="92" customWidth="1"/>
    <col min="11" max="13" width="10.83203125" style="95" customWidth="1"/>
    <col min="14" max="14" width="10.83203125" style="96" customWidth="1"/>
    <col min="15" max="17" width="10.83203125" style="99" customWidth="1"/>
    <col min="18" max="18" width="10.83203125" style="100" customWidth="1"/>
    <col min="19" max="21" width="10.83203125" style="103" customWidth="1"/>
    <col min="22" max="22" width="10.83203125" style="104" customWidth="1"/>
    <col min="23" max="23" width="10.83203125" style="35" customWidth="1"/>
    <col min="24" max="24" width="10.83203125" style="33" customWidth="1"/>
    <col min="25" max="27" width="10.83203125" style="103" customWidth="1"/>
    <col min="28" max="28" width="10.83203125" style="104" customWidth="1"/>
    <col min="29" max="31" width="10.83203125" style="91" customWidth="1"/>
    <col min="32" max="32" width="10.83203125" style="92" customWidth="1"/>
    <col min="33" max="35" width="10.83203125" style="95" customWidth="1"/>
    <col min="36" max="36" width="10.83203125" style="96" customWidth="1"/>
    <col min="37" max="39" width="10.83203125" style="99" customWidth="1"/>
    <col min="40" max="40" width="10.83203125" style="100" customWidth="1"/>
    <col min="41" max="41" width="10.83203125" style="108" customWidth="1"/>
    <col min="42" max="43" width="10.83203125" style="109" customWidth="1"/>
    <col min="44" max="44" width="10.83203125" style="110" customWidth="1"/>
    <col min="45" max="45" width="10.83203125" style="33" customWidth="1"/>
    <col min="46" max="48" width="10.83203125" style="103" customWidth="1"/>
    <col min="49" max="49" width="10.83203125" style="104" customWidth="1"/>
    <col min="50" max="52" width="10.83203125" style="91" customWidth="1"/>
    <col min="53" max="53" width="10.83203125" style="92" customWidth="1"/>
    <col min="54" max="56" width="10.83203125" style="95" customWidth="1"/>
    <col min="57" max="57" width="10.83203125" style="96" customWidth="1"/>
    <col min="58" max="60" width="10.83203125" style="99" customWidth="1"/>
    <col min="61" max="61" width="10.83203125" style="100" customWidth="1"/>
    <col min="62" max="62" width="10.83203125" style="119" customWidth="1"/>
    <col min="63" max="64" width="10.83203125" style="120" customWidth="1"/>
    <col min="65" max="65" width="10.83203125" style="121" customWidth="1"/>
    <col min="66" max="66" width="10.83203125" style="33" customWidth="1"/>
    <col min="67" max="67" width="10.83203125" style="109" customWidth="1"/>
    <col min="68" max="68" width="10.83203125" style="120" customWidth="1"/>
    <col min="69" max="69" width="10.83203125" style="244" customWidth="1"/>
    <col min="70" max="72" width="10.83203125" style="103" customWidth="1"/>
    <col min="73" max="73" width="10.83203125" style="245" customWidth="1"/>
    <col min="74" max="76" width="10.83203125" style="91" customWidth="1"/>
    <col min="77" max="77" width="10.83203125" style="246" customWidth="1"/>
    <col min="78" max="80" width="10.83203125" style="95" customWidth="1"/>
    <col min="81" max="81" width="10.83203125" style="247" customWidth="1"/>
    <col min="82" max="84" width="10.83203125" style="242" customWidth="1"/>
    <col min="85" max="85" width="10.83203125" style="248" customWidth="1"/>
    <col min="86" max="88" width="10.83203125" style="103" customWidth="1"/>
    <col min="89" max="89" width="10.83203125" style="104" customWidth="1"/>
    <col min="90" max="92" width="10.83203125" style="91" customWidth="1"/>
    <col min="93" max="93" width="10.83203125" style="92" customWidth="1"/>
    <col min="94" max="96" width="10.83203125" style="95" customWidth="1"/>
    <col min="97" max="97" width="10.83203125" style="96" customWidth="1"/>
    <col min="98" max="100" width="10.83203125" style="249" customWidth="1"/>
    <col min="101" max="101" width="10.83203125" style="250" customWidth="1"/>
    <col min="102" max="102" width="10.83203125" style="33" customWidth="1"/>
    <col min="103" max="103" width="10.83203125" style="248" customWidth="1"/>
    <col min="104" max="106" width="10.83203125" style="103" customWidth="1"/>
    <col min="107" max="107" width="10.83203125" style="104" customWidth="1"/>
    <col min="108" max="108" width="10.83203125" style="279" customWidth="1"/>
    <col min="109" max="109" width="10.83203125" style="280" customWidth="1"/>
    <col min="110" max="110" width="10.83203125" style="281" customWidth="1"/>
    <col min="111" max="111" width="15.5" style="287" customWidth="1"/>
    <col min="112" max="112" width="17.5" style="284" customWidth="1"/>
    <col min="113" max="114" width="10.83203125" style="284" customWidth="1"/>
    <col min="115" max="115" width="10.83203125" style="285" customWidth="1"/>
    <col min="116" max="118" width="10.83203125" style="288" customWidth="1"/>
    <col min="119" max="119" width="10.83203125" style="100" customWidth="1"/>
    <col min="120" max="122" width="10.83203125" style="282" customWidth="1"/>
    <col min="123" max="123" width="10.83203125" style="283" customWidth="1"/>
    <col min="124" max="124" width="10.83203125" style="33" customWidth="1"/>
    <col min="125" max="127" width="10.83203125" style="103" customWidth="1"/>
    <col min="128" max="128" width="10.83203125" style="104" customWidth="1"/>
    <col min="129" max="131" width="10.83203125" style="91" customWidth="1"/>
    <col min="132" max="132" width="10.83203125" style="92" customWidth="1"/>
    <col min="133" max="135" width="10.83203125" style="95" customWidth="1"/>
    <col min="136" max="136" width="10.83203125" style="96" customWidth="1"/>
    <col min="137" max="139" width="10.83203125" style="326" customWidth="1"/>
    <col min="140" max="140" width="10.83203125" style="327" customWidth="1"/>
    <col min="141" max="141" width="10.83203125" style="329" customWidth="1"/>
    <col min="142" max="144" width="10.83203125" style="103" customWidth="1"/>
    <col min="145" max="145" width="10.83203125" style="104" customWidth="1"/>
    <col min="146" max="148" width="10.83203125" style="91" customWidth="1"/>
    <col min="149" max="149" width="10.83203125" style="92" customWidth="1"/>
    <col min="150" max="152" width="10.83203125" style="95" customWidth="1"/>
    <col min="153" max="153" width="10.83203125" style="96" customWidth="1"/>
    <col min="154" max="156" width="10.83203125" style="324" customWidth="1"/>
    <col min="157" max="157" width="10.83203125" style="325" customWidth="1"/>
    <col min="158" max="158" width="10.83203125" style="33" customWidth="1"/>
    <col min="159" max="159" width="10.83203125" style="330" customWidth="1"/>
    <col min="160" max="160" width="10.83203125" style="324"/>
    <col min="161" max="161" width="10.83203125" style="244"/>
    <col min="162" max="164" width="10.83203125" style="103"/>
    <col min="165" max="165" width="10.83203125" style="544"/>
    <col min="166" max="168" width="10.83203125" style="512"/>
    <col min="169" max="169" width="10.83203125" style="550"/>
    <col min="170" max="172" width="10.83203125" style="282"/>
    <col min="173" max="173" width="10.83203125" style="557"/>
    <col min="174" max="176" width="10.83203125" style="514"/>
    <col min="177" max="177" width="10.83203125" style="556"/>
    <col min="178" max="180" width="10.83203125" style="515"/>
    <col min="181" max="181" width="10.83203125" style="202"/>
    <col min="182" max="182" width="10.83203125" style="516"/>
    <col min="183" max="185" width="10.83203125" style="517"/>
    <col min="186" max="186" width="10.83203125" style="245"/>
    <col min="187" max="189" width="10.83203125" style="91"/>
    <col min="190" max="190" width="10.83203125" style="555"/>
    <col min="191" max="193" width="10.83203125" style="519"/>
    <col min="194" max="194" width="10.83203125" style="553"/>
    <col min="195" max="197" width="10.83203125" style="520"/>
    <col min="198" max="198" width="10.83203125" style="552"/>
    <col min="199" max="201" width="10.83203125" style="521"/>
    <col min="202" max="202" width="10.83203125" style="202"/>
    <col min="203" max="203" width="10.83203125" style="522"/>
    <col min="204" max="206" width="10.83203125" style="523"/>
    <col min="207" max="207" width="10.83203125" style="551"/>
    <col min="208" max="210" width="10.83203125" style="524"/>
    <col min="211" max="211" width="10.83203125" style="550"/>
    <col min="212" max="214" width="10.83203125" style="282"/>
    <col min="215" max="215" width="10.83203125" style="548"/>
    <col min="216" max="218" width="10.83203125" style="525"/>
    <col min="219" max="219" width="10.83203125" style="547"/>
    <col min="220" max="222" width="10.83203125" style="526"/>
    <col min="223" max="223" width="10.83203125" style="202"/>
    <col min="224" max="224" width="10.83203125" style="546"/>
    <col min="225" max="227" width="10.83203125" style="324"/>
    <col min="228" max="228" width="10.83203125" style="244"/>
    <col min="229" max="231" width="10.83203125" style="103"/>
    <col min="232" max="232" width="10.83203125" style="544"/>
    <col min="233" max="235" width="10.83203125" style="512"/>
    <col min="236" max="236" width="10.83203125" style="542"/>
    <col min="237" max="239" width="10.83203125" style="86"/>
    <col min="240" max="240" width="10.83203125" style="540"/>
    <col min="241" max="243" width="10.83203125" style="533"/>
    <col min="244" max="246" width="10.83203125" style="248"/>
    <col min="247" max="16384" width="10.83203125" style="35"/>
  </cols>
  <sheetData>
    <row r="1" spans="1:246">
      <c r="C1" s="86">
        <v>0</v>
      </c>
      <c r="G1" s="91" t="s">
        <v>163</v>
      </c>
      <c r="K1" s="95" t="s">
        <v>164</v>
      </c>
      <c r="O1" s="99" t="s">
        <v>165</v>
      </c>
      <c r="S1" s="103" t="s">
        <v>166</v>
      </c>
      <c r="W1" s="35" t="s">
        <v>177</v>
      </c>
      <c r="X1" s="33" t="s">
        <v>199</v>
      </c>
      <c r="Y1" s="103" t="s">
        <v>167</v>
      </c>
      <c r="AC1" s="91" t="s">
        <v>168</v>
      </c>
      <c r="AG1" s="95" t="s">
        <v>169</v>
      </c>
      <c r="AK1" s="99" t="s">
        <v>170</v>
      </c>
      <c r="AO1" s="108" t="s">
        <v>263</v>
      </c>
      <c r="AS1" s="33" t="s">
        <v>178</v>
      </c>
      <c r="AT1" s="103" t="s">
        <v>171</v>
      </c>
      <c r="AX1" s="91" t="s">
        <v>172</v>
      </c>
      <c r="BB1" s="95" t="s">
        <v>173</v>
      </c>
      <c r="BF1" s="99" t="s">
        <v>174</v>
      </c>
      <c r="BJ1" s="119" t="s">
        <v>264</v>
      </c>
      <c r="BN1" s="33" t="s">
        <v>176</v>
      </c>
      <c r="BO1" s="109" t="s">
        <v>289</v>
      </c>
      <c r="BP1" s="120" t="s">
        <v>290</v>
      </c>
      <c r="BQ1" s="709" t="s">
        <v>997</v>
      </c>
      <c r="BR1" s="688"/>
      <c r="BS1" s="688"/>
      <c r="BT1" s="769"/>
      <c r="BU1" s="753" t="s">
        <v>998</v>
      </c>
      <c r="BV1" s="688"/>
      <c r="BW1" s="688"/>
      <c r="BX1" s="769"/>
      <c r="BY1" s="773" t="s">
        <v>999</v>
      </c>
      <c r="BZ1" s="688"/>
      <c r="CA1" s="688"/>
      <c r="CB1" s="769"/>
      <c r="CC1" s="774">
        <v>40</v>
      </c>
      <c r="CD1" s="688"/>
      <c r="CE1" s="688"/>
      <c r="CF1" s="769"/>
      <c r="CG1" s="248" t="s">
        <v>1000</v>
      </c>
      <c r="CH1" s="709" t="s">
        <v>1001</v>
      </c>
      <c r="CI1" s="688"/>
      <c r="CJ1" s="688"/>
      <c r="CK1" s="769"/>
      <c r="CL1" s="753" t="s">
        <v>1002</v>
      </c>
      <c r="CM1" s="688"/>
      <c r="CN1" s="688"/>
      <c r="CO1" s="769"/>
      <c r="CP1" s="773" t="s">
        <v>1003</v>
      </c>
      <c r="CQ1" s="688"/>
      <c r="CR1" s="688"/>
      <c r="CS1" s="769"/>
      <c r="CT1" s="772">
        <v>50</v>
      </c>
      <c r="CU1" s="688"/>
      <c r="CV1" s="688"/>
      <c r="CW1" s="769"/>
      <c r="CX1" s="33" t="s">
        <v>1004</v>
      </c>
      <c r="CY1" s="248" t="s">
        <v>1005</v>
      </c>
      <c r="CZ1" s="709" t="s">
        <v>1302</v>
      </c>
      <c r="DA1" s="688"/>
      <c r="DB1" s="688"/>
      <c r="DC1" s="769"/>
      <c r="DD1" s="753" t="s">
        <v>1301</v>
      </c>
      <c r="DE1" s="688"/>
      <c r="DF1" s="688"/>
      <c r="DG1" s="769"/>
      <c r="DH1" s="770" t="s">
        <v>1300</v>
      </c>
      <c r="DI1" s="688"/>
      <c r="DJ1" s="688"/>
      <c r="DK1" s="769"/>
      <c r="DL1" s="771" t="s">
        <v>1304</v>
      </c>
      <c r="DM1" s="688"/>
      <c r="DN1" s="688"/>
      <c r="DO1" s="769"/>
      <c r="DP1" s="768">
        <v>60</v>
      </c>
      <c r="DQ1" s="688"/>
      <c r="DR1" s="688"/>
      <c r="DS1" s="769"/>
      <c r="DT1" s="33" t="s">
        <v>1303</v>
      </c>
      <c r="DU1" s="709" t="s">
        <v>1405</v>
      </c>
      <c r="DV1" s="692"/>
      <c r="DW1" s="692"/>
      <c r="DX1" s="710"/>
      <c r="DY1" s="753" t="s">
        <v>1406</v>
      </c>
      <c r="DZ1" s="688"/>
      <c r="EA1" s="688"/>
      <c r="EB1" s="769"/>
      <c r="EC1" s="770" t="s">
        <v>1407</v>
      </c>
      <c r="ED1" s="697"/>
      <c r="EE1" s="697"/>
      <c r="EF1" s="778"/>
      <c r="EG1" s="779" t="s">
        <v>1408</v>
      </c>
      <c r="EH1" s="711"/>
      <c r="EI1" s="711"/>
      <c r="EJ1" s="712"/>
      <c r="EK1" s="328" t="s">
        <v>1414</v>
      </c>
      <c r="EL1" s="709" t="s">
        <v>1409</v>
      </c>
      <c r="EM1" s="688"/>
      <c r="EN1" s="688"/>
      <c r="EO1" s="769"/>
      <c r="EP1" s="753" t="s">
        <v>1410</v>
      </c>
      <c r="EQ1" s="696"/>
      <c r="ER1" s="696"/>
      <c r="ES1" s="754"/>
      <c r="ET1" s="770" t="s">
        <v>1411</v>
      </c>
      <c r="EU1" s="688"/>
      <c r="EV1" s="688"/>
      <c r="EW1" s="769"/>
      <c r="EX1" s="775" t="s">
        <v>1412</v>
      </c>
      <c r="EY1" s="776"/>
      <c r="EZ1" s="776"/>
      <c r="FA1" s="777"/>
      <c r="FB1" s="33" t="s">
        <v>1413</v>
      </c>
      <c r="FC1" s="330" t="s">
        <v>1415</v>
      </c>
      <c r="FD1" s="324" t="s">
        <v>1416</v>
      </c>
      <c r="FE1" s="709" t="s">
        <v>1593</v>
      </c>
      <c r="FF1" s="692"/>
      <c r="FG1" s="692"/>
      <c r="FH1" s="710"/>
      <c r="FI1" s="761" t="s">
        <v>1594</v>
      </c>
      <c r="FJ1" s="693"/>
      <c r="FK1" s="693"/>
      <c r="FL1" s="762"/>
      <c r="FM1" s="742" t="s">
        <v>1595</v>
      </c>
      <c r="FN1" s="694"/>
      <c r="FO1" s="694"/>
      <c r="FP1" s="743"/>
      <c r="FQ1" s="763" t="s">
        <v>1596</v>
      </c>
      <c r="FR1" s="764"/>
      <c r="FS1" s="764"/>
      <c r="FT1" s="765"/>
      <c r="FU1" s="766" t="s">
        <v>1597</v>
      </c>
      <c r="FV1" s="691"/>
      <c r="FW1" s="691"/>
      <c r="FX1" s="767"/>
      <c r="FY1" s="202" t="s">
        <v>1765</v>
      </c>
      <c r="FZ1" s="750" t="s">
        <v>1764</v>
      </c>
      <c r="GA1" s="751"/>
      <c r="GB1" s="751"/>
      <c r="GC1" s="752"/>
      <c r="GD1" s="753" t="s">
        <v>1599</v>
      </c>
      <c r="GE1" s="696"/>
      <c r="GF1" s="696"/>
      <c r="GG1" s="754"/>
      <c r="GH1" s="755" t="s">
        <v>1600</v>
      </c>
      <c r="GI1" s="756"/>
      <c r="GJ1" s="756"/>
      <c r="GK1" s="757"/>
      <c r="GL1" s="758" t="s">
        <v>1601</v>
      </c>
      <c r="GM1" s="759"/>
      <c r="GN1" s="759"/>
      <c r="GO1" s="760"/>
      <c r="GP1" s="706" t="s">
        <v>1766</v>
      </c>
      <c r="GQ1" s="707"/>
      <c r="GR1" s="707"/>
      <c r="GS1" s="708"/>
      <c r="GT1" s="202" t="s">
        <v>1767</v>
      </c>
      <c r="GU1" s="736" t="s">
        <v>1603</v>
      </c>
      <c r="GV1" s="737"/>
      <c r="GW1" s="737"/>
      <c r="GX1" s="738"/>
      <c r="GY1" s="739" t="s">
        <v>1604</v>
      </c>
      <c r="GZ1" s="740"/>
      <c r="HA1" s="740"/>
      <c r="HB1" s="741"/>
      <c r="HC1" s="742" t="s">
        <v>1605</v>
      </c>
      <c r="HD1" s="694"/>
      <c r="HE1" s="694"/>
      <c r="HF1" s="743"/>
      <c r="HG1" s="744" t="s">
        <v>1606</v>
      </c>
      <c r="HH1" s="745"/>
      <c r="HI1" s="745"/>
      <c r="HJ1" s="746"/>
      <c r="HK1" s="747">
        <v>70</v>
      </c>
      <c r="HL1" s="748"/>
      <c r="HM1" s="748"/>
      <c r="HN1" s="749"/>
      <c r="HO1" s="202" t="s">
        <v>1768</v>
      </c>
      <c r="HP1" s="721">
        <v>80</v>
      </c>
      <c r="HQ1" s="722"/>
      <c r="HR1" s="722"/>
      <c r="HS1" s="723"/>
      <c r="HT1" s="724">
        <v>901</v>
      </c>
      <c r="HU1" s="725"/>
      <c r="HV1" s="725"/>
      <c r="HW1" s="726"/>
      <c r="HX1" s="727">
        <v>902</v>
      </c>
      <c r="HY1" s="728"/>
      <c r="HZ1" s="728"/>
      <c r="IA1" s="729"/>
      <c r="IB1" s="730" t="s">
        <v>1607</v>
      </c>
      <c r="IC1" s="731"/>
      <c r="ID1" s="731"/>
      <c r="IE1" s="732"/>
      <c r="IF1" s="733" t="s">
        <v>1608</v>
      </c>
      <c r="IG1" s="734"/>
      <c r="IH1" s="734"/>
      <c r="II1" s="735"/>
      <c r="IJ1" s="248" t="s">
        <v>1769</v>
      </c>
      <c r="IK1" s="248" t="s">
        <v>1770</v>
      </c>
      <c r="IL1" s="248" t="s">
        <v>343</v>
      </c>
    </row>
    <row r="2" spans="1:246">
      <c r="A2" s="35" t="s">
        <v>160</v>
      </c>
      <c r="B2" s="35" t="s">
        <v>175</v>
      </c>
      <c r="C2" s="86" t="s">
        <v>86</v>
      </c>
      <c r="D2" s="86" t="s">
        <v>161</v>
      </c>
      <c r="E2" s="86" t="s">
        <v>3</v>
      </c>
      <c r="F2" s="87" t="s">
        <v>162</v>
      </c>
      <c r="G2" s="91" t="s">
        <v>86</v>
      </c>
      <c r="H2" s="91" t="s">
        <v>161</v>
      </c>
      <c r="I2" s="91" t="s">
        <v>3</v>
      </c>
      <c r="J2" s="92" t="s">
        <v>162</v>
      </c>
      <c r="K2" s="95" t="s">
        <v>86</v>
      </c>
      <c r="L2" s="95" t="s">
        <v>161</v>
      </c>
      <c r="M2" s="95" t="s">
        <v>3</v>
      </c>
      <c r="N2" s="96" t="s">
        <v>162</v>
      </c>
      <c r="O2" s="99" t="s">
        <v>86</v>
      </c>
      <c r="P2" s="99" t="s">
        <v>161</v>
      </c>
      <c r="Q2" s="99" t="s">
        <v>3</v>
      </c>
      <c r="R2" s="100" t="s">
        <v>162</v>
      </c>
      <c r="S2" s="103" t="s">
        <v>86</v>
      </c>
      <c r="T2" s="103" t="s">
        <v>161</v>
      </c>
      <c r="U2" s="103" t="s">
        <v>3</v>
      </c>
      <c r="V2" s="104" t="s">
        <v>162</v>
      </c>
      <c r="W2" s="34" t="s">
        <v>86</v>
      </c>
      <c r="X2" s="36"/>
      <c r="Y2" s="103" t="s">
        <v>86</v>
      </c>
      <c r="Z2" s="103" t="s">
        <v>161</v>
      </c>
      <c r="AA2" s="103" t="s">
        <v>3</v>
      </c>
      <c r="AB2" s="104" t="s">
        <v>162</v>
      </c>
      <c r="AC2" s="91" t="s">
        <v>86</v>
      </c>
      <c r="AD2" s="91" t="s">
        <v>161</v>
      </c>
      <c r="AE2" s="91" t="s">
        <v>3</v>
      </c>
      <c r="AF2" s="92" t="s">
        <v>162</v>
      </c>
      <c r="AG2" s="95" t="s">
        <v>86</v>
      </c>
      <c r="AH2" s="95" t="s">
        <v>161</v>
      </c>
      <c r="AI2" s="95" t="s">
        <v>3</v>
      </c>
      <c r="AJ2" s="96" t="s">
        <v>162</v>
      </c>
      <c r="AK2" s="99" t="s">
        <v>86</v>
      </c>
      <c r="AL2" s="99" t="s">
        <v>161</v>
      </c>
      <c r="AM2" s="99" t="s">
        <v>3</v>
      </c>
      <c r="AN2" s="100" t="s">
        <v>162</v>
      </c>
      <c r="AO2" s="108" t="s">
        <v>86</v>
      </c>
      <c r="AP2" s="109" t="s">
        <v>161</v>
      </c>
      <c r="AQ2" s="109" t="s">
        <v>3</v>
      </c>
      <c r="AR2" s="110" t="s">
        <v>162</v>
      </c>
      <c r="AS2" s="36" t="s">
        <v>86</v>
      </c>
      <c r="AT2" s="111" t="s">
        <v>86</v>
      </c>
      <c r="AU2" s="111" t="s">
        <v>161</v>
      </c>
      <c r="AV2" s="111" t="s">
        <v>3</v>
      </c>
      <c r="AW2" s="112" t="s">
        <v>162</v>
      </c>
      <c r="AX2" s="113" t="s">
        <v>86</v>
      </c>
      <c r="AY2" s="113" t="s">
        <v>161</v>
      </c>
      <c r="AZ2" s="113" t="s">
        <v>3</v>
      </c>
      <c r="BA2" s="114" t="s">
        <v>162</v>
      </c>
      <c r="BB2" s="115" t="s">
        <v>86</v>
      </c>
      <c r="BC2" s="115" t="s">
        <v>161</v>
      </c>
      <c r="BD2" s="115" t="s">
        <v>3</v>
      </c>
      <c r="BE2" s="116" t="s">
        <v>162</v>
      </c>
      <c r="BF2" s="117" t="s">
        <v>86</v>
      </c>
      <c r="BG2" s="117" t="s">
        <v>161</v>
      </c>
      <c r="BH2" s="117" t="s">
        <v>3</v>
      </c>
      <c r="BI2" s="118" t="s">
        <v>162</v>
      </c>
      <c r="BJ2" s="122" t="s">
        <v>86</v>
      </c>
      <c r="BK2" s="123" t="s">
        <v>161</v>
      </c>
      <c r="BL2" s="123" t="s">
        <v>3</v>
      </c>
      <c r="BM2" s="124" t="s">
        <v>162</v>
      </c>
      <c r="BQ2" s="244" t="s">
        <v>86</v>
      </c>
      <c r="BR2" s="103" t="s">
        <v>161</v>
      </c>
      <c r="BS2" s="103" t="s">
        <v>3</v>
      </c>
      <c r="BT2" s="103" t="s">
        <v>162</v>
      </c>
      <c r="BU2" s="245" t="s">
        <v>86</v>
      </c>
      <c r="BV2" s="91" t="s">
        <v>161</v>
      </c>
      <c r="BW2" s="91" t="s">
        <v>3</v>
      </c>
      <c r="BX2" s="91" t="s">
        <v>162</v>
      </c>
      <c r="BY2" s="246" t="s">
        <v>86</v>
      </c>
      <c r="BZ2" s="95" t="s">
        <v>161</v>
      </c>
      <c r="CA2" s="95" t="s">
        <v>3</v>
      </c>
      <c r="CB2" s="95" t="s">
        <v>162</v>
      </c>
      <c r="CC2" s="247" t="s">
        <v>86</v>
      </c>
      <c r="CD2" s="242" t="s">
        <v>161</v>
      </c>
      <c r="CE2" s="242" t="s">
        <v>3</v>
      </c>
      <c r="CF2" s="242" t="s">
        <v>162</v>
      </c>
      <c r="CH2" s="244" t="s">
        <v>86</v>
      </c>
      <c r="CI2" s="103" t="s">
        <v>161</v>
      </c>
      <c r="CJ2" s="103" t="s">
        <v>3</v>
      </c>
      <c r="CK2" s="104" t="s">
        <v>162</v>
      </c>
      <c r="CL2" s="91" t="s">
        <v>86</v>
      </c>
      <c r="CM2" s="91" t="s">
        <v>161</v>
      </c>
      <c r="CN2" s="91" t="s">
        <v>3</v>
      </c>
      <c r="CO2" s="92" t="s">
        <v>162</v>
      </c>
      <c r="CP2" s="95" t="s">
        <v>86</v>
      </c>
      <c r="CQ2" s="95" t="s">
        <v>161</v>
      </c>
      <c r="CR2" s="95" t="s">
        <v>3</v>
      </c>
      <c r="CS2" s="96" t="s">
        <v>162</v>
      </c>
      <c r="CT2" s="249" t="s">
        <v>86</v>
      </c>
      <c r="CU2" s="249" t="s">
        <v>161</v>
      </c>
      <c r="CV2" s="249" t="s">
        <v>3</v>
      </c>
      <c r="CW2" s="250" t="s">
        <v>162</v>
      </c>
      <c r="CZ2" s="244" t="s">
        <v>86</v>
      </c>
      <c r="DA2" s="103" t="s">
        <v>161</v>
      </c>
      <c r="DB2" s="103" t="s">
        <v>3</v>
      </c>
      <c r="DC2" s="104" t="s">
        <v>162</v>
      </c>
      <c r="DD2" s="91" t="s">
        <v>86</v>
      </c>
      <c r="DE2" s="91" t="s">
        <v>161</v>
      </c>
      <c r="DF2" s="91" t="s">
        <v>3</v>
      </c>
      <c r="DG2" s="92" t="s">
        <v>162</v>
      </c>
      <c r="DH2" s="284" t="s">
        <v>86</v>
      </c>
      <c r="DI2" s="284" t="s">
        <v>161</v>
      </c>
      <c r="DJ2" s="284" t="s">
        <v>3</v>
      </c>
      <c r="DK2" s="285" t="s">
        <v>162</v>
      </c>
      <c r="DL2" s="99" t="s">
        <v>86</v>
      </c>
      <c r="DM2" s="99" t="s">
        <v>161</v>
      </c>
      <c r="DN2" s="99" t="s">
        <v>3</v>
      </c>
      <c r="DO2" s="100" t="s">
        <v>162</v>
      </c>
      <c r="DP2" s="282" t="s">
        <v>86</v>
      </c>
      <c r="DQ2" s="282" t="s">
        <v>161</v>
      </c>
      <c r="DR2" s="282" t="s">
        <v>3</v>
      </c>
      <c r="DS2" s="283" t="s">
        <v>162</v>
      </c>
      <c r="DU2" s="244" t="s">
        <v>86</v>
      </c>
      <c r="DV2" s="103" t="s">
        <v>161</v>
      </c>
      <c r="DW2" s="103" t="s">
        <v>3</v>
      </c>
      <c r="DX2" s="104" t="s">
        <v>162</v>
      </c>
      <c r="DY2" s="91" t="s">
        <v>86</v>
      </c>
      <c r="DZ2" s="91" t="s">
        <v>161</v>
      </c>
      <c r="EA2" s="91" t="s">
        <v>3</v>
      </c>
      <c r="EB2" s="92" t="s">
        <v>162</v>
      </c>
      <c r="EC2" s="284" t="s">
        <v>86</v>
      </c>
      <c r="ED2" s="284" t="s">
        <v>161</v>
      </c>
      <c r="EE2" s="284" t="s">
        <v>3</v>
      </c>
      <c r="EF2" s="285" t="s">
        <v>162</v>
      </c>
      <c r="EG2" s="326" t="s">
        <v>86</v>
      </c>
      <c r="EH2" s="326" t="s">
        <v>161</v>
      </c>
      <c r="EI2" s="326" t="s">
        <v>3</v>
      </c>
      <c r="EJ2" s="327" t="s">
        <v>162</v>
      </c>
      <c r="EL2" s="103" t="s">
        <v>86</v>
      </c>
      <c r="EM2" s="103" t="s">
        <v>161</v>
      </c>
      <c r="EN2" s="103" t="s">
        <v>3</v>
      </c>
      <c r="EO2" s="104" t="s">
        <v>162</v>
      </c>
      <c r="EP2" s="91" t="s">
        <v>86</v>
      </c>
      <c r="EQ2" s="91" t="s">
        <v>161</v>
      </c>
      <c r="ER2" s="91" t="s">
        <v>3</v>
      </c>
      <c r="ES2" s="92" t="s">
        <v>162</v>
      </c>
      <c r="ET2" s="284" t="s">
        <v>86</v>
      </c>
      <c r="EU2" s="284" t="s">
        <v>161</v>
      </c>
      <c r="EV2" s="284" t="s">
        <v>3</v>
      </c>
      <c r="EW2" s="285" t="s">
        <v>162</v>
      </c>
      <c r="EX2" s="324" t="s">
        <v>86</v>
      </c>
      <c r="EY2" s="324" t="s">
        <v>161</v>
      </c>
      <c r="EZ2" s="324" t="s">
        <v>3</v>
      </c>
      <c r="FA2" s="325" t="s">
        <v>162</v>
      </c>
      <c r="FE2" s="244" t="s">
        <v>86</v>
      </c>
      <c r="FF2" s="103" t="s">
        <v>161</v>
      </c>
      <c r="FG2" s="103" t="s">
        <v>3</v>
      </c>
      <c r="FH2" s="103" t="s">
        <v>162</v>
      </c>
      <c r="FI2" s="544" t="s">
        <v>86</v>
      </c>
      <c r="FJ2" s="512" t="s">
        <v>161</v>
      </c>
      <c r="FK2" s="512" t="s">
        <v>3</v>
      </c>
      <c r="FL2" s="512" t="s">
        <v>162</v>
      </c>
      <c r="FM2" s="549" t="s">
        <v>86</v>
      </c>
      <c r="FN2" s="513" t="s">
        <v>161</v>
      </c>
      <c r="FO2" s="513" t="s">
        <v>3</v>
      </c>
      <c r="FP2" s="513" t="s">
        <v>162</v>
      </c>
      <c r="FQ2" s="557" t="s">
        <v>86</v>
      </c>
      <c r="FR2" s="514" t="s">
        <v>161</v>
      </c>
      <c r="FS2" s="514" t="s">
        <v>3</v>
      </c>
      <c r="FT2" s="514" t="s">
        <v>162</v>
      </c>
      <c r="FU2" s="556" t="s">
        <v>86</v>
      </c>
      <c r="FV2" s="515" t="s">
        <v>161</v>
      </c>
      <c r="FW2" s="515" t="s">
        <v>3</v>
      </c>
      <c r="FX2" s="515" t="s">
        <v>162</v>
      </c>
      <c r="FZ2" s="516" t="s">
        <v>86</v>
      </c>
      <c r="GA2" s="517" t="s">
        <v>161</v>
      </c>
      <c r="GB2" s="517" t="s">
        <v>3</v>
      </c>
      <c r="GC2" s="517" t="s">
        <v>162</v>
      </c>
      <c r="GD2" s="245" t="s">
        <v>86</v>
      </c>
      <c r="GE2" s="91" t="s">
        <v>161</v>
      </c>
      <c r="GF2" s="91" t="s">
        <v>3</v>
      </c>
      <c r="GG2" s="91" t="s">
        <v>162</v>
      </c>
      <c r="GH2" s="554" t="s">
        <v>86</v>
      </c>
      <c r="GI2" s="518" t="s">
        <v>161</v>
      </c>
      <c r="GJ2" s="518" t="s">
        <v>3</v>
      </c>
      <c r="GK2" s="518" t="s">
        <v>162</v>
      </c>
      <c r="GL2" s="553" t="s">
        <v>86</v>
      </c>
      <c r="GM2" s="520" t="s">
        <v>161</v>
      </c>
      <c r="GN2" s="520" t="s">
        <v>3</v>
      </c>
      <c r="GO2" s="520" t="s">
        <v>162</v>
      </c>
      <c r="GP2" s="552" t="s">
        <v>86</v>
      </c>
      <c r="GQ2" s="521" t="s">
        <v>161</v>
      </c>
      <c r="GR2" s="521" t="s">
        <v>3</v>
      </c>
      <c r="GS2" s="521" t="s">
        <v>162</v>
      </c>
      <c r="GU2" s="522" t="s">
        <v>86</v>
      </c>
      <c r="GV2" s="523" t="s">
        <v>161</v>
      </c>
      <c r="GW2" s="523" t="s">
        <v>3</v>
      </c>
      <c r="GX2" s="523" t="s">
        <v>162</v>
      </c>
      <c r="GY2" s="551" t="s">
        <v>86</v>
      </c>
      <c r="GZ2" s="524" t="s">
        <v>161</v>
      </c>
      <c r="HA2" s="524" t="s">
        <v>3</v>
      </c>
      <c r="HB2" s="524" t="s">
        <v>162</v>
      </c>
      <c r="HC2" s="549" t="s">
        <v>86</v>
      </c>
      <c r="HD2" s="513" t="s">
        <v>161</v>
      </c>
      <c r="HE2" s="513" t="s">
        <v>3</v>
      </c>
      <c r="HF2" s="513" t="s">
        <v>162</v>
      </c>
      <c r="HG2" s="548" t="s">
        <v>86</v>
      </c>
      <c r="HH2" s="525" t="s">
        <v>161</v>
      </c>
      <c r="HI2" s="525" t="s">
        <v>3</v>
      </c>
      <c r="HJ2" s="525" t="s">
        <v>162</v>
      </c>
      <c r="HK2" s="547" t="s">
        <v>86</v>
      </c>
      <c r="HL2" s="526" t="s">
        <v>161</v>
      </c>
      <c r="HM2" s="526" t="s">
        <v>3</v>
      </c>
      <c r="HN2" s="526" t="s">
        <v>162</v>
      </c>
      <c r="HP2" s="527" t="s">
        <v>86</v>
      </c>
      <c r="HQ2" s="528" t="s">
        <v>161</v>
      </c>
      <c r="HR2" s="528" t="s">
        <v>3</v>
      </c>
      <c r="HS2" s="538" t="s">
        <v>162</v>
      </c>
      <c r="HT2" s="545" t="s">
        <v>86</v>
      </c>
      <c r="HU2" s="529" t="s">
        <v>161</v>
      </c>
      <c r="HV2" s="529" t="s">
        <v>3</v>
      </c>
      <c r="HW2" s="537" t="s">
        <v>162</v>
      </c>
      <c r="HX2" s="543" t="s">
        <v>86</v>
      </c>
      <c r="HY2" s="530" t="s">
        <v>161</v>
      </c>
      <c r="HZ2" s="530" t="s">
        <v>3</v>
      </c>
      <c r="IA2" s="536" t="s">
        <v>162</v>
      </c>
      <c r="IB2" s="541" t="s">
        <v>86</v>
      </c>
      <c r="IC2" s="531" t="s">
        <v>161</v>
      </c>
      <c r="ID2" s="531" t="s">
        <v>3</v>
      </c>
      <c r="IE2" s="535" t="s">
        <v>162</v>
      </c>
      <c r="IF2" s="539" t="s">
        <v>86</v>
      </c>
      <c r="IG2" s="532" t="s">
        <v>161</v>
      </c>
      <c r="IH2" s="532" t="s">
        <v>3</v>
      </c>
      <c r="II2" s="534" t="s">
        <v>162</v>
      </c>
    </row>
    <row r="3" spans="1:246">
      <c r="A3" s="39">
        <v>44424</v>
      </c>
      <c r="C3" s="40">
        <v>8.92</v>
      </c>
      <c r="D3" s="86">
        <v>3</v>
      </c>
      <c r="E3" s="86">
        <v>28.4</v>
      </c>
      <c r="F3" s="87">
        <f t="shared" ref="F3:F12" si="0">((E3-1.5)*14.5)-2.65</f>
        <v>387.4</v>
      </c>
      <c r="G3" s="91">
        <v>8.86</v>
      </c>
      <c r="H3" s="91">
        <v>3</v>
      </c>
      <c r="I3" s="91">
        <v>28.4</v>
      </c>
      <c r="J3" s="92">
        <f t="shared" ref="J3:J21" si="1">((I3-1.5)*14.5)-2.65</f>
        <v>387.4</v>
      </c>
      <c r="K3" s="95">
        <v>8.9700000000000006</v>
      </c>
      <c r="L3" s="95">
        <v>3.4</v>
      </c>
      <c r="M3" s="95">
        <v>27.4</v>
      </c>
      <c r="N3" s="96">
        <f t="shared" ref="N3:N21" si="2">((M3-1.5)*14.5)-2.65</f>
        <v>372.9</v>
      </c>
      <c r="O3" s="99">
        <v>8.9700000000000006</v>
      </c>
      <c r="P3" s="99">
        <v>3.2</v>
      </c>
      <c r="Q3" s="99">
        <v>27.4</v>
      </c>
      <c r="R3" s="100">
        <f t="shared" ref="R3:R21" si="3">((Q3-1.5)*14.5)-2.65</f>
        <v>372.9</v>
      </c>
      <c r="S3" s="103">
        <v>9.33</v>
      </c>
      <c r="T3" s="103">
        <v>3.4</v>
      </c>
      <c r="U3" s="103">
        <v>26.9</v>
      </c>
      <c r="V3" s="104">
        <f t="shared" ref="V3:V21" si="4">((U3-1.5)*14.5)-2.65</f>
        <v>365.65</v>
      </c>
      <c r="CH3" s="244"/>
    </row>
    <row r="4" spans="1:246">
      <c r="A4" s="39">
        <v>44425</v>
      </c>
      <c r="B4" s="35">
        <v>48</v>
      </c>
      <c r="C4" s="40">
        <v>9.65</v>
      </c>
      <c r="D4" s="86">
        <v>4</v>
      </c>
      <c r="E4" s="86">
        <v>28.7</v>
      </c>
      <c r="F4" s="87">
        <f t="shared" si="0"/>
        <v>391.75</v>
      </c>
      <c r="G4" s="91">
        <v>9.44</v>
      </c>
      <c r="H4" s="91">
        <v>3</v>
      </c>
      <c r="I4" s="91">
        <v>28.8</v>
      </c>
      <c r="J4" s="92">
        <f t="shared" si="1"/>
        <v>393.20000000000005</v>
      </c>
      <c r="K4" s="95">
        <v>9.6199999999999992</v>
      </c>
      <c r="L4" s="95">
        <v>3.5</v>
      </c>
      <c r="M4" s="95">
        <v>27.6</v>
      </c>
      <c r="N4" s="96">
        <f t="shared" si="2"/>
        <v>375.80000000000007</v>
      </c>
      <c r="O4" s="99">
        <v>9.66</v>
      </c>
      <c r="P4" s="99">
        <v>3.2</v>
      </c>
      <c r="Q4" s="99">
        <v>27.7</v>
      </c>
      <c r="R4" s="100">
        <f t="shared" si="3"/>
        <v>377.25</v>
      </c>
      <c r="S4" s="103">
        <v>9.7899999999999991</v>
      </c>
      <c r="T4" s="103">
        <v>3.5</v>
      </c>
      <c r="U4" s="103">
        <v>26.9</v>
      </c>
      <c r="V4" s="104">
        <f t="shared" si="4"/>
        <v>365.65</v>
      </c>
    </row>
    <row r="5" spans="1:246">
      <c r="A5" s="39">
        <v>44426</v>
      </c>
      <c r="B5" s="35">
        <v>48</v>
      </c>
      <c r="C5" s="40">
        <v>9.81</v>
      </c>
      <c r="D5" s="86">
        <v>3</v>
      </c>
      <c r="E5" s="86">
        <v>28.9</v>
      </c>
      <c r="F5" s="87">
        <f t="shared" si="0"/>
        <v>394.65</v>
      </c>
      <c r="G5" s="91">
        <v>9.59</v>
      </c>
      <c r="H5" s="91">
        <v>2.5</v>
      </c>
      <c r="I5" s="91">
        <v>28.9</v>
      </c>
      <c r="J5" s="92">
        <f t="shared" si="1"/>
        <v>394.65</v>
      </c>
      <c r="K5" s="95">
        <v>9.7899999999999991</v>
      </c>
      <c r="L5" s="95">
        <v>3</v>
      </c>
      <c r="M5" s="95">
        <v>27.7</v>
      </c>
      <c r="N5" s="96">
        <f t="shared" si="2"/>
        <v>377.25</v>
      </c>
      <c r="O5" s="99">
        <v>9.82</v>
      </c>
      <c r="P5" s="99">
        <v>3.4</v>
      </c>
      <c r="Q5" s="99">
        <v>27.7</v>
      </c>
      <c r="R5" s="100">
        <f t="shared" si="3"/>
        <v>377.25</v>
      </c>
      <c r="S5" s="103">
        <v>9.94</v>
      </c>
      <c r="T5" s="103">
        <v>3</v>
      </c>
      <c r="U5" s="103">
        <v>26.9</v>
      </c>
      <c r="V5" s="104">
        <f t="shared" si="4"/>
        <v>365.65</v>
      </c>
    </row>
    <row r="6" spans="1:246">
      <c r="A6" s="39">
        <v>44427</v>
      </c>
      <c r="B6" s="35">
        <v>48</v>
      </c>
      <c r="C6" s="40">
        <v>9.76</v>
      </c>
      <c r="D6" s="86">
        <v>3</v>
      </c>
      <c r="E6" s="86">
        <v>28.3</v>
      </c>
      <c r="F6" s="87">
        <f t="shared" si="0"/>
        <v>385.95000000000005</v>
      </c>
      <c r="G6" s="91">
        <v>9.65</v>
      </c>
      <c r="H6" s="91">
        <v>2.5</v>
      </c>
      <c r="I6" s="91">
        <v>28.1</v>
      </c>
      <c r="J6" s="92">
        <f t="shared" si="1"/>
        <v>383.05000000000007</v>
      </c>
      <c r="K6" s="95">
        <v>9.75</v>
      </c>
      <c r="L6" s="95">
        <v>3</v>
      </c>
      <c r="M6" s="95">
        <v>27.8</v>
      </c>
      <c r="N6" s="96">
        <f t="shared" si="2"/>
        <v>378.70000000000005</v>
      </c>
      <c r="O6" s="99">
        <v>9.82</v>
      </c>
      <c r="P6" s="99">
        <v>3</v>
      </c>
      <c r="Q6" s="99">
        <v>28.3</v>
      </c>
      <c r="R6" s="100">
        <f t="shared" si="3"/>
        <v>385.95000000000005</v>
      </c>
      <c r="S6" s="103">
        <v>9.93</v>
      </c>
      <c r="T6" s="103">
        <v>3</v>
      </c>
      <c r="U6" s="103">
        <v>27.3</v>
      </c>
      <c r="V6" s="104">
        <f t="shared" si="4"/>
        <v>371.45000000000005</v>
      </c>
    </row>
    <row r="7" spans="1:246">
      <c r="A7" s="39">
        <v>44428</v>
      </c>
      <c r="B7" s="35">
        <v>49</v>
      </c>
      <c r="C7" s="40">
        <v>9.64</v>
      </c>
      <c r="D7" s="86">
        <v>3</v>
      </c>
      <c r="E7" s="86">
        <v>28.2</v>
      </c>
      <c r="F7" s="87">
        <f t="shared" si="0"/>
        <v>384.5</v>
      </c>
      <c r="G7" s="91">
        <v>9.64</v>
      </c>
      <c r="H7" s="91">
        <v>3</v>
      </c>
      <c r="I7" s="91">
        <v>28.1</v>
      </c>
      <c r="J7" s="92">
        <f t="shared" si="1"/>
        <v>383.05000000000007</v>
      </c>
      <c r="K7" s="95">
        <v>9.67</v>
      </c>
      <c r="L7" s="95">
        <v>3</v>
      </c>
      <c r="M7" s="95">
        <v>28.2</v>
      </c>
      <c r="N7" s="96">
        <f t="shared" si="2"/>
        <v>384.5</v>
      </c>
      <c r="O7" s="99">
        <v>9.69</v>
      </c>
      <c r="P7" s="99">
        <v>3</v>
      </c>
      <c r="Q7" s="99">
        <v>27.5</v>
      </c>
      <c r="R7" s="100">
        <f t="shared" si="3"/>
        <v>374.35</v>
      </c>
      <c r="S7" s="103">
        <v>9.8699999999999992</v>
      </c>
      <c r="T7" s="103">
        <v>2.7</v>
      </c>
      <c r="U7" s="103">
        <v>27.2</v>
      </c>
      <c r="V7" s="104">
        <f t="shared" si="4"/>
        <v>370</v>
      </c>
    </row>
    <row r="8" spans="1:246">
      <c r="A8" s="39">
        <v>44431</v>
      </c>
      <c r="B8" s="35">
        <v>49</v>
      </c>
      <c r="C8" s="40">
        <v>9.86</v>
      </c>
      <c r="D8" s="86">
        <v>3</v>
      </c>
      <c r="E8" s="86">
        <v>28.6</v>
      </c>
      <c r="F8" s="87">
        <f t="shared" si="0"/>
        <v>390.30000000000007</v>
      </c>
      <c r="G8" s="91">
        <v>9.59</v>
      </c>
      <c r="H8" s="91">
        <v>2.5</v>
      </c>
      <c r="I8" s="91">
        <v>28.6</v>
      </c>
      <c r="J8" s="92">
        <f t="shared" si="1"/>
        <v>390.30000000000007</v>
      </c>
      <c r="K8" s="95">
        <v>9.64</v>
      </c>
      <c r="L8" s="95">
        <v>3</v>
      </c>
      <c r="M8" s="95">
        <v>28.4</v>
      </c>
      <c r="N8" s="96">
        <f t="shared" si="2"/>
        <v>387.4</v>
      </c>
      <c r="O8" s="99">
        <v>9.57</v>
      </c>
      <c r="P8" s="99">
        <v>3</v>
      </c>
      <c r="Q8" s="99">
        <v>27.9</v>
      </c>
      <c r="R8" s="100">
        <f t="shared" si="3"/>
        <v>380.15</v>
      </c>
      <c r="S8" s="103">
        <v>9.8000000000000007</v>
      </c>
      <c r="T8" s="103">
        <v>3</v>
      </c>
      <c r="U8" s="103">
        <v>27.2</v>
      </c>
      <c r="V8" s="104">
        <f t="shared" si="4"/>
        <v>370</v>
      </c>
      <c r="DH8" s="286"/>
    </row>
    <row r="9" spans="1:246">
      <c r="A9" s="39">
        <v>44432</v>
      </c>
      <c r="B9" s="35">
        <v>49</v>
      </c>
      <c r="C9" s="40">
        <v>9.7899999999999991</v>
      </c>
      <c r="D9" s="86">
        <v>3</v>
      </c>
      <c r="E9" s="86">
        <v>27.8</v>
      </c>
      <c r="F9" s="87">
        <f t="shared" si="0"/>
        <v>378.70000000000005</v>
      </c>
      <c r="G9" s="91">
        <v>9.69</v>
      </c>
      <c r="H9" s="91">
        <v>2.5</v>
      </c>
      <c r="I9" s="91">
        <v>27.8</v>
      </c>
      <c r="J9" s="92">
        <f t="shared" si="1"/>
        <v>378.70000000000005</v>
      </c>
      <c r="K9" s="95">
        <v>9.75</v>
      </c>
      <c r="L9" s="95">
        <v>3</v>
      </c>
      <c r="M9" s="95">
        <v>28.1</v>
      </c>
      <c r="N9" s="96">
        <f t="shared" si="2"/>
        <v>383.05000000000007</v>
      </c>
      <c r="O9" s="99">
        <v>9.69</v>
      </c>
      <c r="P9" s="99">
        <v>3</v>
      </c>
      <c r="Q9" s="99">
        <v>27.8</v>
      </c>
      <c r="R9" s="100">
        <f t="shared" si="3"/>
        <v>378.70000000000005</v>
      </c>
      <c r="S9" s="103">
        <v>9.85</v>
      </c>
      <c r="T9" s="103">
        <v>3</v>
      </c>
      <c r="U9" s="103">
        <v>27.4</v>
      </c>
      <c r="V9" s="104">
        <f t="shared" si="4"/>
        <v>372.9</v>
      </c>
      <c r="DH9" s="286"/>
    </row>
    <row r="10" spans="1:246">
      <c r="A10" s="39">
        <v>44433</v>
      </c>
      <c r="B10" s="34">
        <v>50</v>
      </c>
      <c r="C10" s="40">
        <v>9.7799999999999994</v>
      </c>
      <c r="D10" s="86">
        <v>3</v>
      </c>
      <c r="E10" s="86">
        <v>27.7</v>
      </c>
      <c r="F10" s="87">
        <f t="shared" si="0"/>
        <v>377.25</v>
      </c>
      <c r="G10" s="91">
        <v>9.75</v>
      </c>
      <c r="H10" s="91">
        <v>2.5</v>
      </c>
      <c r="I10" s="91">
        <v>27.7</v>
      </c>
      <c r="J10" s="92">
        <f t="shared" si="1"/>
        <v>377.25</v>
      </c>
      <c r="K10" s="95">
        <v>9.81</v>
      </c>
      <c r="L10" s="95">
        <v>3</v>
      </c>
      <c r="M10" s="95">
        <v>28.1</v>
      </c>
      <c r="N10" s="96">
        <f t="shared" si="2"/>
        <v>383.05000000000007</v>
      </c>
      <c r="O10" s="99">
        <v>9.76</v>
      </c>
      <c r="P10" s="99">
        <v>3.5</v>
      </c>
      <c r="Q10" s="99">
        <v>27.5</v>
      </c>
      <c r="R10" s="100">
        <f t="shared" si="3"/>
        <v>374.35</v>
      </c>
      <c r="S10" s="103">
        <v>9.93</v>
      </c>
      <c r="T10" s="103">
        <v>3</v>
      </c>
      <c r="U10" s="103">
        <v>27.3</v>
      </c>
      <c r="V10" s="104">
        <f t="shared" si="4"/>
        <v>371.45000000000005</v>
      </c>
    </row>
    <row r="11" spans="1:246">
      <c r="A11" s="39">
        <v>44434</v>
      </c>
      <c r="B11" s="34">
        <v>50</v>
      </c>
      <c r="C11" s="40">
        <v>9.81</v>
      </c>
      <c r="D11" s="86">
        <v>3</v>
      </c>
      <c r="E11" s="86">
        <v>27.7</v>
      </c>
      <c r="F11" s="87">
        <f t="shared" si="0"/>
        <v>377.25</v>
      </c>
      <c r="G11" s="91">
        <v>9.8000000000000007</v>
      </c>
      <c r="H11" s="91">
        <v>2.5</v>
      </c>
      <c r="I11" s="91">
        <v>27.7</v>
      </c>
      <c r="J11" s="92">
        <f t="shared" si="1"/>
        <v>377.25</v>
      </c>
      <c r="K11" s="95">
        <v>9.86</v>
      </c>
      <c r="L11" s="95">
        <v>3</v>
      </c>
      <c r="M11" s="95">
        <v>28.2</v>
      </c>
      <c r="N11" s="96">
        <f t="shared" si="2"/>
        <v>384.5</v>
      </c>
      <c r="O11" s="99">
        <v>9.83</v>
      </c>
      <c r="P11" s="99">
        <v>3</v>
      </c>
      <c r="Q11" s="99">
        <v>27.6</v>
      </c>
      <c r="R11" s="100">
        <f t="shared" si="3"/>
        <v>375.80000000000007</v>
      </c>
      <c r="S11" s="103">
        <v>9.9600000000000009</v>
      </c>
      <c r="T11" s="103">
        <v>3</v>
      </c>
      <c r="U11" s="103">
        <v>27.4</v>
      </c>
      <c r="V11" s="104">
        <f t="shared" si="4"/>
        <v>372.9</v>
      </c>
    </row>
    <row r="12" spans="1:246">
      <c r="A12" s="39">
        <v>44435</v>
      </c>
      <c r="B12" s="34">
        <v>50</v>
      </c>
      <c r="C12" s="40">
        <v>9.7899999999999991</v>
      </c>
      <c r="D12" s="86">
        <v>3</v>
      </c>
      <c r="E12" s="86">
        <v>27.6</v>
      </c>
      <c r="F12" s="87">
        <f t="shared" si="0"/>
        <v>375.80000000000007</v>
      </c>
      <c r="G12" s="91">
        <v>9.77</v>
      </c>
      <c r="H12" s="91">
        <v>3</v>
      </c>
      <c r="I12" s="91">
        <v>27.8</v>
      </c>
      <c r="J12" s="92">
        <f t="shared" si="1"/>
        <v>378.70000000000005</v>
      </c>
      <c r="K12" s="95">
        <v>9.86</v>
      </c>
      <c r="L12" s="95">
        <v>3</v>
      </c>
      <c r="M12" s="95">
        <v>28.5</v>
      </c>
      <c r="N12" s="96">
        <f t="shared" si="2"/>
        <v>388.85</v>
      </c>
      <c r="O12" s="99">
        <v>9.83</v>
      </c>
      <c r="P12" s="99">
        <v>3</v>
      </c>
      <c r="Q12" s="99">
        <v>27.9</v>
      </c>
      <c r="R12" s="100">
        <f t="shared" si="3"/>
        <v>380.15</v>
      </c>
      <c r="S12" s="103">
        <v>9.92</v>
      </c>
      <c r="T12" s="103">
        <v>2.5</v>
      </c>
      <c r="U12" s="103">
        <v>27.5</v>
      </c>
      <c r="V12" s="104">
        <f t="shared" si="4"/>
        <v>374.35</v>
      </c>
    </row>
    <row r="13" spans="1:246">
      <c r="A13" s="39">
        <v>44439</v>
      </c>
      <c r="B13" s="34">
        <v>55</v>
      </c>
      <c r="C13" s="40">
        <v>9.6</v>
      </c>
      <c r="D13" s="86">
        <v>2.5</v>
      </c>
      <c r="E13" s="86">
        <v>26.8</v>
      </c>
      <c r="F13" s="87">
        <f t="shared" ref="F13:F21" si="5">((E13-1.5)*14.5)-2.65</f>
        <v>364.20000000000005</v>
      </c>
      <c r="G13" s="91">
        <v>9.82</v>
      </c>
      <c r="H13" s="91">
        <v>2.5</v>
      </c>
      <c r="I13" s="91">
        <v>27.1</v>
      </c>
      <c r="J13" s="92">
        <f t="shared" si="1"/>
        <v>368.55000000000007</v>
      </c>
      <c r="K13" s="95">
        <v>9.89</v>
      </c>
      <c r="L13" s="95">
        <v>3</v>
      </c>
      <c r="M13" s="95">
        <v>27.3</v>
      </c>
      <c r="N13" s="96">
        <f t="shared" si="2"/>
        <v>371.45000000000005</v>
      </c>
      <c r="O13" s="99">
        <v>9.83</v>
      </c>
      <c r="P13" s="99">
        <v>2.7</v>
      </c>
      <c r="Q13" s="99">
        <v>26.8</v>
      </c>
      <c r="R13" s="100">
        <f t="shared" si="3"/>
        <v>364.20000000000005</v>
      </c>
      <c r="S13" s="103">
        <v>9.92</v>
      </c>
      <c r="T13" s="103">
        <v>2.5</v>
      </c>
      <c r="U13" s="103">
        <v>26.6</v>
      </c>
      <c r="V13" s="104">
        <f t="shared" si="4"/>
        <v>361.30000000000007</v>
      </c>
    </row>
    <row r="14" spans="1:246">
      <c r="A14" s="39">
        <v>44440</v>
      </c>
      <c r="B14" s="34">
        <v>56</v>
      </c>
      <c r="C14" s="40">
        <v>9.77</v>
      </c>
      <c r="D14" s="86">
        <v>3</v>
      </c>
      <c r="E14" s="86">
        <v>26.8</v>
      </c>
      <c r="F14" s="87">
        <f t="shared" si="5"/>
        <v>364.20000000000005</v>
      </c>
      <c r="G14" s="91">
        <v>9.8800000000000008</v>
      </c>
      <c r="H14" s="91">
        <v>3</v>
      </c>
      <c r="I14" s="91">
        <v>27.4</v>
      </c>
      <c r="J14" s="92">
        <f t="shared" si="1"/>
        <v>372.9</v>
      </c>
      <c r="K14" s="95">
        <v>9.91</v>
      </c>
      <c r="L14" s="95">
        <v>3</v>
      </c>
      <c r="M14" s="95">
        <v>27.5</v>
      </c>
      <c r="N14" s="96">
        <f t="shared" si="2"/>
        <v>374.35</v>
      </c>
      <c r="O14" s="99">
        <v>9.8699999999999992</v>
      </c>
      <c r="P14" s="99">
        <v>2.5</v>
      </c>
      <c r="Q14" s="99">
        <v>27</v>
      </c>
      <c r="R14" s="100">
        <f t="shared" si="3"/>
        <v>367.1</v>
      </c>
      <c r="S14" s="103">
        <v>9.91</v>
      </c>
      <c r="T14" s="103">
        <v>3</v>
      </c>
      <c r="U14" s="103">
        <v>26.6</v>
      </c>
      <c r="V14" s="104">
        <f t="shared" si="4"/>
        <v>361.30000000000007</v>
      </c>
      <c r="Y14" s="103" t="s">
        <v>182</v>
      </c>
      <c r="Z14" s="103">
        <v>3</v>
      </c>
      <c r="AA14" s="103">
        <v>26.2</v>
      </c>
      <c r="AB14" s="104">
        <f t="shared" ref="AB14:AB21" si="6">((AA14-1.5)*14.5)-2.65</f>
        <v>355.5</v>
      </c>
      <c r="AC14" s="91" t="s">
        <v>182</v>
      </c>
      <c r="AD14" s="91">
        <v>3</v>
      </c>
      <c r="AE14" s="91">
        <v>28</v>
      </c>
      <c r="AF14" s="92">
        <f t="shared" ref="AF14:AF21" si="7">((AE14-1.5)*14.5)-2.65</f>
        <v>381.6</v>
      </c>
      <c r="AG14" s="95" t="s">
        <v>182</v>
      </c>
      <c r="AH14" s="95">
        <v>3</v>
      </c>
      <c r="AI14" s="95">
        <v>27.9</v>
      </c>
      <c r="AJ14" s="96">
        <f t="shared" ref="AJ14:AJ21" si="8">((AI14-1.5)*14.5)-2.65</f>
        <v>380.15</v>
      </c>
      <c r="AK14" s="99" t="s">
        <v>182</v>
      </c>
      <c r="AL14" s="99">
        <v>3</v>
      </c>
      <c r="AM14" s="99">
        <v>27.8</v>
      </c>
      <c r="AN14" s="100">
        <f t="shared" ref="AN14:AN21" si="9">((AM14-1.5)*14.5)-2.65</f>
        <v>378.70000000000005</v>
      </c>
    </row>
    <row r="15" spans="1:246">
      <c r="A15" s="39">
        <v>44441</v>
      </c>
      <c r="B15" s="34">
        <v>56</v>
      </c>
      <c r="C15" s="40">
        <v>9.9499999999999993</v>
      </c>
      <c r="D15" s="86">
        <v>2.7</v>
      </c>
      <c r="E15" s="86">
        <v>26.9</v>
      </c>
      <c r="F15" s="87">
        <f t="shared" si="5"/>
        <v>365.65</v>
      </c>
      <c r="G15" s="91">
        <v>10</v>
      </c>
      <c r="H15" s="91">
        <v>2.5</v>
      </c>
      <c r="I15" s="91">
        <v>27.5</v>
      </c>
      <c r="J15" s="92">
        <f t="shared" si="1"/>
        <v>374.35</v>
      </c>
      <c r="K15" s="95">
        <v>10.02</v>
      </c>
      <c r="L15" s="95">
        <v>2.7</v>
      </c>
      <c r="M15" s="95">
        <v>27.8</v>
      </c>
      <c r="N15" s="96">
        <f t="shared" si="2"/>
        <v>378.70000000000005</v>
      </c>
      <c r="O15" s="99">
        <v>9.9700000000000006</v>
      </c>
      <c r="P15" s="99">
        <v>2.5</v>
      </c>
      <c r="Q15" s="99">
        <v>27.2</v>
      </c>
      <c r="R15" s="100">
        <f t="shared" si="3"/>
        <v>370</v>
      </c>
      <c r="S15" s="103">
        <v>10.01</v>
      </c>
      <c r="T15" s="103">
        <v>2.5</v>
      </c>
      <c r="U15" s="103">
        <v>26.6</v>
      </c>
      <c r="V15" s="104">
        <f t="shared" si="4"/>
        <v>361.30000000000007</v>
      </c>
      <c r="Y15" s="103">
        <v>9.25</v>
      </c>
      <c r="Z15" s="103">
        <v>3</v>
      </c>
      <c r="AA15" s="103">
        <v>26.2</v>
      </c>
      <c r="AB15" s="104">
        <f t="shared" si="6"/>
        <v>355.5</v>
      </c>
      <c r="AC15" s="91">
        <v>9.1199999999999992</v>
      </c>
      <c r="AD15" s="91">
        <v>3</v>
      </c>
      <c r="AE15" s="91">
        <v>28.2</v>
      </c>
      <c r="AF15" s="92">
        <f t="shared" si="7"/>
        <v>384.5</v>
      </c>
      <c r="AG15" s="95">
        <v>9.07</v>
      </c>
      <c r="AH15" s="95">
        <v>3</v>
      </c>
      <c r="AI15" s="95">
        <v>28</v>
      </c>
      <c r="AJ15" s="96">
        <f t="shared" si="8"/>
        <v>381.6</v>
      </c>
      <c r="AK15" s="99">
        <v>8.98</v>
      </c>
      <c r="AL15" s="99">
        <v>3</v>
      </c>
      <c r="AM15" s="99">
        <v>27.8</v>
      </c>
      <c r="AN15" s="100">
        <f t="shared" si="9"/>
        <v>378.70000000000005</v>
      </c>
      <c r="AS15" s="33">
        <v>8.6199999999999992</v>
      </c>
    </row>
    <row r="16" spans="1:246">
      <c r="A16" s="39">
        <v>44442</v>
      </c>
      <c r="B16" s="34">
        <v>56</v>
      </c>
      <c r="C16" s="40">
        <v>9.85</v>
      </c>
      <c r="D16" s="86" t="s">
        <v>182</v>
      </c>
      <c r="E16" s="86" t="s">
        <v>182</v>
      </c>
      <c r="F16" s="87" t="s">
        <v>182</v>
      </c>
      <c r="G16" s="91">
        <v>9.86</v>
      </c>
      <c r="H16" s="91" t="s">
        <v>182</v>
      </c>
      <c r="I16" s="91" t="s">
        <v>182</v>
      </c>
      <c r="J16" s="92" t="s">
        <v>182</v>
      </c>
      <c r="K16" s="95">
        <v>9.85</v>
      </c>
      <c r="L16" s="95" t="s">
        <v>182</v>
      </c>
      <c r="M16" s="95" t="s">
        <v>182</v>
      </c>
      <c r="N16" s="96" t="s">
        <v>182</v>
      </c>
      <c r="O16" s="99">
        <v>9.76</v>
      </c>
      <c r="P16" s="99" t="s">
        <v>182</v>
      </c>
      <c r="Q16" s="99" t="s">
        <v>182</v>
      </c>
      <c r="R16" s="100" t="s">
        <v>182</v>
      </c>
      <c r="S16" s="103">
        <v>9.82</v>
      </c>
      <c r="T16" s="103" t="s">
        <v>182</v>
      </c>
      <c r="U16" s="103" t="s">
        <v>182</v>
      </c>
      <c r="V16" s="104" t="s">
        <v>182</v>
      </c>
      <c r="W16" s="35">
        <v>7.16</v>
      </c>
      <c r="Y16" s="103">
        <v>9.0500000000000007</v>
      </c>
      <c r="Z16" s="103" t="s">
        <v>182</v>
      </c>
      <c r="AA16" s="103" t="s">
        <v>182</v>
      </c>
      <c r="AB16" s="104" t="s">
        <v>182</v>
      </c>
      <c r="AC16" s="91">
        <v>8.7799999999999994</v>
      </c>
      <c r="AD16" s="91" t="s">
        <v>182</v>
      </c>
      <c r="AE16" s="91" t="s">
        <v>182</v>
      </c>
      <c r="AF16" s="92" t="s">
        <v>182</v>
      </c>
      <c r="AG16" s="95">
        <v>8.8000000000000007</v>
      </c>
      <c r="AH16" s="95" t="s">
        <v>182</v>
      </c>
      <c r="AI16" s="95" t="s">
        <v>182</v>
      </c>
      <c r="AJ16" s="96" t="s">
        <v>182</v>
      </c>
      <c r="AK16" s="99">
        <v>8.85</v>
      </c>
      <c r="AL16" s="99" t="s">
        <v>182</v>
      </c>
      <c r="AM16" s="99" t="s">
        <v>182</v>
      </c>
      <c r="AN16" s="100" t="s">
        <v>182</v>
      </c>
      <c r="AS16" s="33">
        <v>8.61</v>
      </c>
    </row>
    <row r="17" spans="1:112">
      <c r="A17" s="39">
        <v>44446</v>
      </c>
      <c r="B17" s="34">
        <v>62</v>
      </c>
      <c r="C17" s="40">
        <v>10.06</v>
      </c>
      <c r="D17" s="86">
        <v>2.5</v>
      </c>
      <c r="E17" s="86">
        <v>26.8</v>
      </c>
      <c r="F17" s="87">
        <f t="shared" si="5"/>
        <v>364.20000000000005</v>
      </c>
      <c r="G17" s="91">
        <v>10.08</v>
      </c>
      <c r="H17" s="91">
        <v>2.5</v>
      </c>
      <c r="I17" s="91">
        <v>27.4</v>
      </c>
      <c r="J17" s="92">
        <f t="shared" si="1"/>
        <v>372.9</v>
      </c>
      <c r="K17" s="95">
        <v>10.119999999999999</v>
      </c>
      <c r="L17" s="95">
        <v>2.5</v>
      </c>
      <c r="M17" s="95">
        <v>27.5</v>
      </c>
      <c r="N17" s="96">
        <f t="shared" si="2"/>
        <v>374.35</v>
      </c>
      <c r="O17" s="99">
        <v>10.08</v>
      </c>
      <c r="P17" s="99">
        <v>2.5</v>
      </c>
      <c r="Q17" s="99">
        <v>27</v>
      </c>
      <c r="R17" s="100">
        <f t="shared" si="3"/>
        <v>367.1</v>
      </c>
      <c r="S17" s="103">
        <v>10.039999999999999</v>
      </c>
      <c r="T17" s="103">
        <v>2.5</v>
      </c>
      <c r="U17" s="103">
        <v>26.5</v>
      </c>
      <c r="V17" s="104">
        <f t="shared" si="4"/>
        <v>359.85</v>
      </c>
      <c r="W17" s="103">
        <v>7.12</v>
      </c>
      <c r="Y17" s="103">
        <v>9.09</v>
      </c>
      <c r="Z17" s="103">
        <v>3</v>
      </c>
      <c r="AA17" s="103">
        <v>26.4</v>
      </c>
      <c r="AB17" s="104">
        <f t="shared" si="6"/>
        <v>358.4</v>
      </c>
      <c r="AC17" s="91">
        <v>8.8699999999999992</v>
      </c>
      <c r="AD17" s="91">
        <v>3</v>
      </c>
      <c r="AE17" s="91">
        <v>26.8</v>
      </c>
      <c r="AF17" s="92">
        <f t="shared" si="7"/>
        <v>364.20000000000005</v>
      </c>
      <c r="AG17" s="95">
        <v>8.9</v>
      </c>
      <c r="AH17" s="95">
        <v>3</v>
      </c>
      <c r="AI17" s="95">
        <v>26.5</v>
      </c>
      <c r="AJ17" s="96">
        <f t="shared" si="8"/>
        <v>359.85</v>
      </c>
      <c r="AK17" s="99">
        <v>8.89</v>
      </c>
      <c r="AL17" s="99">
        <v>2.5</v>
      </c>
      <c r="AM17" s="99">
        <v>27.5</v>
      </c>
      <c r="AN17" s="100">
        <f t="shared" si="9"/>
        <v>374.35</v>
      </c>
      <c r="AS17" s="33">
        <v>8.76</v>
      </c>
    </row>
    <row r="18" spans="1:112">
      <c r="A18" s="39">
        <v>44447</v>
      </c>
      <c r="B18" s="34">
        <v>62</v>
      </c>
      <c r="C18" s="40">
        <v>9.85</v>
      </c>
      <c r="D18" s="86">
        <v>2.5</v>
      </c>
      <c r="E18" s="86">
        <v>26.7</v>
      </c>
      <c r="F18" s="87">
        <f t="shared" si="5"/>
        <v>362.75</v>
      </c>
      <c r="G18" s="91">
        <v>9.83</v>
      </c>
      <c r="H18" s="91">
        <v>2.5</v>
      </c>
      <c r="I18" s="91">
        <v>27.5</v>
      </c>
      <c r="J18" s="92">
        <f t="shared" si="1"/>
        <v>374.35</v>
      </c>
      <c r="K18" s="95">
        <v>9.83</v>
      </c>
      <c r="L18" s="95">
        <v>2.7</v>
      </c>
      <c r="M18" s="95">
        <v>27.7</v>
      </c>
      <c r="N18" s="96">
        <f t="shared" si="2"/>
        <v>377.25</v>
      </c>
      <c r="O18" s="99">
        <v>9.84</v>
      </c>
      <c r="P18" s="99">
        <v>2.5</v>
      </c>
      <c r="Q18" s="99">
        <v>27.1</v>
      </c>
      <c r="R18" s="100">
        <f t="shared" si="3"/>
        <v>368.55000000000007</v>
      </c>
      <c r="S18" s="103">
        <v>9.76</v>
      </c>
      <c r="T18" s="103">
        <v>2.5</v>
      </c>
      <c r="U18" s="103">
        <v>26.6</v>
      </c>
      <c r="V18" s="104">
        <f t="shared" si="4"/>
        <v>361.30000000000007</v>
      </c>
      <c r="W18" s="103">
        <v>7.02</v>
      </c>
      <c r="Y18" s="103">
        <v>8.91</v>
      </c>
      <c r="Z18" s="103">
        <v>3</v>
      </c>
      <c r="AA18" s="103">
        <v>26.6</v>
      </c>
      <c r="AB18" s="104">
        <f t="shared" si="6"/>
        <v>361.30000000000007</v>
      </c>
      <c r="AC18" s="91">
        <v>8.7100000000000009</v>
      </c>
      <c r="AD18" s="91">
        <v>3</v>
      </c>
      <c r="AE18" s="91">
        <v>26.7</v>
      </c>
      <c r="AF18" s="92">
        <f t="shared" si="7"/>
        <v>362.75</v>
      </c>
      <c r="AG18" s="95">
        <v>8.7799999999999994</v>
      </c>
      <c r="AH18" s="95">
        <v>3</v>
      </c>
      <c r="AI18" s="95">
        <v>26.5</v>
      </c>
      <c r="AJ18" s="96">
        <f t="shared" si="8"/>
        <v>359.85</v>
      </c>
      <c r="AK18" s="99">
        <v>8.7200000000000006</v>
      </c>
      <c r="AL18" s="99">
        <v>3</v>
      </c>
      <c r="AM18" s="99">
        <v>27.5</v>
      </c>
      <c r="AN18" s="100">
        <f t="shared" si="9"/>
        <v>374.35</v>
      </c>
      <c r="AS18" s="33">
        <v>8.69</v>
      </c>
    </row>
    <row r="19" spans="1:112">
      <c r="A19" s="39">
        <v>44448</v>
      </c>
      <c r="B19" s="34">
        <v>64</v>
      </c>
      <c r="C19" s="40">
        <v>9.6999999999999993</v>
      </c>
      <c r="D19" s="86">
        <v>3</v>
      </c>
      <c r="E19" s="86">
        <v>27</v>
      </c>
      <c r="F19" s="87">
        <f t="shared" si="5"/>
        <v>367.1</v>
      </c>
      <c r="G19" s="91">
        <v>9.89</v>
      </c>
      <c r="H19" s="91">
        <v>3</v>
      </c>
      <c r="I19" s="91">
        <v>27.6</v>
      </c>
      <c r="J19" s="92">
        <f t="shared" si="1"/>
        <v>375.80000000000007</v>
      </c>
      <c r="K19" s="95">
        <v>9.94</v>
      </c>
      <c r="L19" s="95">
        <v>3.4</v>
      </c>
      <c r="M19" s="95">
        <v>28.1</v>
      </c>
      <c r="N19" s="96">
        <f t="shared" si="2"/>
        <v>383.05000000000007</v>
      </c>
      <c r="O19" s="99">
        <v>9.7799999999999994</v>
      </c>
      <c r="P19" s="99">
        <v>3</v>
      </c>
      <c r="Q19" s="99">
        <v>27.5</v>
      </c>
      <c r="R19" s="100">
        <f t="shared" si="3"/>
        <v>374.35</v>
      </c>
      <c r="S19" s="103">
        <v>9.75</v>
      </c>
      <c r="T19" s="103">
        <v>3</v>
      </c>
      <c r="U19" s="103">
        <v>26.6</v>
      </c>
      <c r="V19" s="104">
        <f t="shared" si="4"/>
        <v>361.30000000000007</v>
      </c>
      <c r="W19" s="103">
        <v>7.05</v>
      </c>
      <c r="Y19" s="103">
        <v>8.8800000000000008</v>
      </c>
      <c r="Z19" s="103">
        <v>3</v>
      </c>
      <c r="AA19" s="103">
        <v>26.7</v>
      </c>
      <c r="AB19" s="104">
        <f t="shared" si="6"/>
        <v>362.75</v>
      </c>
      <c r="AC19" s="91">
        <v>8.69</v>
      </c>
      <c r="AD19" s="91">
        <v>3.5</v>
      </c>
      <c r="AE19" s="91">
        <v>26.8</v>
      </c>
      <c r="AF19" s="92">
        <f t="shared" si="7"/>
        <v>364.20000000000005</v>
      </c>
      <c r="AG19" s="95">
        <v>8.6999999999999993</v>
      </c>
      <c r="AH19" s="95">
        <v>3</v>
      </c>
      <c r="AI19" s="95">
        <v>26.6</v>
      </c>
      <c r="AJ19" s="96">
        <f t="shared" si="8"/>
        <v>361.30000000000007</v>
      </c>
      <c r="AK19" s="99">
        <v>8.56</v>
      </c>
      <c r="AL19" s="99">
        <v>3</v>
      </c>
      <c r="AM19" s="99">
        <v>27.8</v>
      </c>
      <c r="AN19" s="100">
        <f t="shared" si="9"/>
        <v>378.70000000000005</v>
      </c>
      <c r="AS19" s="33">
        <v>8.6199999999999992</v>
      </c>
    </row>
    <row r="20" spans="1:112">
      <c r="A20" s="39">
        <v>44449</v>
      </c>
      <c r="B20" s="34">
        <v>64</v>
      </c>
      <c r="C20" s="40">
        <v>9.65</v>
      </c>
      <c r="D20" s="86">
        <v>3</v>
      </c>
      <c r="E20" s="86">
        <v>26.8</v>
      </c>
      <c r="F20" s="87">
        <f t="shared" si="5"/>
        <v>364.20000000000005</v>
      </c>
      <c r="G20" s="91">
        <v>9.65</v>
      </c>
      <c r="H20" s="91">
        <v>2.5</v>
      </c>
      <c r="I20" s="91">
        <v>27.4</v>
      </c>
      <c r="J20" s="92">
        <f t="shared" si="1"/>
        <v>372.9</v>
      </c>
      <c r="K20" s="95">
        <v>9.76</v>
      </c>
      <c r="L20" s="95">
        <v>3</v>
      </c>
      <c r="M20" s="95">
        <v>27.6</v>
      </c>
      <c r="N20" s="96">
        <f t="shared" si="2"/>
        <v>375.80000000000007</v>
      </c>
      <c r="O20" s="99">
        <v>9.58</v>
      </c>
      <c r="P20" s="99">
        <v>2.5</v>
      </c>
      <c r="Q20" s="99">
        <v>27</v>
      </c>
      <c r="R20" s="100">
        <f t="shared" si="3"/>
        <v>367.1</v>
      </c>
      <c r="S20" s="103">
        <v>9.56</v>
      </c>
      <c r="T20" s="103">
        <v>2.5</v>
      </c>
      <c r="U20" s="103">
        <v>26.8</v>
      </c>
      <c r="V20" s="104">
        <f t="shared" si="4"/>
        <v>364.20000000000005</v>
      </c>
      <c r="W20" s="103">
        <v>6.98</v>
      </c>
      <c r="Y20" s="103">
        <v>8.8800000000000008</v>
      </c>
      <c r="Z20" s="103">
        <v>3.5</v>
      </c>
      <c r="AA20" s="103">
        <v>26</v>
      </c>
      <c r="AB20" s="104">
        <f t="shared" si="6"/>
        <v>352.6</v>
      </c>
      <c r="AC20" s="91">
        <v>8.75</v>
      </c>
      <c r="AD20" s="91">
        <v>3</v>
      </c>
      <c r="AE20" s="91">
        <v>26.9</v>
      </c>
      <c r="AF20" s="92">
        <f t="shared" si="7"/>
        <v>365.65</v>
      </c>
      <c r="AG20" s="95">
        <v>8.7799999999999994</v>
      </c>
      <c r="AH20" s="95">
        <v>3</v>
      </c>
      <c r="AI20" s="95">
        <v>26.6</v>
      </c>
      <c r="AJ20" s="96">
        <f t="shared" si="8"/>
        <v>361.30000000000007</v>
      </c>
      <c r="AK20" s="99">
        <v>8.76</v>
      </c>
      <c r="AL20" s="99">
        <v>3</v>
      </c>
      <c r="AM20" s="99">
        <v>27.5</v>
      </c>
      <c r="AN20" s="100">
        <f t="shared" si="9"/>
        <v>374.35</v>
      </c>
      <c r="AS20" s="33">
        <v>8.69</v>
      </c>
    </row>
    <row r="21" spans="1:112">
      <c r="A21" s="39">
        <v>44452</v>
      </c>
      <c r="B21" s="34">
        <v>65</v>
      </c>
      <c r="C21" s="40">
        <v>9.94</v>
      </c>
      <c r="D21" s="86">
        <v>3</v>
      </c>
      <c r="E21" s="86">
        <v>27</v>
      </c>
      <c r="F21" s="87">
        <f t="shared" si="5"/>
        <v>367.1</v>
      </c>
      <c r="G21" s="91">
        <v>9.92</v>
      </c>
      <c r="H21" s="91">
        <v>2.5</v>
      </c>
      <c r="I21" s="91">
        <v>27.5</v>
      </c>
      <c r="J21" s="92">
        <f t="shared" si="1"/>
        <v>374.35</v>
      </c>
      <c r="K21" s="95">
        <v>10</v>
      </c>
      <c r="L21" s="95">
        <v>3</v>
      </c>
      <c r="M21" s="95">
        <v>28</v>
      </c>
      <c r="N21" s="96">
        <f t="shared" si="2"/>
        <v>381.6</v>
      </c>
      <c r="O21" s="99">
        <v>9.89</v>
      </c>
      <c r="P21" s="99">
        <v>2.5</v>
      </c>
      <c r="Q21" s="99">
        <v>27.5</v>
      </c>
      <c r="R21" s="100">
        <f t="shared" si="3"/>
        <v>374.35</v>
      </c>
      <c r="S21" s="103">
        <v>9.8800000000000008</v>
      </c>
      <c r="T21" s="103">
        <v>2.5</v>
      </c>
      <c r="U21" s="103">
        <v>27.1</v>
      </c>
      <c r="V21" s="104">
        <f t="shared" si="4"/>
        <v>368.55000000000007</v>
      </c>
      <c r="W21" s="103">
        <v>7.18</v>
      </c>
      <c r="Y21" s="103">
        <v>8.9499999999999993</v>
      </c>
      <c r="Z21" s="103">
        <v>3</v>
      </c>
      <c r="AA21" s="103">
        <v>26</v>
      </c>
      <c r="AB21" s="104">
        <f t="shared" si="6"/>
        <v>352.6</v>
      </c>
      <c r="AC21" s="91">
        <v>8.7799999999999994</v>
      </c>
      <c r="AD21" s="91">
        <v>3.5</v>
      </c>
      <c r="AE21" s="91">
        <v>26.9</v>
      </c>
      <c r="AF21" s="92">
        <f t="shared" si="7"/>
        <v>365.65</v>
      </c>
      <c r="AG21" s="95">
        <v>8.8000000000000007</v>
      </c>
      <c r="AH21" s="95">
        <v>3</v>
      </c>
      <c r="AI21" s="95">
        <v>26.6</v>
      </c>
      <c r="AJ21" s="96">
        <f t="shared" si="8"/>
        <v>361.30000000000007</v>
      </c>
      <c r="AK21" s="99">
        <v>8.68</v>
      </c>
      <c r="AL21" s="99">
        <v>3</v>
      </c>
      <c r="AM21" s="99">
        <v>27.4</v>
      </c>
      <c r="AN21" s="100">
        <f t="shared" si="9"/>
        <v>372.9</v>
      </c>
      <c r="AS21" s="33">
        <v>8.85</v>
      </c>
    </row>
    <row r="22" spans="1:112">
      <c r="A22" s="39">
        <v>44454</v>
      </c>
      <c r="B22" s="35">
        <v>65</v>
      </c>
      <c r="C22" s="86">
        <v>10</v>
      </c>
      <c r="D22" s="86">
        <v>3</v>
      </c>
      <c r="E22" s="86">
        <v>27</v>
      </c>
      <c r="F22" s="87">
        <f t="shared" ref="F22:F27" si="10">((E22-1.5)*14.5)-2.65</f>
        <v>367.1</v>
      </c>
      <c r="G22" s="91">
        <v>10</v>
      </c>
      <c r="H22" s="91">
        <v>2.5</v>
      </c>
      <c r="I22" s="91">
        <v>27.7</v>
      </c>
      <c r="J22" s="92">
        <f t="shared" ref="J22:J27" si="11">((I22-1.5)*14.5)-2.65</f>
        <v>377.25</v>
      </c>
      <c r="K22" s="95">
        <v>9.99</v>
      </c>
      <c r="L22" s="95">
        <v>3</v>
      </c>
      <c r="M22" s="95">
        <v>28.3</v>
      </c>
      <c r="N22" s="96">
        <f t="shared" ref="N22:N27" si="12">((M22-1.5)*14.5)-2.65</f>
        <v>385.95000000000005</v>
      </c>
      <c r="O22" s="99">
        <v>9.94</v>
      </c>
      <c r="P22" s="99">
        <v>2.5</v>
      </c>
      <c r="Q22" s="99">
        <v>27.8</v>
      </c>
      <c r="R22" s="100">
        <f t="shared" ref="R22:R27" si="13">((Q22-1.5)*14.5)-2.65</f>
        <v>378.70000000000005</v>
      </c>
      <c r="S22" s="103">
        <v>9.81</v>
      </c>
      <c r="T22" s="103">
        <v>2.5</v>
      </c>
      <c r="U22" s="103">
        <v>27.5</v>
      </c>
      <c r="V22" s="104">
        <f t="shared" ref="V22:V27" si="14">((U22-1.5)*14.5)-2.65</f>
        <v>374.35</v>
      </c>
      <c r="W22" s="34">
        <v>6.82</v>
      </c>
      <c r="X22" s="36"/>
      <c r="Y22" s="103">
        <v>8.92</v>
      </c>
      <c r="Z22" s="103">
        <v>3.5</v>
      </c>
      <c r="AA22" s="103">
        <v>26</v>
      </c>
      <c r="AB22" s="104">
        <f t="shared" ref="AB22:AB27" si="15">((AA22-1.5)*14.5)-2.65</f>
        <v>352.6</v>
      </c>
      <c r="AC22" s="91">
        <v>8.76</v>
      </c>
      <c r="AD22" s="91">
        <v>3.7</v>
      </c>
      <c r="AE22" s="91">
        <v>26.8</v>
      </c>
      <c r="AF22" s="92">
        <f t="shared" ref="AF22:AF27" si="16">((AE22-1.5)*14.5)-2.65</f>
        <v>364.20000000000005</v>
      </c>
      <c r="AG22" s="95">
        <v>8.7799999999999994</v>
      </c>
      <c r="AH22" s="95">
        <v>3</v>
      </c>
      <c r="AI22" s="95">
        <v>26</v>
      </c>
      <c r="AJ22" s="96">
        <f t="shared" ref="AJ22:AJ27" si="17">((AI22-1.5)*14.5)-2.65</f>
        <v>352.6</v>
      </c>
      <c r="AK22" s="99">
        <v>8.75</v>
      </c>
      <c r="AL22" s="99">
        <v>3.5</v>
      </c>
      <c r="AM22" s="99">
        <v>27.9</v>
      </c>
      <c r="AN22" s="100">
        <f t="shared" ref="AN22:AN27" si="18">((AM22-1.5)*14.5)-2.65</f>
        <v>380.15</v>
      </c>
      <c r="AS22" s="36">
        <v>8.7100000000000009</v>
      </c>
      <c r="DH22" s="286"/>
    </row>
    <row r="23" spans="1:112">
      <c r="A23" s="39">
        <v>44455</v>
      </c>
      <c r="B23" s="35">
        <v>65</v>
      </c>
      <c r="C23" s="86">
        <v>10.039999999999999</v>
      </c>
      <c r="D23" s="86">
        <v>3</v>
      </c>
      <c r="E23" s="86">
        <v>26.8</v>
      </c>
      <c r="F23" s="87">
        <f t="shared" si="10"/>
        <v>364.20000000000005</v>
      </c>
      <c r="G23" s="91">
        <v>10</v>
      </c>
      <c r="H23" s="91">
        <v>2.5</v>
      </c>
      <c r="I23" s="91">
        <v>27.5</v>
      </c>
      <c r="J23" s="92">
        <f t="shared" si="11"/>
        <v>374.35</v>
      </c>
      <c r="K23" s="95">
        <v>10.039999999999999</v>
      </c>
      <c r="L23" s="95">
        <v>3</v>
      </c>
      <c r="M23" s="95">
        <v>27.5</v>
      </c>
      <c r="N23" s="96">
        <f t="shared" si="12"/>
        <v>374.35</v>
      </c>
      <c r="O23" s="99">
        <v>10</v>
      </c>
      <c r="P23" s="99">
        <v>2.5</v>
      </c>
      <c r="Q23" s="99">
        <v>26.9</v>
      </c>
      <c r="R23" s="100">
        <f t="shared" si="13"/>
        <v>365.65</v>
      </c>
      <c r="S23" s="103">
        <v>9.9600000000000009</v>
      </c>
      <c r="T23" s="103">
        <v>2.5</v>
      </c>
      <c r="U23" s="103">
        <v>26.7</v>
      </c>
      <c r="V23" s="104">
        <f t="shared" si="14"/>
        <v>362.75</v>
      </c>
      <c r="W23" s="34">
        <v>6.71</v>
      </c>
      <c r="X23" s="36"/>
      <c r="Y23" s="103">
        <v>8.8699999999999992</v>
      </c>
      <c r="Z23" s="103">
        <v>3.4</v>
      </c>
      <c r="AA23" s="103">
        <v>26</v>
      </c>
      <c r="AB23" s="104">
        <f t="shared" si="15"/>
        <v>352.6</v>
      </c>
      <c r="AC23" s="91">
        <v>8.68</v>
      </c>
      <c r="AD23" s="91">
        <v>3.5</v>
      </c>
      <c r="AE23" s="91">
        <v>26.9</v>
      </c>
      <c r="AF23" s="92">
        <f t="shared" si="16"/>
        <v>365.65</v>
      </c>
      <c r="AG23" s="95">
        <v>8.6999999999999993</v>
      </c>
      <c r="AH23" s="95">
        <v>3.5</v>
      </c>
      <c r="AI23" s="95">
        <v>26.6</v>
      </c>
      <c r="AJ23" s="96">
        <f t="shared" si="17"/>
        <v>361.30000000000007</v>
      </c>
      <c r="AK23" s="99">
        <v>8.65</v>
      </c>
      <c r="AL23" s="99">
        <v>2.5</v>
      </c>
      <c r="AM23" s="99">
        <v>27.4</v>
      </c>
      <c r="AN23" s="100">
        <f t="shared" si="18"/>
        <v>372.9</v>
      </c>
      <c r="AS23" s="36">
        <v>8.69</v>
      </c>
      <c r="DH23" s="286"/>
    </row>
    <row r="24" spans="1:112">
      <c r="A24" s="39">
        <v>44456</v>
      </c>
      <c r="B24" s="35">
        <v>67</v>
      </c>
      <c r="C24" s="86">
        <v>9.9700000000000006</v>
      </c>
      <c r="D24" s="86">
        <v>3</v>
      </c>
      <c r="E24" s="86">
        <v>26.9</v>
      </c>
      <c r="F24" s="87">
        <f t="shared" si="10"/>
        <v>365.65</v>
      </c>
      <c r="G24" s="91">
        <v>9.98</v>
      </c>
      <c r="H24" s="91">
        <v>3</v>
      </c>
      <c r="I24" s="91">
        <v>27.5</v>
      </c>
      <c r="J24" s="92">
        <f t="shared" si="11"/>
        <v>374.35</v>
      </c>
      <c r="K24" s="95">
        <v>9.99</v>
      </c>
      <c r="L24" s="95">
        <v>3</v>
      </c>
      <c r="M24" s="95">
        <v>27.6</v>
      </c>
      <c r="N24" s="96">
        <f t="shared" si="12"/>
        <v>375.80000000000007</v>
      </c>
      <c r="O24" s="99">
        <v>9.94</v>
      </c>
      <c r="P24" s="99">
        <v>2.5</v>
      </c>
      <c r="Q24" s="99">
        <v>27</v>
      </c>
      <c r="R24" s="100">
        <f t="shared" si="13"/>
        <v>367.1</v>
      </c>
      <c r="S24" s="103">
        <v>9.93</v>
      </c>
      <c r="T24" s="103">
        <v>3</v>
      </c>
      <c r="U24" s="103">
        <v>26.8</v>
      </c>
      <c r="V24" s="104">
        <f t="shared" si="14"/>
        <v>364.20000000000005</v>
      </c>
      <c r="W24" s="34">
        <v>6.67</v>
      </c>
      <c r="X24" s="36"/>
      <c r="Y24" s="103">
        <v>8.8699999999999992</v>
      </c>
      <c r="Z24" s="103">
        <v>3</v>
      </c>
      <c r="AA24" s="103">
        <v>26</v>
      </c>
      <c r="AB24" s="104">
        <f t="shared" si="15"/>
        <v>352.6</v>
      </c>
      <c r="AC24" s="91">
        <v>8.73</v>
      </c>
      <c r="AD24" s="91">
        <v>3.5</v>
      </c>
      <c r="AE24" s="91">
        <v>26.9</v>
      </c>
      <c r="AF24" s="92">
        <f t="shared" si="16"/>
        <v>365.65</v>
      </c>
      <c r="AG24" s="95">
        <v>8.73</v>
      </c>
      <c r="AH24" s="95">
        <v>3</v>
      </c>
      <c r="AI24" s="95">
        <v>26.6</v>
      </c>
      <c r="AJ24" s="96">
        <f t="shared" si="17"/>
        <v>361.30000000000007</v>
      </c>
      <c r="AK24" s="99">
        <v>8.64</v>
      </c>
      <c r="AL24" s="99">
        <v>3.5</v>
      </c>
      <c r="AM24" s="99">
        <v>27.5</v>
      </c>
      <c r="AN24" s="100">
        <f t="shared" si="18"/>
        <v>374.35</v>
      </c>
      <c r="AS24" s="36">
        <v>8.6300000000000008</v>
      </c>
    </row>
    <row r="25" spans="1:112">
      <c r="A25" s="39">
        <v>44459</v>
      </c>
      <c r="B25" s="35">
        <v>67</v>
      </c>
      <c r="C25" s="86">
        <v>10</v>
      </c>
      <c r="D25" s="86">
        <v>3</v>
      </c>
      <c r="E25" s="86">
        <v>27.1</v>
      </c>
      <c r="F25" s="87">
        <f t="shared" si="10"/>
        <v>368.55000000000007</v>
      </c>
      <c r="G25" s="91">
        <v>10.01</v>
      </c>
      <c r="H25" s="91">
        <v>3</v>
      </c>
      <c r="I25" s="91">
        <v>27.9</v>
      </c>
      <c r="J25" s="92">
        <f t="shared" si="11"/>
        <v>380.15</v>
      </c>
      <c r="K25" s="95">
        <v>10</v>
      </c>
      <c r="L25" s="95">
        <v>3</v>
      </c>
      <c r="M25" s="95">
        <v>28.1</v>
      </c>
      <c r="N25" s="96">
        <f t="shared" si="12"/>
        <v>383.05000000000007</v>
      </c>
      <c r="O25" s="99">
        <v>9.9700000000000006</v>
      </c>
      <c r="P25" s="99">
        <v>2.7</v>
      </c>
      <c r="Q25" s="99">
        <v>27.7</v>
      </c>
      <c r="R25" s="100">
        <f t="shared" si="13"/>
        <v>377.25</v>
      </c>
      <c r="S25" s="103">
        <v>9.8800000000000008</v>
      </c>
      <c r="T25" s="103">
        <v>3</v>
      </c>
      <c r="U25" s="103">
        <v>26</v>
      </c>
      <c r="V25" s="104">
        <f t="shared" si="14"/>
        <v>352.6</v>
      </c>
      <c r="W25" s="34">
        <v>6.68</v>
      </c>
      <c r="X25" s="36"/>
      <c r="Y25" s="103">
        <v>8.94</v>
      </c>
      <c r="Z25" s="103">
        <v>3</v>
      </c>
      <c r="AA25" s="103">
        <v>26</v>
      </c>
      <c r="AB25" s="104">
        <f t="shared" si="15"/>
        <v>352.6</v>
      </c>
      <c r="AC25" s="91">
        <v>8.75</v>
      </c>
      <c r="AD25" s="91">
        <v>3</v>
      </c>
      <c r="AE25" s="91">
        <v>26.9</v>
      </c>
      <c r="AF25" s="92">
        <f t="shared" si="16"/>
        <v>365.65</v>
      </c>
      <c r="AG25" s="95">
        <v>8.77</v>
      </c>
      <c r="AH25" s="95">
        <v>3</v>
      </c>
      <c r="AI25" s="95">
        <v>26.8</v>
      </c>
      <c r="AJ25" s="96">
        <f t="shared" si="17"/>
        <v>364.20000000000005</v>
      </c>
      <c r="AK25" s="99">
        <v>8.74</v>
      </c>
      <c r="AL25" s="99">
        <v>3</v>
      </c>
      <c r="AM25" s="99">
        <v>27.5</v>
      </c>
      <c r="AN25" s="100">
        <f t="shared" si="18"/>
        <v>374.35</v>
      </c>
      <c r="AS25" s="36">
        <v>8.73</v>
      </c>
    </row>
    <row r="26" spans="1:112">
      <c r="A26" s="39">
        <v>44460</v>
      </c>
      <c r="B26" s="35">
        <v>68</v>
      </c>
      <c r="C26" s="86">
        <v>9.9700000000000006</v>
      </c>
      <c r="D26" s="86">
        <v>3</v>
      </c>
      <c r="E26" s="86">
        <v>27.2</v>
      </c>
      <c r="F26" s="87">
        <f t="shared" si="10"/>
        <v>370</v>
      </c>
      <c r="G26" s="91">
        <v>9.9700000000000006</v>
      </c>
      <c r="H26" s="91">
        <v>3</v>
      </c>
      <c r="I26" s="91">
        <v>27.7</v>
      </c>
      <c r="J26" s="92">
        <f t="shared" si="11"/>
        <v>377.25</v>
      </c>
      <c r="K26" s="95">
        <v>9.9700000000000006</v>
      </c>
      <c r="L26" s="95">
        <v>3</v>
      </c>
      <c r="M26" s="95">
        <v>27.5</v>
      </c>
      <c r="N26" s="96">
        <f t="shared" si="12"/>
        <v>374.35</v>
      </c>
      <c r="O26" s="99">
        <v>9.9499999999999993</v>
      </c>
      <c r="P26" s="99">
        <v>2.5</v>
      </c>
      <c r="Q26" s="99">
        <v>26.8</v>
      </c>
      <c r="R26" s="100">
        <f t="shared" si="13"/>
        <v>364.20000000000005</v>
      </c>
      <c r="S26" s="103">
        <v>9.8800000000000008</v>
      </c>
      <c r="T26" s="103">
        <v>3</v>
      </c>
      <c r="U26" s="103">
        <v>26.8</v>
      </c>
      <c r="V26" s="104">
        <f t="shared" si="14"/>
        <v>364.20000000000005</v>
      </c>
      <c r="W26" s="34">
        <v>6.94</v>
      </c>
      <c r="X26" s="36"/>
      <c r="Y26" s="103">
        <v>8.8800000000000008</v>
      </c>
      <c r="Z26" s="103">
        <v>3.5</v>
      </c>
      <c r="AA26" s="103">
        <v>26</v>
      </c>
      <c r="AB26" s="104">
        <f t="shared" si="15"/>
        <v>352.6</v>
      </c>
      <c r="AC26" s="91">
        <v>8.69</v>
      </c>
      <c r="AD26" s="91">
        <v>3.5</v>
      </c>
      <c r="AE26" s="91">
        <v>26.9</v>
      </c>
      <c r="AF26" s="92">
        <f t="shared" si="16"/>
        <v>365.65</v>
      </c>
      <c r="AG26" s="95">
        <v>8.73</v>
      </c>
      <c r="AH26" s="95">
        <v>3</v>
      </c>
      <c r="AI26" s="95">
        <v>26.6</v>
      </c>
      <c r="AJ26" s="96">
        <f t="shared" si="17"/>
        <v>361.30000000000007</v>
      </c>
      <c r="AK26" s="99">
        <v>8.67</v>
      </c>
      <c r="AL26" s="99">
        <v>3</v>
      </c>
      <c r="AM26" s="99">
        <v>27.4</v>
      </c>
      <c r="AN26" s="100">
        <f t="shared" si="18"/>
        <v>372.9</v>
      </c>
      <c r="AS26" s="36">
        <v>8.6</v>
      </c>
    </row>
    <row r="27" spans="1:112">
      <c r="A27" s="39">
        <v>44461</v>
      </c>
      <c r="B27" s="35">
        <v>68</v>
      </c>
      <c r="C27" s="86">
        <v>9.98</v>
      </c>
      <c r="D27" s="86">
        <v>3</v>
      </c>
      <c r="E27" s="86">
        <v>27.2</v>
      </c>
      <c r="F27" s="87">
        <f t="shared" si="10"/>
        <v>370</v>
      </c>
      <c r="G27" s="91">
        <v>9.99</v>
      </c>
      <c r="H27" s="91">
        <v>3</v>
      </c>
      <c r="I27" s="91">
        <v>27.7</v>
      </c>
      <c r="J27" s="92">
        <f t="shared" si="11"/>
        <v>377.25</v>
      </c>
      <c r="K27" s="95">
        <v>9.99</v>
      </c>
      <c r="L27" s="95">
        <v>3</v>
      </c>
      <c r="M27" s="95">
        <v>27.5</v>
      </c>
      <c r="N27" s="96">
        <f t="shared" si="12"/>
        <v>374.35</v>
      </c>
      <c r="O27" s="99">
        <v>9.9700000000000006</v>
      </c>
      <c r="P27" s="99">
        <v>3</v>
      </c>
      <c r="Q27" s="99">
        <v>26.8</v>
      </c>
      <c r="R27" s="100">
        <f t="shared" si="13"/>
        <v>364.20000000000005</v>
      </c>
      <c r="S27" s="103">
        <v>9.89</v>
      </c>
      <c r="T27" s="103">
        <v>2.5</v>
      </c>
      <c r="U27" s="103">
        <v>27.1</v>
      </c>
      <c r="V27" s="104">
        <f t="shared" si="14"/>
        <v>368.55000000000007</v>
      </c>
      <c r="W27" s="34">
        <v>6.87</v>
      </c>
      <c r="X27" s="36"/>
      <c r="Y27" s="103">
        <v>8.91</v>
      </c>
      <c r="Z27" s="103">
        <v>3.5</v>
      </c>
      <c r="AA27" s="103">
        <v>26</v>
      </c>
      <c r="AB27" s="104">
        <f t="shared" si="15"/>
        <v>352.6</v>
      </c>
      <c r="AC27" s="91">
        <v>8.73</v>
      </c>
      <c r="AD27" s="91">
        <v>3</v>
      </c>
      <c r="AE27" s="91">
        <v>26.8</v>
      </c>
      <c r="AF27" s="92">
        <f t="shared" si="16"/>
        <v>364.20000000000005</v>
      </c>
      <c r="AG27" s="95">
        <v>8.74</v>
      </c>
      <c r="AH27" s="95">
        <v>3</v>
      </c>
      <c r="AI27" s="95">
        <v>26.6</v>
      </c>
      <c r="AJ27" s="96">
        <f t="shared" si="17"/>
        <v>361.30000000000007</v>
      </c>
      <c r="AK27" s="99">
        <v>8.64</v>
      </c>
      <c r="AL27" s="99">
        <v>3</v>
      </c>
      <c r="AM27" s="99">
        <v>27.4</v>
      </c>
      <c r="AN27" s="100">
        <f t="shared" si="18"/>
        <v>372.9</v>
      </c>
      <c r="AS27" s="36">
        <v>8.68</v>
      </c>
    </row>
    <row r="28" spans="1:112">
      <c r="A28" s="39">
        <v>44462</v>
      </c>
      <c r="B28" s="35">
        <v>69</v>
      </c>
      <c r="C28" s="86">
        <v>9.9499999999999993</v>
      </c>
      <c r="D28" s="86">
        <v>3</v>
      </c>
      <c r="F28" s="87" t="s">
        <v>182</v>
      </c>
      <c r="G28" s="91">
        <v>9.93</v>
      </c>
      <c r="H28" s="91">
        <v>2.5</v>
      </c>
      <c r="J28" s="92" t="s">
        <v>182</v>
      </c>
      <c r="K28" s="95">
        <v>9.93</v>
      </c>
      <c r="L28" s="95">
        <v>3</v>
      </c>
      <c r="N28" s="96" t="s">
        <v>182</v>
      </c>
      <c r="O28" s="99">
        <v>9.8699999999999992</v>
      </c>
      <c r="P28" s="99">
        <v>2.5</v>
      </c>
      <c r="R28" s="100" t="s">
        <v>182</v>
      </c>
      <c r="S28" s="103">
        <v>9.74</v>
      </c>
      <c r="T28" s="103">
        <v>2.5</v>
      </c>
      <c r="V28" s="104" t="s">
        <v>182</v>
      </c>
      <c r="W28" s="34">
        <v>6.94</v>
      </c>
      <c r="X28" s="36"/>
      <c r="Y28" s="103">
        <v>8.93</v>
      </c>
      <c r="Z28" s="103">
        <v>3</v>
      </c>
      <c r="AB28" s="104" t="s">
        <v>182</v>
      </c>
      <c r="AC28" s="91">
        <v>8.75</v>
      </c>
      <c r="AD28" s="91">
        <v>3.5</v>
      </c>
      <c r="AF28" s="92" t="s">
        <v>182</v>
      </c>
      <c r="AG28" s="95">
        <v>8.7799999999999994</v>
      </c>
      <c r="AH28" s="95">
        <v>3.5</v>
      </c>
      <c r="AJ28" s="96" t="s">
        <v>182</v>
      </c>
      <c r="AK28" s="99">
        <v>8.74</v>
      </c>
      <c r="AL28" s="99">
        <v>3</v>
      </c>
      <c r="AN28" s="100" t="s">
        <v>182</v>
      </c>
      <c r="AS28" s="36">
        <v>8.58</v>
      </c>
      <c r="AT28" s="103">
        <v>8.26</v>
      </c>
      <c r="AU28" s="103">
        <v>3</v>
      </c>
      <c r="AW28" s="104" t="s">
        <v>182</v>
      </c>
      <c r="AX28" s="91">
        <v>8.3800000000000008</v>
      </c>
      <c r="AY28" s="91">
        <v>3.5</v>
      </c>
      <c r="BA28" s="92" t="s">
        <v>182</v>
      </c>
      <c r="BB28" s="95">
        <v>8.39</v>
      </c>
      <c r="BC28" s="95">
        <v>3</v>
      </c>
      <c r="BE28" s="96" t="s">
        <v>182</v>
      </c>
      <c r="BF28" s="99">
        <v>8.2799999999999994</v>
      </c>
      <c r="BG28" s="99">
        <v>3</v>
      </c>
      <c r="BI28" s="100" t="s">
        <v>182</v>
      </c>
      <c r="BN28" s="33">
        <v>7.89</v>
      </c>
      <c r="DH28" s="286"/>
    </row>
    <row r="29" spans="1:112" ht="16" thickBot="1">
      <c r="A29" s="39">
        <v>44463</v>
      </c>
      <c r="B29" s="35">
        <v>72</v>
      </c>
      <c r="C29" s="88">
        <v>9.91</v>
      </c>
      <c r="D29" s="88">
        <v>2.5</v>
      </c>
      <c r="E29" s="88">
        <v>27.1</v>
      </c>
      <c r="F29" s="89">
        <f t="shared" ref="F29:F59" si="19">((E29-1.5)*14.5)-2.65</f>
        <v>368.55000000000007</v>
      </c>
      <c r="G29" s="93">
        <v>9.91</v>
      </c>
      <c r="H29" s="93">
        <v>3</v>
      </c>
      <c r="I29" s="93">
        <v>27.6</v>
      </c>
      <c r="J29" s="94">
        <f t="shared" ref="J29:J59" si="20">((I29-1.5)*14.5)-2.65</f>
        <v>375.80000000000007</v>
      </c>
      <c r="K29" s="97">
        <v>9.91</v>
      </c>
      <c r="L29" s="97">
        <v>3</v>
      </c>
      <c r="M29" s="97">
        <v>27.6</v>
      </c>
      <c r="N29" s="98">
        <f t="shared" ref="N29:N59" si="21">((M29-1.5)*14.5)-2.65</f>
        <v>375.80000000000007</v>
      </c>
      <c r="O29" s="101">
        <v>9.89</v>
      </c>
      <c r="P29" s="101">
        <v>2</v>
      </c>
      <c r="Q29" s="101">
        <v>27.1</v>
      </c>
      <c r="R29" s="102">
        <f t="shared" ref="R29:R59" si="22">((Q29-1.5)*14.5)-2.65</f>
        <v>368.55000000000007</v>
      </c>
      <c r="S29" s="105">
        <v>9.7200000000000006</v>
      </c>
      <c r="T29" s="105">
        <v>3</v>
      </c>
      <c r="U29" s="105">
        <v>27.6</v>
      </c>
      <c r="V29" s="106">
        <f t="shared" ref="V29:V59" si="23">((U29-1.5)*14.5)-2.65</f>
        <v>375.80000000000007</v>
      </c>
      <c r="W29" s="42">
        <v>6.76</v>
      </c>
      <c r="X29" s="43"/>
      <c r="Y29" s="107">
        <v>8.93</v>
      </c>
      <c r="Z29" s="105">
        <v>3.5</v>
      </c>
      <c r="AA29" s="105">
        <v>26</v>
      </c>
      <c r="AB29" s="106">
        <f t="shared" ref="AB29:AB59" si="24">((AA29-1.5)*14.5)-2.65</f>
        <v>352.6</v>
      </c>
      <c r="AC29" s="93">
        <v>8.74</v>
      </c>
      <c r="AD29" s="93">
        <v>3.5</v>
      </c>
      <c r="AE29" s="93">
        <v>26.8</v>
      </c>
      <c r="AF29" s="94">
        <f t="shared" ref="AF29:AF59" si="25">((AE29-1.5)*14.5)-2.65</f>
        <v>364.20000000000005</v>
      </c>
      <c r="AG29" s="97">
        <v>8.77</v>
      </c>
      <c r="AH29" s="97">
        <v>3.5</v>
      </c>
      <c r="AI29" s="97">
        <v>26.6</v>
      </c>
      <c r="AJ29" s="98">
        <f t="shared" ref="AJ29:AJ59" si="26">((AI29-1.5)*14.5)-2.65</f>
        <v>361.30000000000007</v>
      </c>
      <c r="AK29" s="101">
        <v>8.73</v>
      </c>
      <c r="AL29" s="101">
        <v>3</v>
      </c>
      <c r="AM29" s="101">
        <v>27.3</v>
      </c>
      <c r="AN29" s="102">
        <f t="shared" ref="AN29:AN59" si="27">((AM29-1.5)*14.5)-2.65</f>
        <v>371.45000000000005</v>
      </c>
      <c r="AS29" s="43">
        <v>8.5299999999999994</v>
      </c>
      <c r="AT29" s="103">
        <v>10.050000000000001</v>
      </c>
      <c r="AU29" s="103">
        <v>3</v>
      </c>
      <c r="AV29" s="103">
        <v>26</v>
      </c>
      <c r="AW29" s="104">
        <f t="shared" ref="AW29:AW71" si="28">((AV29-1.5)*14.5)-2.65</f>
        <v>352.6</v>
      </c>
      <c r="AX29" s="91">
        <v>9.5399999999999991</v>
      </c>
      <c r="AY29" s="91">
        <v>3</v>
      </c>
      <c r="AZ29" s="91">
        <v>27.3</v>
      </c>
      <c r="BA29" s="92">
        <f t="shared" ref="BA29:BA71" si="29">((AZ29-1.5)*14.5)-2.65</f>
        <v>371.45000000000005</v>
      </c>
      <c r="BB29" s="95">
        <v>10.02</v>
      </c>
      <c r="BC29" s="95">
        <v>3</v>
      </c>
      <c r="BD29" s="95">
        <v>27.5</v>
      </c>
      <c r="BE29" s="96">
        <f t="shared" ref="BE29:BE71" si="30">((BD29-1.5)*14.5)-2.65</f>
        <v>374.35</v>
      </c>
      <c r="BF29" s="99">
        <v>9.6300000000000008</v>
      </c>
      <c r="BG29" s="99">
        <v>3</v>
      </c>
      <c r="BH29" s="99">
        <v>28</v>
      </c>
      <c r="BI29" s="100">
        <f t="shared" ref="BI29:BI71" si="31">((BH29-1.5)*14.5)-2.65</f>
        <v>381.6</v>
      </c>
      <c r="BN29" s="36">
        <v>7.92</v>
      </c>
    </row>
    <row r="30" spans="1:112" ht="16" thickTop="1">
      <c r="A30" s="39">
        <v>44466</v>
      </c>
      <c r="B30" s="35">
        <v>72</v>
      </c>
      <c r="C30" s="86">
        <v>9.81</v>
      </c>
      <c r="D30" s="86">
        <v>2.5</v>
      </c>
      <c r="E30" s="86">
        <v>27.5</v>
      </c>
      <c r="F30" s="87">
        <f t="shared" si="19"/>
        <v>374.35</v>
      </c>
      <c r="G30" s="91">
        <v>9.57</v>
      </c>
      <c r="H30" s="91">
        <v>2.5</v>
      </c>
      <c r="I30" s="91">
        <v>27.5</v>
      </c>
      <c r="J30" s="92">
        <f t="shared" si="20"/>
        <v>374.35</v>
      </c>
      <c r="K30" s="95">
        <v>9.33</v>
      </c>
      <c r="L30" s="95">
        <v>1</v>
      </c>
      <c r="M30" s="95">
        <v>27.2</v>
      </c>
      <c r="N30" s="96">
        <f t="shared" si="21"/>
        <v>370</v>
      </c>
      <c r="O30" s="99">
        <v>9.5</v>
      </c>
      <c r="P30" s="99">
        <v>1</v>
      </c>
      <c r="Q30" s="99">
        <v>27</v>
      </c>
      <c r="R30" s="100">
        <f t="shared" si="22"/>
        <v>367.1</v>
      </c>
      <c r="S30" s="103">
        <v>9.4499999999999993</v>
      </c>
      <c r="T30" s="103">
        <v>2</v>
      </c>
      <c r="U30" s="103">
        <v>27.2</v>
      </c>
      <c r="V30" s="104">
        <f t="shared" si="23"/>
        <v>370</v>
      </c>
      <c r="W30" s="34">
        <v>7.15</v>
      </c>
      <c r="X30" s="36"/>
      <c r="Y30" s="103">
        <v>8.8699999999999992</v>
      </c>
      <c r="Z30" s="103">
        <v>1</v>
      </c>
      <c r="AA30" s="103">
        <v>26</v>
      </c>
      <c r="AB30" s="104">
        <f t="shared" si="24"/>
        <v>352.6</v>
      </c>
      <c r="AC30" s="91">
        <v>8.6999999999999993</v>
      </c>
      <c r="AD30" s="91">
        <v>1</v>
      </c>
      <c r="AE30" s="91">
        <v>26.6</v>
      </c>
      <c r="AF30" s="92">
        <f t="shared" si="25"/>
        <v>361.30000000000007</v>
      </c>
      <c r="AG30" s="95">
        <v>8.73</v>
      </c>
      <c r="AH30" s="95">
        <v>2.5</v>
      </c>
      <c r="AI30" s="95">
        <v>26.5</v>
      </c>
      <c r="AJ30" s="96">
        <f t="shared" si="26"/>
        <v>359.85</v>
      </c>
      <c r="AK30" s="99">
        <v>8.67</v>
      </c>
      <c r="AL30" s="99">
        <v>2.75</v>
      </c>
      <c r="AM30" s="99">
        <v>27.4</v>
      </c>
      <c r="AN30" s="100">
        <f t="shared" si="27"/>
        <v>372.9</v>
      </c>
      <c r="AS30" s="36">
        <v>8.7100000000000009</v>
      </c>
      <c r="AT30" s="103">
        <v>9.77</v>
      </c>
      <c r="AU30" s="103">
        <v>2.75</v>
      </c>
      <c r="AV30" s="103">
        <v>26</v>
      </c>
      <c r="AW30" s="104">
        <f t="shared" si="28"/>
        <v>352.6</v>
      </c>
      <c r="AX30" s="91">
        <v>9.39</v>
      </c>
      <c r="AY30" s="91">
        <v>2.75</v>
      </c>
      <c r="AZ30" s="91">
        <v>27.5</v>
      </c>
      <c r="BA30" s="92">
        <f t="shared" si="29"/>
        <v>374.35</v>
      </c>
      <c r="BB30" s="95">
        <v>9.56</v>
      </c>
      <c r="BC30" s="95">
        <v>3</v>
      </c>
      <c r="BD30" s="95">
        <v>28</v>
      </c>
      <c r="BE30" s="96">
        <f t="shared" si="30"/>
        <v>381.6</v>
      </c>
      <c r="BF30" s="99">
        <v>9.41</v>
      </c>
      <c r="BG30" s="99">
        <v>2.75</v>
      </c>
      <c r="BH30" s="99">
        <v>28.4</v>
      </c>
      <c r="BI30" s="100">
        <f t="shared" si="31"/>
        <v>387.4</v>
      </c>
      <c r="BN30" s="36">
        <v>7.69</v>
      </c>
    </row>
    <row r="31" spans="1:112">
      <c r="A31" s="39">
        <v>44467</v>
      </c>
      <c r="B31" s="35">
        <v>72</v>
      </c>
      <c r="C31" s="86">
        <v>9.92</v>
      </c>
      <c r="D31" s="86">
        <v>3</v>
      </c>
      <c r="E31" s="86">
        <v>27.1</v>
      </c>
      <c r="F31" s="87">
        <f t="shared" si="19"/>
        <v>368.55000000000007</v>
      </c>
      <c r="G31" s="91">
        <v>9.7100000000000009</v>
      </c>
      <c r="H31" s="91">
        <v>3</v>
      </c>
      <c r="I31" s="91">
        <v>27.3</v>
      </c>
      <c r="J31" s="92">
        <f t="shared" si="20"/>
        <v>371.45000000000005</v>
      </c>
      <c r="K31" s="95">
        <v>9.36</v>
      </c>
      <c r="L31" s="95">
        <v>1</v>
      </c>
      <c r="M31" s="95">
        <v>26.7</v>
      </c>
      <c r="N31" s="96">
        <f t="shared" si="21"/>
        <v>362.75</v>
      </c>
      <c r="O31" s="99">
        <v>9.68</v>
      </c>
      <c r="P31" s="99">
        <v>2.5</v>
      </c>
      <c r="Q31" s="99">
        <v>26.6</v>
      </c>
      <c r="R31" s="100">
        <f t="shared" si="22"/>
        <v>361.30000000000007</v>
      </c>
      <c r="S31" s="103">
        <v>9.6</v>
      </c>
      <c r="T31" s="103">
        <v>2.5</v>
      </c>
      <c r="U31" s="103">
        <v>26.2</v>
      </c>
      <c r="V31" s="104">
        <f t="shared" si="23"/>
        <v>355.5</v>
      </c>
      <c r="W31" s="34">
        <v>6.95</v>
      </c>
      <c r="X31" s="36"/>
      <c r="Y31" s="103">
        <v>8.84</v>
      </c>
      <c r="Z31" s="103">
        <v>1</v>
      </c>
      <c r="AA31" s="103">
        <v>26</v>
      </c>
      <c r="AB31" s="104">
        <f t="shared" si="24"/>
        <v>352.6</v>
      </c>
      <c r="AC31" s="91">
        <v>8.7100000000000009</v>
      </c>
      <c r="AD31" s="91">
        <v>3</v>
      </c>
      <c r="AE31" s="91">
        <v>27.4</v>
      </c>
      <c r="AF31" s="92">
        <f t="shared" si="25"/>
        <v>372.9</v>
      </c>
      <c r="AG31" s="95">
        <v>8.73</v>
      </c>
      <c r="AH31" s="95">
        <v>3</v>
      </c>
      <c r="AI31" s="95">
        <v>26.7</v>
      </c>
      <c r="AJ31" s="96">
        <f t="shared" si="26"/>
        <v>362.75</v>
      </c>
      <c r="AK31" s="99">
        <v>8.6999999999999993</v>
      </c>
      <c r="AL31" s="99">
        <v>3.5</v>
      </c>
      <c r="AM31" s="99">
        <v>27.6</v>
      </c>
      <c r="AN31" s="100">
        <f t="shared" si="27"/>
        <v>375.80000000000007</v>
      </c>
      <c r="AS31" s="36">
        <v>8.7200000000000006</v>
      </c>
      <c r="AT31" s="103">
        <v>9.9700000000000006</v>
      </c>
      <c r="AU31" s="103">
        <v>2.5</v>
      </c>
      <c r="AV31" s="103">
        <v>26</v>
      </c>
      <c r="AW31" s="104">
        <f t="shared" si="28"/>
        <v>352.6</v>
      </c>
      <c r="AX31" s="91">
        <v>9.74</v>
      </c>
      <c r="AY31" s="91">
        <v>3</v>
      </c>
      <c r="AZ31" s="91">
        <v>27.1</v>
      </c>
      <c r="BA31" s="92">
        <f t="shared" si="29"/>
        <v>368.55000000000007</v>
      </c>
      <c r="BB31" s="95">
        <v>9.74</v>
      </c>
      <c r="BC31" s="95">
        <v>2</v>
      </c>
      <c r="BD31" s="95">
        <v>27</v>
      </c>
      <c r="BE31" s="96">
        <f t="shared" si="30"/>
        <v>367.1</v>
      </c>
      <c r="BF31" s="99">
        <v>9.84</v>
      </c>
      <c r="BG31" s="99">
        <v>3.5</v>
      </c>
      <c r="BH31" s="99">
        <v>28</v>
      </c>
      <c r="BI31" s="100">
        <f t="shared" si="31"/>
        <v>381.6</v>
      </c>
      <c r="BN31" s="36">
        <v>7.38</v>
      </c>
    </row>
    <row r="32" spans="1:112">
      <c r="A32" s="39">
        <v>44468</v>
      </c>
      <c r="B32" s="35">
        <v>74</v>
      </c>
      <c r="C32" s="86">
        <v>9.6199999999999992</v>
      </c>
      <c r="D32" s="86">
        <v>3.5</v>
      </c>
      <c r="E32" s="86">
        <v>27</v>
      </c>
      <c r="F32" s="87">
        <f t="shared" si="19"/>
        <v>367.1</v>
      </c>
      <c r="G32" s="91">
        <v>9.56</v>
      </c>
      <c r="H32" s="91">
        <v>3</v>
      </c>
      <c r="I32" s="91">
        <v>27.3</v>
      </c>
      <c r="J32" s="92">
        <f t="shared" si="20"/>
        <v>371.45000000000005</v>
      </c>
      <c r="K32" s="95">
        <v>9</v>
      </c>
      <c r="L32" s="95">
        <v>0.1</v>
      </c>
      <c r="M32" s="95">
        <v>26.7</v>
      </c>
      <c r="N32" s="96">
        <f t="shared" si="21"/>
        <v>362.75</v>
      </c>
      <c r="O32" s="99">
        <v>9.5399999999999991</v>
      </c>
      <c r="P32" s="99">
        <v>2.5</v>
      </c>
      <c r="Q32" s="99">
        <v>26.7</v>
      </c>
      <c r="R32" s="100">
        <f t="shared" si="22"/>
        <v>362.75</v>
      </c>
      <c r="S32" s="103">
        <v>9.5399999999999991</v>
      </c>
      <c r="T32" s="103">
        <v>2.5</v>
      </c>
      <c r="U32" s="103">
        <v>26.3</v>
      </c>
      <c r="V32" s="104">
        <f t="shared" si="23"/>
        <v>356.95000000000005</v>
      </c>
      <c r="W32" s="34">
        <v>7.95</v>
      </c>
      <c r="X32" s="36"/>
      <c r="Y32" s="103">
        <v>8.8800000000000008</v>
      </c>
      <c r="Z32" s="103">
        <v>3.5</v>
      </c>
      <c r="AA32" s="103">
        <v>26</v>
      </c>
      <c r="AB32" s="104">
        <f t="shared" si="24"/>
        <v>352.6</v>
      </c>
      <c r="AC32" s="91">
        <v>8.7100000000000009</v>
      </c>
      <c r="AD32" s="91">
        <v>2.5</v>
      </c>
      <c r="AE32" s="91">
        <v>26.9</v>
      </c>
      <c r="AF32" s="92">
        <f t="shared" si="25"/>
        <v>365.65</v>
      </c>
      <c r="AG32" s="95">
        <v>8.75</v>
      </c>
      <c r="AH32" s="95">
        <v>3</v>
      </c>
      <c r="AI32" s="95">
        <v>26.6</v>
      </c>
      <c r="AJ32" s="96">
        <f t="shared" si="26"/>
        <v>361.30000000000007</v>
      </c>
      <c r="AK32" s="99">
        <v>8.74</v>
      </c>
      <c r="AL32" s="99">
        <v>3.5</v>
      </c>
      <c r="AM32" s="99">
        <v>27.5</v>
      </c>
      <c r="AN32" s="100">
        <f t="shared" si="27"/>
        <v>374.35</v>
      </c>
      <c r="AS32" s="36">
        <v>8.6300000000000008</v>
      </c>
      <c r="AT32" s="103">
        <v>9.64</v>
      </c>
      <c r="AU32" s="103">
        <v>2.5</v>
      </c>
      <c r="AV32" s="103">
        <v>26.2</v>
      </c>
      <c r="AW32" s="104">
        <f t="shared" si="28"/>
        <v>355.5</v>
      </c>
      <c r="AX32" s="91">
        <v>9.4600000000000009</v>
      </c>
      <c r="AY32" s="91">
        <v>2.5</v>
      </c>
      <c r="AZ32" s="91">
        <v>27.3</v>
      </c>
      <c r="BA32" s="92">
        <f t="shared" si="29"/>
        <v>371.45000000000005</v>
      </c>
      <c r="BB32" s="95">
        <v>9.51</v>
      </c>
      <c r="BC32" s="95">
        <v>3</v>
      </c>
      <c r="BD32" s="95">
        <v>27</v>
      </c>
      <c r="BE32" s="96">
        <f t="shared" si="30"/>
        <v>367.1</v>
      </c>
      <c r="BF32" s="99">
        <v>9.6199999999999992</v>
      </c>
      <c r="BG32" s="99">
        <v>3</v>
      </c>
      <c r="BH32" s="99">
        <v>28</v>
      </c>
      <c r="BI32" s="100">
        <f t="shared" si="31"/>
        <v>381.6</v>
      </c>
      <c r="BN32" s="36">
        <v>7.79</v>
      </c>
    </row>
    <row r="33" spans="1:112">
      <c r="A33" s="14">
        <v>44470</v>
      </c>
      <c r="B33" s="34">
        <v>74</v>
      </c>
      <c r="C33" s="86">
        <v>9.51</v>
      </c>
      <c r="D33" s="86">
        <v>2.5</v>
      </c>
      <c r="E33" s="86">
        <v>27.2</v>
      </c>
      <c r="F33" s="87">
        <f t="shared" si="19"/>
        <v>370</v>
      </c>
      <c r="G33" s="91">
        <v>9.44</v>
      </c>
      <c r="H33" s="91">
        <v>2.5</v>
      </c>
      <c r="I33" s="91">
        <v>27.3</v>
      </c>
      <c r="J33" s="92">
        <f t="shared" si="20"/>
        <v>371.45000000000005</v>
      </c>
      <c r="K33" s="95">
        <v>9.51</v>
      </c>
      <c r="L33" s="95">
        <v>3.5</v>
      </c>
      <c r="M33" s="95">
        <v>27.1</v>
      </c>
      <c r="N33" s="96">
        <f t="shared" si="21"/>
        <v>368.55000000000007</v>
      </c>
      <c r="O33" s="99">
        <v>9.4499999999999993</v>
      </c>
      <c r="P33" s="99">
        <v>2</v>
      </c>
      <c r="Q33" s="99">
        <v>26.6</v>
      </c>
      <c r="R33" s="100">
        <f t="shared" si="22"/>
        <v>361.30000000000007</v>
      </c>
      <c r="S33" s="103">
        <v>9.4</v>
      </c>
      <c r="T33" s="103">
        <v>2.5</v>
      </c>
      <c r="U33" s="103">
        <v>26.2</v>
      </c>
      <c r="V33" s="104">
        <f t="shared" si="23"/>
        <v>355.5</v>
      </c>
      <c r="W33" s="35">
        <v>7.45</v>
      </c>
      <c r="Y33" s="103">
        <v>8.8699999999999992</v>
      </c>
      <c r="Z33" s="103">
        <v>3.5</v>
      </c>
      <c r="AA33" s="103">
        <v>26</v>
      </c>
      <c r="AB33" s="104">
        <f t="shared" si="24"/>
        <v>352.6</v>
      </c>
      <c r="AC33" s="91">
        <v>8.69</v>
      </c>
      <c r="AD33" s="91">
        <v>3.5</v>
      </c>
      <c r="AE33" s="91">
        <v>27</v>
      </c>
      <c r="AF33" s="92">
        <f t="shared" si="25"/>
        <v>367.1</v>
      </c>
      <c r="AG33" s="95">
        <v>8.7100000000000009</v>
      </c>
      <c r="AH33" s="95">
        <v>3.5</v>
      </c>
      <c r="AI33" s="95">
        <v>27</v>
      </c>
      <c r="AJ33" s="96">
        <f t="shared" si="26"/>
        <v>367.1</v>
      </c>
      <c r="AK33" s="99">
        <v>8.68</v>
      </c>
      <c r="AL33" s="99">
        <v>3.5</v>
      </c>
      <c r="AM33" s="99">
        <v>27.5</v>
      </c>
      <c r="AN33" s="100">
        <f t="shared" si="27"/>
        <v>374.35</v>
      </c>
      <c r="AS33" s="33">
        <v>8.61</v>
      </c>
      <c r="AT33" s="103">
        <v>9.7200000000000006</v>
      </c>
      <c r="AU33" s="103">
        <v>2.5</v>
      </c>
      <c r="AV33" s="103">
        <v>26.8</v>
      </c>
      <c r="AW33" s="104">
        <f t="shared" si="28"/>
        <v>364.20000000000005</v>
      </c>
      <c r="AX33" s="91">
        <v>9.6</v>
      </c>
      <c r="AY33" s="91">
        <v>3</v>
      </c>
      <c r="AZ33" s="91">
        <v>27.5</v>
      </c>
      <c r="BA33" s="92">
        <f t="shared" si="29"/>
        <v>374.35</v>
      </c>
      <c r="BB33" s="95">
        <v>9.77</v>
      </c>
      <c r="BC33" s="95">
        <v>2.5</v>
      </c>
      <c r="BD33" s="95">
        <v>27.1</v>
      </c>
      <c r="BE33" s="96">
        <f t="shared" si="30"/>
        <v>368.55000000000007</v>
      </c>
      <c r="BF33" s="99">
        <v>9.74</v>
      </c>
      <c r="BG33" s="99">
        <v>2.5</v>
      </c>
      <c r="BH33" s="99">
        <v>28.2</v>
      </c>
      <c r="BI33" s="100">
        <f t="shared" si="31"/>
        <v>384.5</v>
      </c>
      <c r="BN33" s="33">
        <v>7.35</v>
      </c>
      <c r="DF33" s="280"/>
      <c r="DH33" s="286"/>
    </row>
    <row r="34" spans="1:112">
      <c r="A34" s="14">
        <v>44473</v>
      </c>
      <c r="B34" s="34">
        <v>75</v>
      </c>
      <c r="C34" s="86">
        <v>9.67</v>
      </c>
      <c r="D34" s="86">
        <v>3.5</v>
      </c>
      <c r="E34" s="86">
        <v>27.4</v>
      </c>
      <c r="F34" s="87">
        <f t="shared" si="19"/>
        <v>372.9</v>
      </c>
      <c r="G34" s="91">
        <v>9.41</v>
      </c>
      <c r="H34" s="91">
        <v>3</v>
      </c>
      <c r="I34" s="91">
        <v>27.4</v>
      </c>
      <c r="J34" s="92">
        <f t="shared" si="20"/>
        <v>372.9</v>
      </c>
      <c r="K34" s="95">
        <v>9.31</v>
      </c>
      <c r="L34" s="95">
        <v>2.5</v>
      </c>
      <c r="M34" s="95">
        <v>27.1</v>
      </c>
      <c r="N34" s="96">
        <f t="shared" si="21"/>
        <v>368.55000000000007</v>
      </c>
      <c r="O34" s="99">
        <v>9.33</v>
      </c>
      <c r="P34" s="99">
        <v>2.5</v>
      </c>
      <c r="Q34" s="99">
        <v>26.4</v>
      </c>
      <c r="R34" s="100">
        <f t="shared" si="22"/>
        <v>358.4</v>
      </c>
      <c r="S34" s="103">
        <v>9.31</v>
      </c>
      <c r="T34" s="103">
        <v>2.5</v>
      </c>
      <c r="U34" s="103">
        <v>26.2</v>
      </c>
      <c r="V34" s="104">
        <f t="shared" si="23"/>
        <v>355.5</v>
      </c>
      <c r="W34" s="35">
        <v>7.55</v>
      </c>
      <c r="Y34" s="103">
        <v>8.8800000000000008</v>
      </c>
      <c r="Z34" s="103">
        <v>3.75</v>
      </c>
      <c r="AA34" s="103">
        <v>26</v>
      </c>
      <c r="AB34" s="104">
        <f t="shared" si="24"/>
        <v>352.6</v>
      </c>
      <c r="AC34" s="91">
        <v>8.7200000000000006</v>
      </c>
      <c r="AD34" s="91">
        <v>3.75</v>
      </c>
      <c r="AE34" s="91">
        <v>27.1</v>
      </c>
      <c r="AF34" s="92">
        <f t="shared" si="25"/>
        <v>368.55000000000007</v>
      </c>
      <c r="AG34" s="95">
        <v>8.75</v>
      </c>
      <c r="AH34" s="95">
        <v>3.75</v>
      </c>
      <c r="AI34" s="95">
        <v>27</v>
      </c>
      <c r="AJ34" s="96">
        <f t="shared" si="26"/>
        <v>367.1</v>
      </c>
      <c r="AK34" s="99">
        <v>8.7200000000000006</v>
      </c>
      <c r="AL34" s="99">
        <v>3.5</v>
      </c>
      <c r="AM34" s="99">
        <v>27.4</v>
      </c>
      <c r="AN34" s="100">
        <f t="shared" si="27"/>
        <v>372.9</v>
      </c>
      <c r="AS34" s="33">
        <v>8.74</v>
      </c>
      <c r="AT34" s="103">
        <v>9.66</v>
      </c>
      <c r="AU34" s="103">
        <v>3</v>
      </c>
      <c r="AV34" s="103">
        <v>27.5</v>
      </c>
      <c r="AW34" s="104">
        <f t="shared" si="28"/>
        <v>374.35</v>
      </c>
      <c r="AX34" s="91">
        <v>9.66</v>
      </c>
      <c r="AY34" s="91">
        <v>2.5</v>
      </c>
      <c r="AZ34" s="91">
        <v>28.2</v>
      </c>
      <c r="BA34" s="92">
        <f t="shared" si="29"/>
        <v>384.5</v>
      </c>
      <c r="BB34" s="95">
        <v>9.76</v>
      </c>
      <c r="BC34" s="95">
        <v>2.5</v>
      </c>
      <c r="BD34" s="95">
        <v>27.7</v>
      </c>
      <c r="BE34" s="96">
        <f t="shared" si="30"/>
        <v>377.25</v>
      </c>
      <c r="BF34" s="99">
        <v>9.8000000000000007</v>
      </c>
      <c r="BG34" s="99">
        <v>3</v>
      </c>
      <c r="BH34" s="99">
        <v>28.5</v>
      </c>
      <c r="BI34" s="100">
        <f t="shared" si="31"/>
        <v>388.85</v>
      </c>
      <c r="BN34" s="33">
        <v>7.36</v>
      </c>
      <c r="DF34" s="280"/>
      <c r="DH34" s="286"/>
    </row>
    <row r="35" spans="1:112">
      <c r="A35" s="14">
        <v>44475</v>
      </c>
      <c r="B35" s="34">
        <v>75</v>
      </c>
      <c r="C35" s="86">
        <v>9.73</v>
      </c>
      <c r="D35" s="86">
        <v>3</v>
      </c>
      <c r="E35" s="86">
        <v>27.3</v>
      </c>
      <c r="F35" s="87">
        <f t="shared" si="19"/>
        <v>371.45000000000005</v>
      </c>
      <c r="G35" s="91">
        <v>9.56</v>
      </c>
      <c r="H35" s="91">
        <v>3</v>
      </c>
      <c r="I35" s="91">
        <v>27.3</v>
      </c>
      <c r="J35" s="92">
        <f t="shared" si="20"/>
        <v>371.45000000000005</v>
      </c>
      <c r="K35" s="95">
        <v>9.5399999999999991</v>
      </c>
      <c r="L35" s="95">
        <v>2.5</v>
      </c>
      <c r="M35" s="95">
        <v>27.2</v>
      </c>
      <c r="N35" s="96">
        <f t="shared" si="21"/>
        <v>370</v>
      </c>
      <c r="O35" s="99">
        <v>9.4700000000000006</v>
      </c>
      <c r="P35" s="99">
        <v>2</v>
      </c>
      <c r="Q35" s="99">
        <v>26.9</v>
      </c>
      <c r="R35" s="100">
        <f t="shared" si="22"/>
        <v>365.65</v>
      </c>
      <c r="S35" s="103">
        <v>9.4700000000000006</v>
      </c>
      <c r="T35" s="103">
        <v>2.5</v>
      </c>
      <c r="U35" s="103">
        <v>26.2</v>
      </c>
      <c r="V35" s="104">
        <f t="shared" si="23"/>
        <v>355.5</v>
      </c>
      <c r="W35" s="35">
        <v>7.5</v>
      </c>
      <c r="X35" s="33">
        <v>7.38</v>
      </c>
      <c r="Y35" s="103">
        <v>8.7799999999999994</v>
      </c>
      <c r="Z35" s="103">
        <v>3.5</v>
      </c>
      <c r="AA35" s="103">
        <v>26</v>
      </c>
      <c r="AB35" s="104">
        <f t="shared" si="24"/>
        <v>352.6</v>
      </c>
      <c r="AC35" s="91">
        <v>8.6</v>
      </c>
      <c r="AD35" s="91">
        <v>3.5</v>
      </c>
      <c r="AE35" s="91">
        <v>27</v>
      </c>
      <c r="AF35" s="92">
        <f t="shared" si="25"/>
        <v>367.1</v>
      </c>
      <c r="AG35" s="95">
        <v>8.6300000000000008</v>
      </c>
      <c r="AH35" s="95">
        <v>3.5</v>
      </c>
      <c r="AI35" s="95">
        <v>27</v>
      </c>
      <c r="AJ35" s="96">
        <f t="shared" si="26"/>
        <v>367.1</v>
      </c>
      <c r="AK35" s="99">
        <v>8.58</v>
      </c>
      <c r="AL35" s="99">
        <v>4</v>
      </c>
      <c r="AM35" s="99">
        <v>27.4</v>
      </c>
      <c r="AN35" s="100">
        <f t="shared" si="27"/>
        <v>372.9</v>
      </c>
      <c r="AS35" s="33">
        <v>8.61</v>
      </c>
      <c r="AT35" s="103">
        <v>9.6199999999999992</v>
      </c>
      <c r="AU35" s="103">
        <v>2.5</v>
      </c>
      <c r="AV35" s="103">
        <v>26.4</v>
      </c>
      <c r="AW35" s="104">
        <f t="shared" si="28"/>
        <v>358.4</v>
      </c>
      <c r="AX35" s="91">
        <v>9.65</v>
      </c>
      <c r="AY35" s="91">
        <v>2.5</v>
      </c>
      <c r="AZ35" s="91">
        <v>27.2</v>
      </c>
      <c r="BA35" s="92">
        <f t="shared" si="29"/>
        <v>370</v>
      </c>
      <c r="BB35" s="95">
        <v>9.74</v>
      </c>
      <c r="BC35" s="95">
        <v>3</v>
      </c>
      <c r="BD35" s="95">
        <v>26.8</v>
      </c>
      <c r="BE35" s="96">
        <f t="shared" si="30"/>
        <v>364.20000000000005</v>
      </c>
      <c r="BF35" s="99">
        <v>9.7200000000000006</v>
      </c>
      <c r="BG35" s="99">
        <v>3</v>
      </c>
      <c r="BH35" s="99">
        <v>28.1</v>
      </c>
      <c r="BI35" s="100">
        <f t="shared" si="31"/>
        <v>383.05000000000007</v>
      </c>
      <c r="BN35" s="33">
        <v>8.61</v>
      </c>
    </row>
    <row r="36" spans="1:112">
      <c r="A36" s="14">
        <v>44477</v>
      </c>
      <c r="B36" s="34">
        <v>75</v>
      </c>
      <c r="C36" s="86">
        <v>9.75</v>
      </c>
      <c r="D36" s="86">
        <v>3</v>
      </c>
      <c r="E36" s="86">
        <v>27.4</v>
      </c>
      <c r="F36" s="87">
        <f t="shared" si="19"/>
        <v>372.9</v>
      </c>
      <c r="G36" s="91">
        <v>9.4499999999999993</v>
      </c>
      <c r="H36" s="91">
        <v>3</v>
      </c>
      <c r="I36" s="91">
        <v>27.3</v>
      </c>
      <c r="J36" s="92">
        <f t="shared" si="20"/>
        <v>371.45000000000005</v>
      </c>
      <c r="K36" s="95">
        <v>9.42</v>
      </c>
      <c r="L36" s="95">
        <v>2.5</v>
      </c>
      <c r="M36" s="95">
        <v>27.1</v>
      </c>
      <c r="N36" s="96">
        <f t="shared" si="21"/>
        <v>368.55000000000007</v>
      </c>
      <c r="O36" s="99">
        <v>9.3699999999999992</v>
      </c>
      <c r="P36" s="99">
        <v>2</v>
      </c>
      <c r="Q36" s="99">
        <v>26.3</v>
      </c>
      <c r="R36" s="100">
        <f t="shared" si="22"/>
        <v>356.95000000000005</v>
      </c>
      <c r="S36" s="103">
        <v>9.3800000000000008</v>
      </c>
      <c r="T36" s="103">
        <v>2</v>
      </c>
      <c r="U36" s="103">
        <v>26.1</v>
      </c>
      <c r="V36" s="104">
        <f t="shared" si="23"/>
        <v>354.05000000000007</v>
      </c>
      <c r="W36" s="35">
        <v>7.07</v>
      </c>
      <c r="X36" s="33">
        <v>7.07</v>
      </c>
      <c r="Y36" s="103">
        <v>8.77</v>
      </c>
      <c r="Z36" s="103">
        <v>3.5</v>
      </c>
      <c r="AA36" s="103">
        <v>26</v>
      </c>
      <c r="AB36" s="104">
        <f t="shared" si="24"/>
        <v>352.6</v>
      </c>
      <c r="AC36" s="91">
        <v>8.61</v>
      </c>
      <c r="AD36" s="91">
        <v>3.5</v>
      </c>
      <c r="AE36" s="91">
        <v>27</v>
      </c>
      <c r="AF36" s="92">
        <f t="shared" si="25"/>
        <v>367.1</v>
      </c>
      <c r="AG36" s="95">
        <v>8.64</v>
      </c>
      <c r="AH36" s="95">
        <v>3.5</v>
      </c>
      <c r="AI36" s="95">
        <v>27</v>
      </c>
      <c r="AJ36" s="96">
        <f t="shared" si="26"/>
        <v>367.1</v>
      </c>
      <c r="AK36" s="99">
        <v>8.6199999999999992</v>
      </c>
      <c r="AL36" s="99">
        <v>3.5</v>
      </c>
      <c r="AM36" s="99">
        <v>27.4</v>
      </c>
      <c r="AN36" s="100">
        <f t="shared" si="27"/>
        <v>372.9</v>
      </c>
      <c r="AS36" s="33">
        <v>8.6300000000000008</v>
      </c>
      <c r="AT36" s="103">
        <v>9.69</v>
      </c>
      <c r="AU36" s="103">
        <v>2.5</v>
      </c>
      <c r="AV36" s="103">
        <v>26.3</v>
      </c>
      <c r="AW36" s="104">
        <f t="shared" si="28"/>
        <v>356.95000000000005</v>
      </c>
      <c r="AX36" s="91">
        <v>9.64</v>
      </c>
      <c r="AY36" s="91">
        <v>3</v>
      </c>
      <c r="AZ36" s="91">
        <v>27.6</v>
      </c>
      <c r="BA36" s="92">
        <f t="shared" si="29"/>
        <v>375.80000000000007</v>
      </c>
      <c r="BB36" s="95">
        <v>9.52</v>
      </c>
      <c r="BC36" s="95">
        <v>3</v>
      </c>
      <c r="BD36" s="95">
        <v>27</v>
      </c>
      <c r="BE36" s="96">
        <f t="shared" si="30"/>
        <v>367.1</v>
      </c>
      <c r="BF36" s="99">
        <v>9.57</v>
      </c>
      <c r="BG36" s="99">
        <v>3</v>
      </c>
      <c r="BH36" s="99">
        <v>28.4</v>
      </c>
      <c r="BI36" s="100">
        <f t="shared" si="31"/>
        <v>387.4</v>
      </c>
      <c r="BN36" s="33">
        <v>7.15</v>
      </c>
    </row>
    <row r="37" spans="1:112">
      <c r="A37" s="14">
        <v>44480</v>
      </c>
      <c r="B37" s="34">
        <v>75</v>
      </c>
      <c r="C37" s="86">
        <v>9.67</v>
      </c>
      <c r="D37" s="86">
        <v>3</v>
      </c>
      <c r="E37" s="86">
        <v>27.3</v>
      </c>
      <c r="F37" s="87">
        <f t="shared" si="19"/>
        <v>371.45000000000005</v>
      </c>
      <c r="G37" s="91">
        <v>9.4</v>
      </c>
      <c r="H37" s="91">
        <v>3</v>
      </c>
      <c r="I37" s="91">
        <v>27.3</v>
      </c>
      <c r="J37" s="92">
        <f t="shared" si="20"/>
        <v>371.45000000000005</v>
      </c>
      <c r="K37" s="95">
        <v>9.3699999999999992</v>
      </c>
      <c r="L37" s="95">
        <v>2.5</v>
      </c>
      <c r="M37" s="95">
        <v>27</v>
      </c>
      <c r="N37" s="96">
        <f t="shared" si="21"/>
        <v>367.1</v>
      </c>
      <c r="O37" s="99">
        <v>9.2899999999999991</v>
      </c>
      <c r="P37" s="99">
        <v>2.5</v>
      </c>
      <c r="Q37" s="99">
        <v>26.5</v>
      </c>
      <c r="R37" s="100">
        <f t="shared" si="22"/>
        <v>359.85</v>
      </c>
      <c r="S37" s="103">
        <v>9.35</v>
      </c>
      <c r="T37" s="103">
        <v>2.5</v>
      </c>
      <c r="U37" s="103">
        <v>26.2</v>
      </c>
      <c r="V37" s="104">
        <f t="shared" si="23"/>
        <v>355.5</v>
      </c>
      <c r="W37" s="35">
        <v>7.37</v>
      </c>
      <c r="X37" s="33">
        <v>7.17</v>
      </c>
      <c r="Y37" s="103">
        <v>8.83</v>
      </c>
      <c r="Z37" s="103">
        <v>3.5</v>
      </c>
      <c r="AA37" s="103">
        <v>26.9</v>
      </c>
      <c r="AB37" s="104">
        <f t="shared" si="24"/>
        <v>365.65</v>
      </c>
      <c r="AC37" s="91">
        <v>8.67</v>
      </c>
      <c r="AD37" s="91">
        <v>3.5</v>
      </c>
      <c r="AE37" s="91">
        <v>26</v>
      </c>
      <c r="AF37" s="92">
        <f t="shared" si="25"/>
        <v>352.6</v>
      </c>
      <c r="AG37" s="95">
        <v>8.6999999999999993</v>
      </c>
      <c r="AH37" s="95">
        <v>3.5</v>
      </c>
      <c r="AI37" s="95">
        <v>27</v>
      </c>
      <c r="AJ37" s="96">
        <f t="shared" si="26"/>
        <v>367.1</v>
      </c>
      <c r="AK37" s="99">
        <v>8.64</v>
      </c>
      <c r="AL37" s="99">
        <v>3.75</v>
      </c>
      <c r="AM37" s="99">
        <v>27.4</v>
      </c>
      <c r="AN37" s="100">
        <f t="shared" si="27"/>
        <v>372.9</v>
      </c>
      <c r="AS37" s="33">
        <v>8.68</v>
      </c>
      <c r="AT37" s="103">
        <v>9.6199999999999992</v>
      </c>
      <c r="AU37" s="103">
        <v>2.5</v>
      </c>
      <c r="AV37" s="103">
        <v>26.5</v>
      </c>
      <c r="AW37" s="104">
        <f t="shared" si="28"/>
        <v>359.85</v>
      </c>
      <c r="AX37" s="91">
        <v>9.59</v>
      </c>
      <c r="AY37" s="91">
        <v>3</v>
      </c>
      <c r="AZ37" s="91">
        <v>27.1</v>
      </c>
      <c r="BA37" s="92">
        <f t="shared" si="29"/>
        <v>368.55000000000007</v>
      </c>
      <c r="BB37" s="95">
        <v>9.57</v>
      </c>
      <c r="BC37" s="95">
        <v>3</v>
      </c>
      <c r="BD37" s="95">
        <v>26.8</v>
      </c>
      <c r="BE37" s="96">
        <f t="shared" si="30"/>
        <v>364.20000000000005</v>
      </c>
      <c r="BF37" s="99">
        <v>9.61</v>
      </c>
      <c r="BG37" s="99">
        <v>3</v>
      </c>
      <c r="BH37" s="99">
        <v>27.5</v>
      </c>
      <c r="BI37" s="100">
        <f t="shared" si="31"/>
        <v>374.35</v>
      </c>
      <c r="BN37" s="33">
        <v>6.98</v>
      </c>
    </row>
    <row r="38" spans="1:112">
      <c r="A38" s="39">
        <v>44482</v>
      </c>
      <c r="B38" s="34">
        <v>78</v>
      </c>
      <c r="C38" s="86">
        <v>9.44</v>
      </c>
      <c r="D38" s="86">
        <v>1</v>
      </c>
      <c r="E38" s="86">
        <v>27.4</v>
      </c>
      <c r="F38" s="87">
        <f t="shared" si="19"/>
        <v>372.9</v>
      </c>
      <c r="G38" s="91">
        <v>9.19</v>
      </c>
      <c r="H38" s="91">
        <v>2</v>
      </c>
      <c r="I38" s="91">
        <v>27.2</v>
      </c>
      <c r="J38" s="92">
        <f t="shared" si="20"/>
        <v>370</v>
      </c>
      <c r="K38" s="95">
        <v>8.93</v>
      </c>
      <c r="L38" s="95">
        <v>1</v>
      </c>
      <c r="M38" s="95">
        <v>26.9</v>
      </c>
      <c r="N38" s="96">
        <f t="shared" si="21"/>
        <v>365.65</v>
      </c>
      <c r="O38" s="99">
        <v>9.24</v>
      </c>
      <c r="P38" s="99">
        <v>3.5</v>
      </c>
      <c r="Q38" s="99">
        <v>26.7</v>
      </c>
      <c r="R38" s="100">
        <f t="shared" si="22"/>
        <v>362.75</v>
      </c>
      <c r="S38" s="103">
        <v>9.15</v>
      </c>
      <c r="T38" s="103">
        <v>3</v>
      </c>
      <c r="U38" s="103">
        <v>26.1</v>
      </c>
      <c r="V38" s="104">
        <f t="shared" si="23"/>
        <v>354.05000000000007</v>
      </c>
      <c r="W38" s="34">
        <v>7.21</v>
      </c>
      <c r="X38" s="33">
        <v>6.93</v>
      </c>
      <c r="Y38" s="103">
        <v>8.7899999999999991</v>
      </c>
      <c r="Z38" s="103">
        <v>3.5</v>
      </c>
      <c r="AA38" s="103">
        <v>26</v>
      </c>
      <c r="AB38" s="104">
        <f t="shared" si="24"/>
        <v>352.6</v>
      </c>
      <c r="AC38" s="91">
        <v>8.6</v>
      </c>
      <c r="AD38" s="91">
        <v>2.5</v>
      </c>
      <c r="AE38" s="91">
        <v>26.8</v>
      </c>
      <c r="AF38" s="92">
        <f t="shared" si="25"/>
        <v>364.20000000000005</v>
      </c>
      <c r="AG38" s="95">
        <v>8.61</v>
      </c>
      <c r="AH38" s="95">
        <v>3.5</v>
      </c>
      <c r="AI38" s="95">
        <v>26.8</v>
      </c>
      <c r="AJ38" s="96">
        <f t="shared" si="26"/>
        <v>364.20000000000005</v>
      </c>
      <c r="AK38" s="99">
        <v>8.5399999999999991</v>
      </c>
      <c r="AL38" s="99">
        <v>3</v>
      </c>
      <c r="AM38" s="99">
        <v>27.3</v>
      </c>
      <c r="AN38" s="100">
        <f t="shared" si="27"/>
        <v>371.45000000000005</v>
      </c>
      <c r="AS38" s="33">
        <v>8.51</v>
      </c>
      <c r="AT38" s="103">
        <v>8.0399999999999991</v>
      </c>
      <c r="AU38" s="103">
        <v>2.5</v>
      </c>
      <c r="AV38" s="103">
        <v>27</v>
      </c>
      <c r="AW38" s="104">
        <f t="shared" si="28"/>
        <v>367.1</v>
      </c>
      <c r="AX38" s="91">
        <v>7.98</v>
      </c>
      <c r="AY38" s="91">
        <v>3.5</v>
      </c>
      <c r="AZ38" s="91">
        <v>27.2</v>
      </c>
      <c r="BA38" s="92">
        <f t="shared" si="29"/>
        <v>370</v>
      </c>
      <c r="BB38" s="95">
        <v>7.77</v>
      </c>
      <c r="BC38" s="95">
        <v>3</v>
      </c>
      <c r="BD38" s="95">
        <v>26.5</v>
      </c>
      <c r="BE38" s="96">
        <f t="shared" si="30"/>
        <v>359.85</v>
      </c>
      <c r="BF38" s="99">
        <v>7.82</v>
      </c>
      <c r="BG38" s="99">
        <v>3</v>
      </c>
      <c r="BH38" s="99">
        <v>27.5</v>
      </c>
      <c r="BI38" s="100">
        <f t="shared" si="31"/>
        <v>374.35</v>
      </c>
      <c r="BN38" s="33">
        <v>6.76</v>
      </c>
    </row>
    <row r="39" spans="1:112">
      <c r="A39" s="39">
        <v>44483</v>
      </c>
      <c r="B39" s="34">
        <v>78</v>
      </c>
      <c r="C39" s="86">
        <v>9.51</v>
      </c>
      <c r="D39" s="86">
        <v>3.5</v>
      </c>
      <c r="E39" s="86">
        <v>27.4</v>
      </c>
      <c r="F39" s="87">
        <f t="shared" si="19"/>
        <v>372.9</v>
      </c>
      <c r="G39" s="91">
        <v>9.2200000000000006</v>
      </c>
      <c r="H39" s="91">
        <v>2.5</v>
      </c>
      <c r="I39" s="91">
        <v>27.4</v>
      </c>
      <c r="J39" s="92">
        <f t="shared" si="20"/>
        <v>372.9</v>
      </c>
      <c r="K39" s="95">
        <v>9.2100000000000009</v>
      </c>
      <c r="L39" s="95">
        <v>2.5</v>
      </c>
      <c r="M39" s="95">
        <v>27.4</v>
      </c>
      <c r="N39" s="96">
        <f t="shared" si="21"/>
        <v>372.9</v>
      </c>
      <c r="O39" s="99">
        <v>9.07</v>
      </c>
      <c r="P39" s="99">
        <v>3</v>
      </c>
      <c r="Q39" s="99">
        <v>27</v>
      </c>
      <c r="R39" s="100">
        <f t="shared" si="22"/>
        <v>367.1</v>
      </c>
      <c r="S39" s="103">
        <v>9.2100000000000009</v>
      </c>
      <c r="T39" s="103">
        <v>3.5</v>
      </c>
      <c r="U39" s="103">
        <v>26.3</v>
      </c>
      <c r="V39" s="104">
        <f t="shared" si="23"/>
        <v>356.95000000000005</v>
      </c>
      <c r="W39" s="34">
        <v>6.91</v>
      </c>
      <c r="X39" s="33">
        <v>6.43</v>
      </c>
      <c r="Y39" s="103">
        <v>8.58</v>
      </c>
      <c r="Z39" s="103">
        <v>4</v>
      </c>
      <c r="AA39" s="103">
        <v>26</v>
      </c>
      <c r="AB39" s="104">
        <f t="shared" si="24"/>
        <v>352.6</v>
      </c>
      <c r="AC39" s="91">
        <v>8.4</v>
      </c>
      <c r="AD39" s="91">
        <v>3</v>
      </c>
      <c r="AE39" s="91">
        <v>26.7</v>
      </c>
      <c r="AF39" s="92">
        <f t="shared" si="25"/>
        <v>362.75</v>
      </c>
      <c r="AG39" s="95">
        <v>8.4499999999999993</v>
      </c>
      <c r="AH39" s="95">
        <v>3.5</v>
      </c>
      <c r="AI39" s="95">
        <v>26.9</v>
      </c>
      <c r="AJ39" s="96">
        <f t="shared" si="26"/>
        <v>365.65</v>
      </c>
      <c r="AK39" s="99">
        <v>8.4</v>
      </c>
      <c r="AL39" s="99">
        <v>3</v>
      </c>
      <c r="AM39" s="99">
        <v>27.2</v>
      </c>
      <c r="AN39" s="100">
        <f t="shared" si="27"/>
        <v>370</v>
      </c>
      <c r="AS39" s="33">
        <v>8.11</v>
      </c>
      <c r="AT39" s="103">
        <v>9.57</v>
      </c>
      <c r="AU39" s="103">
        <v>3.5</v>
      </c>
      <c r="AV39" s="103">
        <v>26.7</v>
      </c>
      <c r="AW39" s="104">
        <f t="shared" si="28"/>
        <v>362.75</v>
      </c>
      <c r="AX39" s="91">
        <v>9.51</v>
      </c>
      <c r="AY39" s="91">
        <v>3</v>
      </c>
      <c r="AZ39" s="91">
        <v>27</v>
      </c>
      <c r="BA39" s="92">
        <f t="shared" si="29"/>
        <v>367.1</v>
      </c>
      <c r="BB39" s="95">
        <v>9.5299999999999994</v>
      </c>
      <c r="BC39" s="95">
        <v>3</v>
      </c>
      <c r="BD39" s="95">
        <v>26.6</v>
      </c>
      <c r="BE39" s="96">
        <f t="shared" si="30"/>
        <v>361.30000000000007</v>
      </c>
      <c r="BF39" s="99">
        <v>9.5299999999999994</v>
      </c>
      <c r="BG39" s="99">
        <v>3.5</v>
      </c>
      <c r="BH39" s="99">
        <v>27.5</v>
      </c>
      <c r="BI39" s="100">
        <f t="shared" si="31"/>
        <v>374.35</v>
      </c>
      <c r="BN39" s="33">
        <v>6.81</v>
      </c>
    </row>
    <row r="40" spans="1:112">
      <c r="A40" s="39">
        <v>44487</v>
      </c>
      <c r="B40" s="34">
        <v>78</v>
      </c>
      <c r="C40" s="86">
        <v>9.5399999999999991</v>
      </c>
      <c r="D40" s="86">
        <v>3</v>
      </c>
      <c r="E40" s="86">
        <v>26.8</v>
      </c>
      <c r="F40" s="87">
        <f t="shared" si="19"/>
        <v>364.20000000000005</v>
      </c>
      <c r="G40" s="91">
        <v>8.89</v>
      </c>
      <c r="H40" s="91">
        <v>1</v>
      </c>
      <c r="I40" s="91">
        <v>27</v>
      </c>
      <c r="J40" s="92">
        <f t="shared" si="20"/>
        <v>367.1</v>
      </c>
      <c r="K40" s="95">
        <v>9.1199999999999992</v>
      </c>
      <c r="L40" s="95">
        <v>2</v>
      </c>
      <c r="M40" s="95">
        <v>26.6</v>
      </c>
      <c r="N40" s="96">
        <f t="shared" si="21"/>
        <v>361.30000000000007</v>
      </c>
      <c r="O40" s="99">
        <v>9.19</v>
      </c>
      <c r="P40" s="99">
        <v>3</v>
      </c>
      <c r="Q40" s="99">
        <v>26.4</v>
      </c>
      <c r="R40" s="100">
        <f t="shared" si="22"/>
        <v>358.4</v>
      </c>
      <c r="S40" s="103">
        <v>9.19</v>
      </c>
      <c r="T40" s="103">
        <v>3</v>
      </c>
      <c r="U40" s="103">
        <v>26</v>
      </c>
      <c r="V40" s="104">
        <f t="shared" si="23"/>
        <v>352.6</v>
      </c>
      <c r="W40" s="34">
        <v>7.14</v>
      </c>
      <c r="X40" s="33">
        <v>6.91</v>
      </c>
      <c r="Y40" s="103">
        <v>8.68</v>
      </c>
      <c r="Z40" s="103">
        <v>4</v>
      </c>
      <c r="AA40" s="103">
        <v>26</v>
      </c>
      <c r="AB40" s="104">
        <f t="shared" si="24"/>
        <v>352.6</v>
      </c>
      <c r="AC40" s="91">
        <v>8.4499999999999993</v>
      </c>
      <c r="AD40" s="91">
        <v>2.5</v>
      </c>
      <c r="AE40" s="91">
        <v>26.5</v>
      </c>
      <c r="AF40" s="92">
        <f t="shared" si="25"/>
        <v>359.85</v>
      </c>
      <c r="AG40" s="95">
        <v>8.52</v>
      </c>
      <c r="AH40" s="95">
        <v>3</v>
      </c>
      <c r="AI40" s="95">
        <v>26.5</v>
      </c>
      <c r="AJ40" s="96">
        <f t="shared" si="26"/>
        <v>359.85</v>
      </c>
      <c r="AK40" s="99">
        <v>8.4700000000000006</v>
      </c>
      <c r="AL40" s="99">
        <v>2.5</v>
      </c>
      <c r="AM40" s="99">
        <v>27</v>
      </c>
      <c r="AN40" s="100">
        <f t="shared" si="27"/>
        <v>367.1</v>
      </c>
      <c r="AS40" s="33">
        <v>8.52</v>
      </c>
      <c r="AT40" s="103">
        <v>9.43</v>
      </c>
      <c r="AU40" s="103">
        <v>3</v>
      </c>
      <c r="AV40" s="103">
        <v>26.1</v>
      </c>
      <c r="AW40" s="104">
        <f t="shared" si="28"/>
        <v>354.05000000000007</v>
      </c>
      <c r="AX40" s="91">
        <v>9.36</v>
      </c>
      <c r="AY40" s="91">
        <v>3.5</v>
      </c>
      <c r="AZ40" s="91">
        <v>26.6</v>
      </c>
      <c r="BA40" s="92">
        <f t="shared" si="29"/>
        <v>361.30000000000007</v>
      </c>
      <c r="BB40" s="95">
        <v>9.44</v>
      </c>
      <c r="BC40" s="95">
        <v>3.5</v>
      </c>
      <c r="BD40" s="95">
        <v>26.2</v>
      </c>
      <c r="BE40" s="96">
        <f t="shared" si="30"/>
        <v>355.5</v>
      </c>
      <c r="BF40" s="99">
        <v>9.42</v>
      </c>
      <c r="BG40" s="99">
        <v>3</v>
      </c>
      <c r="BH40" s="99">
        <v>27</v>
      </c>
      <c r="BI40" s="100">
        <f t="shared" si="31"/>
        <v>367.1</v>
      </c>
      <c r="BN40" s="33">
        <v>6.84</v>
      </c>
    </row>
    <row r="41" spans="1:112">
      <c r="A41" s="39">
        <v>44489</v>
      </c>
      <c r="B41" s="34">
        <v>78</v>
      </c>
      <c r="C41" s="86">
        <v>9.3000000000000007</v>
      </c>
      <c r="D41" s="86">
        <v>2.5</v>
      </c>
      <c r="E41" s="86">
        <v>26.7</v>
      </c>
      <c r="F41" s="87">
        <f t="shared" si="19"/>
        <v>362.75</v>
      </c>
      <c r="G41" s="91">
        <v>8.76</v>
      </c>
      <c r="H41" s="91">
        <v>1.5</v>
      </c>
      <c r="I41" s="91">
        <v>26.8</v>
      </c>
      <c r="J41" s="92">
        <f t="shared" si="20"/>
        <v>364.20000000000005</v>
      </c>
      <c r="K41" s="95">
        <v>9.02</v>
      </c>
      <c r="L41" s="95">
        <v>2</v>
      </c>
      <c r="M41" s="95">
        <v>26.5</v>
      </c>
      <c r="N41" s="96">
        <f t="shared" si="21"/>
        <v>359.85</v>
      </c>
      <c r="O41" s="99">
        <v>9.06</v>
      </c>
      <c r="P41" s="99">
        <v>3.5</v>
      </c>
      <c r="Q41" s="99">
        <v>26.4</v>
      </c>
      <c r="R41" s="100">
        <f t="shared" si="22"/>
        <v>358.4</v>
      </c>
      <c r="S41" s="103">
        <v>9.1</v>
      </c>
      <c r="T41" s="103">
        <v>3.5</v>
      </c>
      <c r="U41" s="103">
        <v>26</v>
      </c>
      <c r="V41" s="104">
        <f t="shared" si="23"/>
        <v>352.6</v>
      </c>
      <c r="W41" s="34">
        <v>6.89</v>
      </c>
      <c r="X41" s="33">
        <v>6.58</v>
      </c>
      <c r="Y41" s="103">
        <v>8.61</v>
      </c>
      <c r="Z41" s="103">
        <v>3.5</v>
      </c>
      <c r="AA41" s="103">
        <v>26</v>
      </c>
      <c r="AB41" s="104">
        <f t="shared" si="24"/>
        <v>352.6</v>
      </c>
      <c r="AC41" s="91">
        <v>8.41</v>
      </c>
      <c r="AD41" s="91">
        <v>2.5</v>
      </c>
      <c r="AE41" s="91">
        <v>26.5</v>
      </c>
      <c r="AF41" s="92">
        <f t="shared" si="25"/>
        <v>359.85</v>
      </c>
      <c r="AG41" s="95">
        <v>8.42</v>
      </c>
      <c r="AH41" s="95">
        <v>2.5</v>
      </c>
      <c r="AI41" s="95">
        <v>26.5</v>
      </c>
      <c r="AJ41" s="96">
        <f t="shared" si="26"/>
        <v>359.85</v>
      </c>
      <c r="AK41" s="99">
        <v>8.3800000000000008</v>
      </c>
      <c r="AL41" s="99">
        <v>3</v>
      </c>
      <c r="AM41" s="99">
        <v>27</v>
      </c>
      <c r="AN41" s="100">
        <f t="shared" si="27"/>
        <v>367.1</v>
      </c>
      <c r="AS41" s="33">
        <v>8.27</v>
      </c>
      <c r="AT41" s="103">
        <v>9.49</v>
      </c>
      <c r="AU41" s="103">
        <v>3</v>
      </c>
      <c r="AV41" s="103">
        <v>26</v>
      </c>
      <c r="AW41" s="104">
        <f t="shared" si="28"/>
        <v>352.6</v>
      </c>
      <c r="AX41" s="91">
        <v>9.49</v>
      </c>
      <c r="AY41" s="91">
        <v>3</v>
      </c>
      <c r="AZ41" s="91">
        <v>27.1</v>
      </c>
      <c r="BA41" s="92">
        <f t="shared" si="29"/>
        <v>368.55000000000007</v>
      </c>
      <c r="BB41" s="95">
        <v>9.5299999999999994</v>
      </c>
      <c r="BC41" s="95">
        <v>3.5</v>
      </c>
      <c r="BD41" s="95">
        <v>26.5</v>
      </c>
      <c r="BE41" s="96">
        <f t="shared" si="30"/>
        <v>359.85</v>
      </c>
      <c r="BF41" s="99">
        <v>9.6199999999999992</v>
      </c>
      <c r="BG41" s="99">
        <v>3</v>
      </c>
      <c r="BH41" s="99">
        <v>27</v>
      </c>
      <c r="BI41" s="100">
        <f t="shared" si="31"/>
        <v>367.1</v>
      </c>
      <c r="BN41" s="33">
        <v>6.74</v>
      </c>
    </row>
    <row r="42" spans="1:112">
      <c r="A42" s="39">
        <v>44490</v>
      </c>
      <c r="B42" s="34">
        <v>78</v>
      </c>
      <c r="C42" s="86">
        <v>8.85</v>
      </c>
      <c r="D42" s="86">
        <v>1</v>
      </c>
      <c r="E42" s="86">
        <v>26.5</v>
      </c>
      <c r="F42" s="87">
        <f t="shared" si="19"/>
        <v>359.85</v>
      </c>
      <c r="G42" s="91">
        <v>8.9</v>
      </c>
      <c r="H42" s="91">
        <v>1</v>
      </c>
      <c r="I42" s="91">
        <v>26.5</v>
      </c>
      <c r="J42" s="92">
        <f t="shared" si="20"/>
        <v>359.85</v>
      </c>
      <c r="K42" s="95">
        <v>8.93</v>
      </c>
      <c r="L42" s="95">
        <v>2</v>
      </c>
      <c r="M42" s="95">
        <v>26.5</v>
      </c>
      <c r="N42" s="96">
        <f t="shared" si="21"/>
        <v>359.85</v>
      </c>
      <c r="O42" s="99">
        <v>8.9700000000000006</v>
      </c>
      <c r="P42" s="99">
        <v>2.5</v>
      </c>
      <c r="Q42" s="99">
        <v>26.4</v>
      </c>
      <c r="R42" s="100">
        <f t="shared" si="22"/>
        <v>358.4</v>
      </c>
      <c r="S42" s="103">
        <v>9.0299999999999994</v>
      </c>
      <c r="T42" s="103">
        <v>3</v>
      </c>
      <c r="U42" s="103">
        <v>26</v>
      </c>
      <c r="V42" s="104">
        <f t="shared" si="23"/>
        <v>352.6</v>
      </c>
      <c r="W42" s="34">
        <v>7.03</v>
      </c>
      <c r="X42" s="33">
        <v>6.78</v>
      </c>
      <c r="Y42" s="103">
        <v>8.69</v>
      </c>
      <c r="Z42" s="103">
        <v>4</v>
      </c>
      <c r="AA42" s="103">
        <v>26</v>
      </c>
      <c r="AB42" s="104">
        <f t="shared" si="24"/>
        <v>352.6</v>
      </c>
      <c r="AC42" s="91">
        <v>8.5399999999999991</v>
      </c>
      <c r="AD42" s="91">
        <v>3</v>
      </c>
      <c r="AE42" s="91">
        <v>26.5</v>
      </c>
      <c r="AF42" s="92">
        <f t="shared" si="25"/>
        <v>359.85</v>
      </c>
      <c r="AG42" s="95">
        <v>8.5500000000000007</v>
      </c>
      <c r="AH42" s="95">
        <v>2.5</v>
      </c>
      <c r="AI42" s="95">
        <v>26.5</v>
      </c>
      <c r="AJ42" s="96">
        <f t="shared" si="26"/>
        <v>359.85</v>
      </c>
      <c r="AK42" s="99">
        <v>8.56</v>
      </c>
      <c r="AL42" s="99">
        <v>2.5</v>
      </c>
      <c r="AM42" s="99">
        <v>27</v>
      </c>
      <c r="AN42" s="100">
        <f t="shared" si="27"/>
        <v>367.1</v>
      </c>
      <c r="AS42" s="33">
        <v>8.41</v>
      </c>
      <c r="AT42" s="103">
        <v>9.4499999999999993</v>
      </c>
      <c r="AU42" s="103">
        <v>2.5</v>
      </c>
      <c r="AV42" s="103">
        <v>26</v>
      </c>
      <c r="AW42" s="104">
        <f t="shared" si="28"/>
        <v>352.6</v>
      </c>
      <c r="AX42" s="91">
        <v>9.5500000000000007</v>
      </c>
      <c r="AY42" s="91">
        <v>3</v>
      </c>
      <c r="AZ42" s="91">
        <v>26.5</v>
      </c>
      <c r="BA42" s="92">
        <f t="shared" si="29"/>
        <v>359.85</v>
      </c>
      <c r="BB42" s="95">
        <v>9.58</v>
      </c>
      <c r="BC42" s="95">
        <v>3</v>
      </c>
      <c r="BD42" s="95">
        <v>26.6</v>
      </c>
      <c r="BE42" s="96">
        <f t="shared" si="30"/>
        <v>361.30000000000007</v>
      </c>
      <c r="BF42" s="99">
        <v>9.57</v>
      </c>
      <c r="BG42" s="99">
        <v>3</v>
      </c>
      <c r="BH42" s="99">
        <v>27.1</v>
      </c>
      <c r="BI42" s="100">
        <f t="shared" si="31"/>
        <v>368.55000000000007</v>
      </c>
      <c r="BN42" s="33">
        <v>7.05</v>
      </c>
    </row>
    <row r="43" spans="1:112">
      <c r="A43" s="39">
        <v>44491</v>
      </c>
      <c r="B43" s="34">
        <v>78</v>
      </c>
      <c r="C43" s="86">
        <v>8.6999999999999993</v>
      </c>
      <c r="D43" s="86">
        <v>1</v>
      </c>
      <c r="E43" s="86">
        <v>26.6</v>
      </c>
      <c r="F43" s="87">
        <f t="shared" si="19"/>
        <v>361.30000000000007</v>
      </c>
      <c r="G43" s="91">
        <v>9.02</v>
      </c>
      <c r="H43" s="91">
        <v>1</v>
      </c>
      <c r="I43" s="91">
        <v>26.7</v>
      </c>
      <c r="J43" s="92">
        <f t="shared" si="20"/>
        <v>362.75</v>
      </c>
      <c r="K43" s="95">
        <v>8.16</v>
      </c>
      <c r="L43" s="95">
        <v>2</v>
      </c>
      <c r="M43" s="95">
        <v>26.4</v>
      </c>
      <c r="N43" s="96">
        <f t="shared" si="21"/>
        <v>358.4</v>
      </c>
      <c r="O43" s="99">
        <v>9.2200000000000006</v>
      </c>
      <c r="P43" s="99">
        <v>2.5</v>
      </c>
      <c r="Q43" s="99">
        <v>26.3</v>
      </c>
      <c r="R43" s="100">
        <f t="shared" si="22"/>
        <v>356.95000000000005</v>
      </c>
      <c r="S43" s="103">
        <v>9.2100000000000009</v>
      </c>
      <c r="T43" s="103">
        <v>2.5</v>
      </c>
      <c r="U43" s="103">
        <v>26</v>
      </c>
      <c r="V43" s="104">
        <f t="shared" si="23"/>
        <v>352.6</v>
      </c>
      <c r="W43" s="34">
        <v>7.22</v>
      </c>
      <c r="X43" s="33">
        <v>6.95</v>
      </c>
      <c r="Y43" s="103">
        <v>8.7799999999999994</v>
      </c>
      <c r="Z43" s="103">
        <v>3.5</v>
      </c>
      <c r="AA43" s="103">
        <v>26</v>
      </c>
      <c r="AB43" s="104">
        <f t="shared" si="24"/>
        <v>352.6</v>
      </c>
      <c r="AC43" s="91">
        <v>8.52</v>
      </c>
      <c r="AD43" s="91">
        <v>3.5</v>
      </c>
      <c r="AE43" s="91">
        <v>26.5</v>
      </c>
      <c r="AF43" s="92">
        <f t="shared" si="25"/>
        <v>359.85</v>
      </c>
      <c r="AG43" s="95">
        <v>8.58</v>
      </c>
      <c r="AH43" s="95">
        <v>3</v>
      </c>
      <c r="AI43" s="95">
        <v>26.7</v>
      </c>
      <c r="AJ43" s="96">
        <f t="shared" si="26"/>
        <v>362.75</v>
      </c>
      <c r="AK43" s="99">
        <v>8.56</v>
      </c>
      <c r="AL43" s="99">
        <v>3</v>
      </c>
      <c r="AM43" s="99">
        <v>27</v>
      </c>
      <c r="AN43" s="100">
        <f t="shared" si="27"/>
        <v>367.1</v>
      </c>
      <c r="AS43" s="33">
        <v>8.32</v>
      </c>
      <c r="AT43" s="103">
        <v>9.4600000000000009</v>
      </c>
      <c r="AU43" s="103">
        <v>3</v>
      </c>
      <c r="AV43" s="103">
        <v>26</v>
      </c>
      <c r="AW43" s="104">
        <f t="shared" si="28"/>
        <v>352.6</v>
      </c>
      <c r="AX43" s="91">
        <v>9.52</v>
      </c>
      <c r="AY43" s="91">
        <v>3.5</v>
      </c>
      <c r="AZ43" s="91">
        <v>26.9</v>
      </c>
      <c r="BA43" s="92">
        <f t="shared" si="29"/>
        <v>365.65</v>
      </c>
      <c r="BB43" s="95">
        <v>9.5299999999999994</v>
      </c>
      <c r="BC43" s="95">
        <v>3</v>
      </c>
      <c r="BD43" s="95">
        <v>26</v>
      </c>
      <c r="BE43" s="96">
        <f t="shared" si="30"/>
        <v>352.6</v>
      </c>
      <c r="BF43" s="99">
        <v>9.64</v>
      </c>
      <c r="BG43" s="99">
        <v>3</v>
      </c>
      <c r="BH43" s="99">
        <v>27.1</v>
      </c>
      <c r="BI43" s="100">
        <f t="shared" si="31"/>
        <v>368.55000000000007</v>
      </c>
      <c r="BN43" s="33">
        <v>6.89</v>
      </c>
    </row>
    <row r="44" spans="1:112">
      <c r="A44" s="39">
        <v>44494</v>
      </c>
      <c r="B44" s="34">
        <v>82</v>
      </c>
      <c r="C44" s="86" t="s">
        <v>182</v>
      </c>
      <c r="D44" s="86" t="s">
        <v>182</v>
      </c>
      <c r="E44" s="86" t="s">
        <v>182</v>
      </c>
      <c r="F44" s="87" t="s">
        <v>182</v>
      </c>
      <c r="G44" s="91" t="s">
        <v>182</v>
      </c>
      <c r="H44" s="91" t="s">
        <v>182</v>
      </c>
      <c r="I44" s="91" t="s">
        <v>182</v>
      </c>
      <c r="J44" s="92" t="s">
        <v>182</v>
      </c>
      <c r="K44" s="95" t="s">
        <v>182</v>
      </c>
      <c r="L44" s="95" t="s">
        <v>182</v>
      </c>
      <c r="M44" s="95" t="s">
        <v>182</v>
      </c>
      <c r="N44" s="96" t="s">
        <v>182</v>
      </c>
      <c r="O44" s="99" t="s">
        <v>182</v>
      </c>
      <c r="P44" s="99" t="s">
        <v>182</v>
      </c>
      <c r="Q44" s="99" t="s">
        <v>182</v>
      </c>
      <c r="R44" s="100" t="s">
        <v>182</v>
      </c>
      <c r="S44" s="103" t="s">
        <v>182</v>
      </c>
      <c r="T44" s="103" t="s">
        <v>182</v>
      </c>
      <c r="U44" s="103" t="s">
        <v>182</v>
      </c>
      <c r="V44" s="104" t="s">
        <v>182</v>
      </c>
      <c r="W44" s="103" t="s">
        <v>182</v>
      </c>
      <c r="X44" s="33" t="s">
        <v>182</v>
      </c>
      <c r="Y44" s="103">
        <v>8.74</v>
      </c>
      <c r="Z44" s="103">
        <v>4</v>
      </c>
      <c r="AA44" s="103">
        <v>26</v>
      </c>
      <c r="AB44" s="104">
        <f t="shared" si="24"/>
        <v>352.6</v>
      </c>
      <c r="AC44" s="91">
        <v>8.51</v>
      </c>
      <c r="AD44" s="91">
        <v>3</v>
      </c>
      <c r="AE44" s="91">
        <v>26</v>
      </c>
      <c r="AF44" s="92">
        <f t="shared" si="25"/>
        <v>352.6</v>
      </c>
      <c r="AG44" s="95">
        <v>8.5399999999999991</v>
      </c>
      <c r="AH44" s="95">
        <v>2.5</v>
      </c>
      <c r="AI44" s="95">
        <v>26.7</v>
      </c>
      <c r="AJ44" s="96">
        <f t="shared" si="26"/>
        <v>362.75</v>
      </c>
      <c r="AK44" s="99">
        <v>8.5399999999999991</v>
      </c>
      <c r="AL44" s="99">
        <v>2.5</v>
      </c>
      <c r="AM44" s="99">
        <v>27</v>
      </c>
      <c r="AN44" s="100">
        <f t="shared" si="27"/>
        <v>367.1</v>
      </c>
      <c r="AS44" s="33">
        <v>8.5</v>
      </c>
      <c r="AT44" s="103">
        <v>9.5</v>
      </c>
      <c r="AU44" s="103">
        <v>3</v>
      </c>
      <c r="AV44" s="103">
        <v>26.3</v>
      </c>
      <c r="AW44" s="104">
        <f t="shared" si="28"/>
        <v>356.95000000000005</v>
      </c>
      <c r="AX44" s="91">
        <v>9.52</v>
      </c>
      <c r="AY44" s="91">
        <v>3</v>
      </c>
      <c r="AZ44" s="91">
        <v>27.3</v>
      </c>
      <c r="BA44" s="92">
        <f t="shared" si="29"/>
        <v>371.45000000000005</v>
      </c>
      <c r="BB44" s="95">
        <v>9.5299999999999994</v>
      </c>
      <c r="BC44" s="95">
        <v>3</v>
      </c>
      <c r="BD44" s="95">
        <v>26</v>
      </c>
      <c r="BE44" s="96">
        <f t="shared" si="30"/>
        <v>352.6</v>
      </c>
      <c r="BF44" s="99">
        <v>9.59</v>
      </c>
      <c r="BG44" s="99">
        <v>3.5</v>
      </c>
      <c r="BH44" s="99">
        <v>27.2</v>
      </c>
      <c r="BI44" s="100">
        <f t="shared" si="31"/>
        <v>370</v>
      </c>
      <c r="BN44" s="33">
        <v>7.07</v>
      </c>
    </row>
    <row r="45" spans="1:112">
      <c r="A45" s="39">
        <v>44503</v>
      </c>
      <c r="B45" s="34">
        <v>90</v>
      </c>
      <c r="C45" s="86" t="s">
        <v>182</v>
      </c>
      <c r="D45" s="86" t="s">
        <v>182</v>
      </c>
      <c r="E45" s="86" t="s">
        <v>182</v>
      </c>
      <c r="F45" s="87" t="s">
        <v>182</v>
      </c>
      <c r="G45" s="91" t="s">
        <v>182</v>
      </c>
      <c r="H45" s="91" t="s">
        <v>182</v>
      </c>
      <c r="I45" s="91" t="s">
        <v>182</v>
      </c>
      <c r="J45" s="92" t="s">
        <v>182</v>
      </c>
      <c r="K45" s="95" t="s">
        <v>182</v>
      </c>
      <c r="L45" s="95" t="s">
        <v>182</v>
      </c>
      <c r="M45" s="95" t="s">
        <v>182</v>
      </c>
      <c r="N45" s="96" t="s">
        <v>182</v>
      </c>
      <c r="O45" s="99" t="s">
        <v>182</v>
      </c>
      <c r="P45" s="99" t="s">
        <v>182</v>
      </c>
      <c r="Q45" s="99" t="s">
        <v>182</v>
      </c>
      <c r="R45" s="100" t="s">
        <v>182</v>
      </c>
      <c r="S45" s="103" t="s">
        <v>182</v>
      </c>
      <c r="T45" s="103" t="s">
        <v>182</v>
      </c>
      <c r="U45" s="103" t="s">
        <v>182</v>
      </c>
      <c r="V45" s="104" t="s">
        <v>182</v>
      </c>
      <c r="W45" s="103" t="s">
        <v>182</v>
      </c>
      <c r="X45" s="33" t="s">
        <v>182</v>
      </c>
      <c r="Y45" s="103" t="s">
        <v>182</v>
      </c>
      <c r="Z45" s="103" t="s">
        <v>182</v>
      </c>
      <c r="AA45" s="103" t="s">
        <v>182</v>
      </c>
      <c r="AB45" s="104" t="s">
        <v>182</v>
      </c>
      <c r="AF45" s="92" t="s">
        <v>182</v>
      </c>
      <c r="AJ45" s="96" t="s">
        <v>182</v>
      </c>
      <c r="AN45" s="100" t="s">
        <v>182</v>
      </c>
      <c r="AS45" s="33" t="s">
        <v>182</v>
      </c>
      <c r="AT45" s="103" t="s">
        <v>182</v>
      </c>
      <c r="AU45" s="103" t="s">
        <v>182</v>
      </c>
      <c r="AV45" s="103" t="s">
        <v>182</v>
      </c>
      <c r="AW45" s="104" t="s">
        <v>182</v>
      </c>
      <c r="AX45" s="91" t="s">
        <v>182</v>
      </c>
      <c r="AY45" s="91" t="s">
        <v>182</v>
      </c>
      <c r="AZ45" s="91" t="s">
        <v>182</v>
      </c>
      <c r="BA45" s="92" t="s">
        <v>182</v>
      </c>
      <c r="BB45" s="95" t="s">
        <v>182</v>
      </c>
      <c r="BC45" s="95" t="s">
        <v>182</v>
      </c>
      <c r="BD45" s="95" t="s">
        <v>182</v>
      </c>
      <c r="BE45" s="96" t="s">
        <v>182</v>
      </c>
      <c r="BF45" s="99" t="s">
        <v>182</v>
      </c>
      <c r="BG45" s="99" t="s">
        <v>182</v>
      </c>
      <c r="BH45" s="99" t="s">
        <v>182</v>
      </c>
      <c r="BI45" s="100" t="s">
        <v>182</v>
      </c>
      <c r="BN45" s="33" t="s">
        <v>182</v>
      </c>
    </row>
    <row r="46" spans="1:112">
      <c r="A46" s="39">
        <v>44504</v>
      </c>
      <c r="B46" s="34">
        <v>90</v>
      </c>
      <c r="C46" s="90">
        <v>9.19</v>
      </c>
      <c r="D46" s="86">
        <v>3.5</v>
      </c>
      <c r="E46" s="86">
        <v>27</v>
      </c>
      <c r="F46" s="87">
        <f t="shared" si="19"/>
        <v>367.1</v>
      </c>
      <c r="G46" s="91">
        <v>9.01</v>
      </c>
      <c r="H46" s="91">
        <v>2</v>
      </c>
      <c r="I46" s="91">
        <v>26.7</v>
      </c>
      <c r="J46" s="92">
        <f t="shared" si="20"/>
        <v>362.75</v>
      </c>
      <c r="K46" s="95">
        <v>8.08</v>
      </c>
      <c r="L46" s="95">
        <v>1</v>
      </c>
      <c r="M46" s="95">
        <v>26.1</v>
      </c>
      <c r="N46" s="96">
        <f t="shared" si="21"/>
        <v>354.05000000000007</v>
      </c>
      <c r="O46" s="99">
        <v>9.25</v>
      </c>
      <c r="P46" s="99">
        <v>2.5</v>
      </c>
      <c r="Q46" s="99">
        <v>26.5</v>
      </c>
      <c r="R46" s="100">
        <f t="shared" si="22"/>
        <v>359.85</v>
      </c>
      <c r="S46" s="103">
        <v>9.2899999999999991</v>
      </c>
      <c r="T46" s="103">
        <v>2.5</v>
      </c>
      <c r="U46" s="103">
        <v>26</v>
      </c>
      <c r="V46" s="104">
        <f t="shared" si="23"/>
        <v>352.6</v>
      </c>
      <c r="W46" s="34">
        <v>7.46</v>
      </c>
      <c r="X46" s="33">
        <v>7.13</v>
      </c>
      <c r="Y46" s="103">
        <v>8.76</v>
      </c>
      <c r="Z46" s="103">
        <v>3</v>
      </c>
      <c r="AA46" s="103">
        <v>26</v>
      </c>
      <c r="AB46" s="104">
        <f t="shared" si="24"/>
        <v>352.6</v>
      </c>
      <c r="AC46" s="91">
        <v>8.64</v>
      </c>
      <c r="AD46" s="91">
        <v>2.5</v>
      </c>
      <c r="AE46" s="91">
        <v>26.1</v>
      </c>
      <c r="AF46" s="92">
        <f t="shared" si="25"/>
        <v>354.05000000000007</v>
      </c>
      <c r="AG46" s="95">
        <v>8.67</v>
      </c>
      <c r="AH46" s="95">
        <v>2</v>
      </c>
      <c r="AI46" s="95">
        <v>26.3</v>
      </c>
      <c r="AJ46" s="96">
        <f t="shared" si="26"/>
        <v>356.95000000000005</v>
      </c>
      <c r="AK46" s="99">
        <v>8.6199999999999992</v>
      </c>
      <c r="AL46" s="99">
        <v>2.5</v>
      </c>
      <c r="AM46" s="99">
        <v>26.8</v>
      </c>
      <c r="AN46" s="100">
        <f t="shared" si="27"/>
        <v>364.20000000000005</v>
      </c>
      <c r="AO46" s="108">
        <v>8.43</v>
      </c>
      <c r="AP46" s="109">
        <v>3.5</v>
      </c>
      <c r="AQ46" s="109">
        <v>27.9</v>
      </c>
      <c r="AR46" s="110">
        <f t="shared" ref="AR46:AR77" si="32">((AQ46-1.5)*14.5)-2.65</f>
        <v>380.15</v>
      </c>
      <c r="AS46" s="36">
        <v>8.36</v>
      </c>
      <c r="AT46" s="103">
        <v>9.48</v>
      </c>
      <c r="AU46" s="103">
        <v>3.5</v>
      </c>
      <c r="AV46" s="103">
        <v>26.5</v>
      </c>
      <c r="AW46" s="104">
        <f t="shared" si="28"/>
        <v>359.85</v>
      </c>
      <c r="AX46" s="91">
        <v>9.4499999999999993</v>
      </c>
      <c r="AY46" s="91">
        <v>3</v>
      </c>
      <c r="AZ46" s="91">
        <v>27</v>
      </c>
      <c r="BA46" s="92">
        <f t="shared" si="29"/>
        <v>367.1</v>
      </c>
      <c r="BB46" s="95">
        <v>9.44</v>
      </c>
      <c r="BC46" s="95">
        <v>3.5</v>
      </c>
      <c r="BD46" s="95">
        <v>26</v>
      </c>
      <c r="BE46" s="96">
        <f t="shared" si="30"/>
        <v>352.6</v>
      </c>
      <c r="BF46" s="99">
        <v>9.31</v>
      </c>
      <c r="BG46" s="99">
        <v>4</v>
      </c>
      <c r="BH46" s="99">
        <v>27</v>
      </c>
      <c r="BI46" s="100">
        <f t="shared" si="31"/>
        <v>367.1</v>
      </c>
      <c r="BJ46" s="119">
        <v>9.1199999999999992</v>
      </c>
      <c r="BK46" s="120">
        <v>3.5</v>
      </c>
      <c r="BL46" s="120">
        <v>27.6</v>
      </c>
      <c r="BM46" s="121">
        <f t="shared" ref="BM46:BM77" si="33">((BL46-1.5)*14.5)-2.65</f>
        <v>375.80000000000007</v>
      </c>
      <c r="BN46" s="33">
        <v>7.14</v>
      </c>
    </row>
    <row r="47" spans="1:112">
      <c r="A47" s="39">
        <v>44505</v>
      </c>
      <c r="B47" s="34">
        <v>90</v>
      </c>
      <c r="C47" s="86">
        <v>9.68</v>
      </c>
      <c r="D47" s="86">
        <v>4</v>
      </c>
      <c r="F47" s="87" t="s">
        <v>182</v>
      </c>
      <c r="G47" s="91">
        <v>9.67</v>
      </c>
      <c r="H47" s="91">
        <v>3</v>
      </c>
      <c r="J47" s="92">
        <f t="shared" si="20"/>
        <v>-24.4</v>
      </c>
      <c r="K47" s="95">
        <v>8.9</v>
      </c>
      <c r="L47" s="95">
        <v>0</v>
      </c>
      <c r="N47" s="96" t="s">
        <v>182</v>
      </c>
      <c r="O47" s="99">
        <v>9.2200000000000006</v>
      </c>
      <c r="P47" s="99">
        <v>2.5</v>
      </c>
      <c r="R47" s="100" t="s">
        <v>182</v>
      </c>
      <c r="S47" s="103">
        <v>9.34</v>
      </c>
      <c r="T47" s="103">
        <v>3</v>
      </c>
      <c r="V47" s="104" t="s">
        <v>182</v>
      </c>
      <c r="W47" s="34">
        <v>7.75</v>
      </c>
      <c r="X47" s="33">
        <v>7.29</v>
      </c>
      <c r="Y47" s="103">
        <v>8.99</v>
      </c>
      <c r="Z47" s="103">
        <v>3</v>
      </c>
      <c r="AB47" s="104" t="s">
        <v>182</v>
      </c>
      <c r="AC47" s="91">
        <v>8.7799999999999994</v>
      </c>
      <c r="AD47" s="91">
        <v>2.5</v>
      </c>
      <c r="AF47" s="92" t="s">
        <v>182</v>
      </c>
      <c r="AG47" s="95">
        <v>8.18</v>
      </c>
      <c r="AH47" s="95">
        <v>2</v>
      </c>
      <c r="AJ47" s="96" t="s">
        <v>182</v>
      </c>
      <c r="AK47" s="99">
        <v>8.67</v>
      </c>
      <c r="AL47" s="99">
        <v>2</v>
      </c>
      <c r="AN47" s="100" t="s">
        <v>182</v>
      </c>
      <c r="AO47" s="108">
        <v>8.68</v>
      </c>
      <c r="AP47" s="109">
        <v>3</v>
      </c>
      <c r="AR47" s="110" t="s">
        <v>182</v>
      </c>
      <c r="AS47" s="33">
        <v>8.4499999999999993</v>
      </c>
      <c r="AT47" s="103">
        <v>9.57</v>
      </c>
      <c r="AU47" s="103">
        <v>3</v>
      </c>
      <c r="AW47" s="104" t="s">
        <v>182</v>
      </c>
      <c r="AX47" s="91">
        <v>9.49</v>
      </c>
      <c r="AY47" s="91">
        <v>3</v>
      </c>
      <c r="BA47" s="92" t="s">
        <v>182</v>
      </c>
      <c r="BB47" s="95">
        <v>9.4700000000000006</v>
      </c>
      <c r="BC47" s="95">
        <v>3.5</v>
      </c>
      <c r="BE47" s="96" t="s">
        <v>182</v>
      </c>
      <c r="BF47" s="99">
        <v>9.35</v>
      </c>
      <c r="BG47" s="99">
        <v>3.5</v>
      </c>
      <c r="BI47" s="100" t="s">
        <v>182</v>
      </c>
      <c r="BJ47" s="119">
        <v>9.5500000000000007</v>
      </c>
      <c r="BK47" s="120">
        <v>3.5</v>
      </c>
      <c r="BM47" s="121" t="s">
        <v>182</v>
      </c>
      <c r="BN47" s="33">
        <v>7.53</v>
      </c>
    </row>
    <row r="48" spans="1:112">
      <c r="A48" s="39">
        <v>44510</v>
      </c>
      <c r="B48" s="34">
        <v>91</v>
      </c>
      <c r="C48" s="86">
        <v>9.49</v>
      </c>
      <c r="D48" s="86">
        <v>4.5</v>
      </c>
      <c r="F48" s="87" t="s">
        <v>182</v>
      </c>
      <c r="G48" s="91">
        <v>8.94</v>
      </c>
      <c r="H48" s="91">
        <v>3.5</v>
      </c>
      <c r="J48" s="92">
        <f t="shared" si="20"/>
        <v>-24.4</v>
      </c>
      <c r="K48" s="95">
        <v>8.8699999999999992</v>
      </c>
      <c r="L48" s="95">
        <v>2.5</v>
      </c>
      <c r="N48" s="96" t="s">
        <v>182</v>
      </c>
      <c r="O48" s="99">
        <v>8.84</v>
      </c>
      <c r="P48" s="99">
        <v>3</v>
      </c>
      <c r="R48" s="100" t="s">
        <v>182</v>
      </c>
      <c r="S48" s="103">
        <v>9.14</v>
      </c>
      <c r="T48" s="103">
        <v>3</v>
      </c>
      <c r="V48" s="104" t="s">
        <v>182</v>
      </c>
      <c r="W48" s="34">
        <v>7.98</v>
      </c>
      <c r="X48" s="33">
        <v>7.27</v>
      </c>
      <c r="Y48" s="103">
        <v>8.67</v>
      </c>
      <c r="Z48" s="103">
        <v>3.5</v>
      </c>
      <c r="AB48" s="104" t="s">
        <v>182</v>
      </c>
      <c r="AC48" s="91">
        <v>8.57</v>
      </c>
      <c r="AD48" s="91">
        <v>1</v>
      </c>
      <c r="AF48" s="92" t="s">
        <v>182</v>
      </c>
      <c r="AG48" s="95">
        <v>8.58</v>
      </c>
      <c r="AH48" s="95">
        <v>2</v>
      </c>
      <c r="AJ48" s="96" t="s">
        <v>182</v>
      </c>
      <c r="AK48" s="99">
        <v>8.6199999999999992</v>
      </c>
      <c r="AL48" s="99">
        <v>3.5</v>
      </c>
      <c r="AN48" s="100" t="s">
        <v>182</v>
      </c>
      <c r="AO48" s="108">
        <v>8.56</v>
      </c>
      <c r="AP48" s="109">
        <v>3.5</v>
      </c>
      <c r="AR48" s="110" t="s">
        <v>182</v>
      </c>
      <c r="AS48" s="33">
        <v>8.56</v>
      </c>
      <c r="AT48" s="103">
        <v>9.44</v>
      </c>
      <c r="AU48" s="103">
        <v>3</v>
      </c>
      <c r="AW48" s="104" t="s">
        <v>182</v>
      </c>
      <c r="AX48" s="91">
        <v>9.4499999999999993</v>
      </c>
      <c r="AY48" s="91">
        <v>2.5</v>
      </c>
      <c r="BA48" s="92" t="s">
        <v>182</v>
      </c>
      <c r="BB48" s="95">
        <v>9.25</v>
      </c>
      <c r="BC48" s="95">
        <v>3.5</v>
      </c>
      <c r="BE48" s="96" t="s">
        <v>182</v>
      </c>
      <c r="BF48" s="99">
        <v>9.3000000000000007</v>
      </c>
      <c r="BG48" s="99">
        <v>3</v>
      </c>
      <c r="BI48" s="100" t="s">
        <v>182</v>
      </c>
      <c r="BJ48" s="119">
        <v>9.4700000000000006</v>
      </c>
      <c r="BK48" s="120">
        <v>3</v>
      </c>
      <c r="BM48" s="121" t="s">
        <v>182</v>
      </c>
      <c r="BN48" s="33">
        <v>7.41</v>
      </c>
    </row>
    <row r="49" spans="1:68">
      <c r="A49" s="39">
        <v>44512</v>
      </c>
      <c r="B49" s="34">
        <v>91</v>
      </c>
      <c r="C49" s="86">
        <v>9.5</v>
      </c>
      <c r="D49" s="86">
        <v>4.5</v>
      </c>
      <c r="E49" s="86">
        <v>27</v>
      </c>
      <c r="F49" s="87">
        <f t="shared" si="19"/>
        <v>367.1</v>
      </c>
      <c r="G49" s="91">
        <v>8.9600000000000009</v>
      </c>
      <c r="H49" s="91">
        <v>3.5</v>
      </c>
      <c r="I49" s="91">
        <v>27.8</v>
      </c>
      <c r="J49" s="92">
        <f t="shared" si="20"/>
        <v>378.70000000000005</v>
      </c>
      <c r="K49" s="95">
        <v>8.9700000000000006</v>
      </c>
      <c r="L49" s="95">
        <v>3.5</v>
      </c>
      <c r="M49" s="95">
        <v>26.5</v>
      </c>
      <c r="N49" s="96">
        <f t="shared" si="21"/>
        <v>359.85</v>
      </c>
      <c r="O49" s="99">
        <v>8.9499999999999993</v>
      </c>
      <c r="P49" s="99">
        <v>3.5</v>
      </c>
      <c r="Q49" s="99">
        <v>26.8</v>
      </c>
      <c r="R49" s="100">
        <f t="shared" si="22"/>
        <v>364.20000000000005</v>
      </c>
      <c r="S49" s="103">
        <v>9.1</v>
      </c>
      <c r="T49" s="103">
        <v>3</v>
      </c>
      <c r="U49" s="103">
        <v>26</v>
      </c>
      <c r="V49" s="104">
        <f t="shared" si="23"/>
        <v>352.6</v>
      </c>
      <c r="W49" s="34">
        <v>7.83</v>
      </c>
      <c r="X49" s="33">
        <v>7.37</v>
      </c>
      <c r="Y49" s="103">
        <v>8.83</v>
      </c>
      <c r="Z49" s="103">
        <v>3.5</v>
      </c>
      <c r="AA49" s="103">
        <v>26</v>
      </c>
      <c r="AB49" s="104">
        <f t="shared" si="24"/>
        <v>352.6</v>
      </c>
      <c r="AC49" s="91">
        <v>8.61</v>
      </c>
      <c r="AD49" s="91">
        <v>1</v>
      </c>
      <c r="AE49" s="91">
        <v>26.1</v>
      </c>
      <c r="AF49" s="92">
        <f t="shared" si="25"/>
        <v>354.05000000000007</v>
      </c>
      <c r="AG49" s="95">
        <v>8.6199999999999992</v>
      </c>
      <c r="AH49" s="95">
        <v>3</v>
      </c>
      <c r="AI49" s="95">
        <v>26.5</v>
      </c>
      <c r="AJ49" s="96">
        <f t="shared" si="26"/>
        <v>359.85</v>
      </c>
      <c r="AK49" s="99">
        <v>8.58</v>
      </c>
      <c r="AL49" s="99">
        <v>3</v>
      </c>
      <c r="AM49" s="99">
        <v>27</v>
      </c>
      <c r="AN49" s="100">
        <f t="shared" si="27"/>
        <v>367.1</v>
      </c>
      <c r="AO49" s="108">
        <v>8.6300000000000008</v>
      </c>
      <c r="AP49" s="109">
        <v>3</v>
      </c>
      <c r="AQ49" s="109">
        <v>28</v>
      </c>
      <c r="AR49" s="110">
        <f t="shared" si="32"/>
        <v>381.6</v>
      </c>
      <c r="AS49" s="33">
        <v>8.5299999999999994</v>
      </c>
      <c r="AT49" s="103">
        <v>9.4499999999999993</v>
      </c>
      <c r="AU49" s="103">
        <v>3.5</v>
      </c>
      <c r="AV49" s="103">
        <v>26.5</v>
      </c>
      <c r="AW49" s="104">
        <f t="shared" si="28"/>
        <v>359.85</v>
      </c>
      <c r="AX49" s="91">
        <v>9.43</v>
      </c>
      <c r="AY49" s="91">
        <v>3.5</v>
      </c>
      <c r="AZ49" s="91">
        <v>27</v>
      </c>
      <c r="BA49" s="92">
        <f t="shared" si="29"/>
        <v>367.1</v>
      </c>
      <c r="BB49" s="95">
        <v>9.58</v>
      </c>
      <c r="BC49" s="95">
        <v>4</v>
      </c>
      <c r="BD49" s="95">
        <v>26.6</v>
      </c>
      <c r="BE49" s="96">
        <f t="shared" si="30"/>
        <v>361.30000000000007</v>
      </c>
      <c r="BF49" s="99">
        <v>9.5</v>
      </c>
      <c r="BG49" s="99">
        <v>4</v>
      </c>
      <c r="BH49" s="99">
        <v>26.8</v>
      </c>
      <c r="BI49" s="100">
        <f t="shared" si="31"/>
        <v>364.20000000000005</v>
      </c>
      <c r="BJ49" s="119">
        <v>9.6199999999999992</v>
      </c>
      <c r="BK49" s="120">
        <v>3.5</v>
      </c>
      <c r="BL49" s="120">
        <v>28</v>
      </c>
      <c r="BM49" s="121">
        <f t="shared" si="33"/>
        <v>381.6</v>
      </c>
      <c r="BN49" s="33">
        <v>7.45</v>
      </c>
      <c r="BO49" s="109">
        <v>8.52</v>
      </c>
      <c r="BP49" s="120">
        <v>7.23</v>
      </c>
    </row>
    <row r="50" spans="1:68">
      <c r="A50" s="39">
        <v>44515</v>
      </c>
      <c r="B50" s="34">
        <v>92</v>
      </c>
      <c r="C50" s="86">
        <v>9.4700000000000006</v>
      </c>
      <c r="D50" s="86">
        <v>4.5</v>
      </c>
      <c r="E50" s="86">
        <v>26.8</v>
      </c>
      <c r="F50" s="87">
        <f t="shared" si="19"/>
        <v>364.20000000000005</v>
      </c>
      <c r="G50" s="91">
        <v>8.91</v>
      </c>
      <c r="H50" s="91">
        <v>3.2</v>
      </c>
      <c r="I50" s="91">
        <v>27.3</v>
      </c>
      <c r="J50" s="92">
        <f t="shared" si="20"/>
        <v>371.45000000000005</v>
      </c>
      <c r="K50" s="95">
        <v>8.83</v>
      </c>
      <c r="L50" s="95">
        <v>3.5</v>
      </c>
      <c r="M50" s="95">
        <v>26.7</v>
      </c>
      <c r="N50" s="96">
        <f t="shared" si="21"/>
        <v>362.75</v>
      </c>
      <c r="O50" s="99">
        <v>8.81</v>
      </c>
      <c r="P50" s="99">
        <v>3.5</v>
      </c>
      <c r="Q50" s="99">
        <v>26.8</v>
      </c>
      <c r="R50" s="100">
        <f t="shared" si="22"/>
        <v>364.20000000000005</v>
      </c>
      <c r="S50" s="103">
        <v>8.94</v>
      </c>
      <c r="T50" s="103">
        <v>3.5</v>
      </c>
      <c r="U50" s="103">
        <v>26</v>
      </c>
      <c r="V50" s="104">
        <f t="shared" si="23"/>
        <v>352.6</v>
      </c>
      <c r="W50" s="34">
        <v>7.92</v>
      </c>
      <c r="X50" s="33">
        <v>7.46</v>
      </c>
      <c r="Y50" s="103">
        <v>8.67</v>
      </c>
      <c r="Z50" s="103">
        <v>3.5</v>
      </c>
      <c r="AA50" s="103">
        <v>26</v>
      </c>
      <c r="AB50" s="104">
        <f t="shared" si="24"/>
        <v>352.6</v>
      </c>
      <c r="AC50" s="91">
        <v>8.4700000000000006</v>
      </c>
      <c r="AD50" s="91">
        <v>2</v>
      </c>
      <c r="AE50" s="91">
        <v>26.1</v>
      </c>
      <c r="AF50" s="92">
        <f t="shared" si="25"/>
        <v>354.05000000000007</v>
      </c>
      <c r="AG50" s="95">
        <v>8.5299999999999994</v>
      </c>
      <c r="AH50" s="95">
        <v>2</v>
      </c>
      <c r="AI50" s="95">
        <v>26.5</v>
      </c>
      <c r="AJ50" s="96">
        <f t="shared" si="26"/>
        <v>359.85</v>
      </c>
      <c r="AK50" s="99">
        <v>8.5</v>
      </c>
      <c r="AL50" s="99">
        <v>2.5</v>
      </c>
      <c r="AM50" s="99">
        <v>27</v>
      </c>
      <c r="AN50" s="100">
        <f t="shared" si="27"/>
        <v>367.1</v>
      </c>
      <c r="AO50" s="108">
        <v>8.68</v>
      </c>
      <c r="AP50" s="109">
        <v>3.5</v>
      </c>
      <c r="AQ50" s="109">
        <v>28.4</v>
      </c>
      <c r="AR50" s="110">
        <f t="shared" si="32"/>
        <v>387.4</v>
      </c>
      <c r="AS50" s="33">
        <v>8.6</v>
      </c>
      <c r="AT50" s="103">
        <v>9.4</v>
      </c>
      <c r="AU50" s="103">
        <v>3</v>
      </c>
      <c r="AV50" s="103">
        <v>26.3</v>
      </c>
      <c r="AW50" s="104">
        <f t="shared" si="28"/>
        <v>356.95000000000005</v>
      </c>
      <c r="AX50" s="91">
        <v>9.33</v>
      </c>
      <c r="AY50" s="91">
        <v>2.5</v>
      </c>
      <c r="AZ50" s="91">
        <v>27</v>
      </c>
      <c r="BA50" s="92">
        <f t="shared" si="29"/>
        <v>367.1</v>
      </c>
      <c r="BB50" s="95">
        <v>9.2799999999999994</v>
      </c>
      <c r="BC50" s="95">
        <v>2.75</v>
      </c>
      <c r="BD50" s="95">
        <v>25.5</v>
      </c>
      <c r="BE50" s="96">
        <f t="shared" si="30"/>
        <v>345.35</v>
      </c>
      <c r="BF50" s="99">
        <v>9.2899999999999991</v>
      </c>
      <c r="BG50" s="99">
        <v>3.5</v>
      </c>
      <c r="BH50" s="99">
        <v>26.8</v>
      </c>
      <c r="BI50" s="100">
        <f t="shared" si="31"/>
        <v>364.20000000000005</v>
      </c>
      <c r="BJ50" s="119">
        <v>9.61</v>
      </c>
      <c r="BK50" s="120">
        <v>3.5</v>
      </c>
      <c r="BL50" s="120">
        <v>28.6</v>
      </c>
      <c r="BM50" s="121">
        <f t="shared" si="33"/>
        <v>390.30000000000007</v>
      </c>
      <c r="BN50" s="33">
        <v>7.56</v>
      </c>
      <c r="BO50" s="109">
        <v>8.66</v>
      </c>
      <c r="BP50" s="120">
        <v>7.33</v>
      </c>
    </row>
    <row r="51" spans="1:68">
      <c r="A51" s="39">
        <v>44517</v>
      </c>
      <c r="B51" s="34">
        <v>92</v>
      </c>
      <c r="C51" s="86">
        <v>9.48</v>
      </c>
      <c r="D51" s="86">
        <v>4</v>
      </c>
      <c r="E51" s="86">
        <v>26.8</v>
      </c>
      <c r="F51" s="87">
        <f t="shared" si="19"/>
        <v>364.20000000000005</v>
      </c>
      <c r="G51" s="91">
        <v>8.94</v>
      </c>
      <c r="H51" s="91">
        <v>3</v>
      </c>
      <c r="I51" s="91">
        <v>27.2</v>
      </c>
      <c r="J51" s="92">
        <f t="shared" si="20"/>
        <v>370</v>
      </c>
      <c r="K51" s="95">
        <v>8.93</v>
      </c>
      <c r="L51" s="95">
        <v>2.67</v>
      </c>
      <c r="M51" s="95">
        <v>26.6</v>
      </c>
      <c r="N51" s="96">
        <f t="shared" si="21"/>
        <v>361.30000000000007</v>
      </c>
      <c r="O51" s="99">
        <v>8.92</v>
      </c>
      <c r="P51" s="99">
        <v>2</v>
      </c>
      <c r="Q51" s="99">
        <v>26.8</v>
      </c>
      <c r="R51" s="100">
        <f t="shared" si="22"/>
        <v>364.20000000000005</v>
      </c>
      <c r="S51" s="103">
        <v>9.1300000000000008</v>
      </c>
      <c r="T51" s="103">
        <v>3</v>
      </c>
      <c r="U51" s="103">
        <v>25.9</v>
      </c>
      <c r="V51" s="104">
        <f t="shared" si="23"/>
        <v>351.15</v>
      </c>
      <c r="W51" s="34">
        <v>7.91</v>
      </c>
      <c r="X51" s="33">
        <v>7.43</v>
      </c>
      <c r="Y51" s="103">
        <v>8.6999999999999993</v>
      </c>
      <c r="Z51" s="103">
        <v>3</v>
      </c>
      <c r="AA51" s="103">
        <v>26</v>
      </c>
      <c r="AB51" s="104">
        <f t="shared" si="24"/>
        <v>352.6</v>
      </c>
      <c r="AC51" s="91">
        <v>8.5</v>
      </c>
      <c r="AD51" s="91">
        <v>1</v>
      </c>
      <c r="AE51" s="91">
        <v>26.1</v>
      </c>
      <c r="AF51" s="92">
        <f t="shared" si="25"/>
        <v>354.05000000000007</v>
      </c>
      <c r="AG51" s="95">
        <v>8.5399999999999991</v>
      </c>
      <c r="AH51" s="95">
        <v>2</v>
      </c>
      <c r="AI51" s="95">
        <v>26.3</v>
      </c>
      <c r="AJ51" s="96">
        <f t="shared" si="26"/>
        <v>356.95000000000005</v>
      </c>
      <c r="AK51" s="99">
        <v>8.5</v>
      </c>
      <c r="AL51" s="99">
        <v>2</v>
      </c>
      <c r="AM51" s="99">
        <v>26.8</v>
      </c>
      <c r="AN51" s="100">
        <f t="shared" si="27"/>
        <v>364.20000000000005</v>
      </c>
      <c r="AO51" s="108">
        <v>8.74</v>
      </c>
      <c r="AP51" s="109">
        <v>4</v>
      </c>
      <c r="AQ51" s="109">
        <v>27.8</v>
      </c>
      <c r="AR51" s="110">
        <f t="shared" si="32"/>
        <v>378.70000000000005</v>
      </c>
      <c r="AS51" s="33">
        <v>8.65</v>
      </c>
      <c r="AT51" s="103">
        <v>9</v>
      </c>
      <c r="AU51" s="103">
        <v>2</v>
      </c>
      <c r="AV51" s="103">
        <v>26.9</v>
      </c>
      <c r="AW51" s="104">
        <f t="shared" si="28"/>
        <v>365.65</v>
      </c>
      <c r="AX51" s="91">
        <v>9.3000000000000007</v>
      </c>
      <c r="AY51" s="91">
        <v>3.5</v>
      </c>
      <c r="AZ51" s="91">
        <v>26.9</v>
      </c>
      <c r="BA51" s="92">
        <f t="shared" si="29"/>
        <v>365.65</v>
      </c>
      <c r="BB51" s="95">
        <v>9.3000000000000007</v>
      </c>
      <c r="BC51" s="95">
        <v>3.5</v>
      </c>
      <c r="BD51" s="95">
        <v>25.5</v>
      </c>
      <c r="BE51" s="96">
        <f t="shared" si="30"/>
        <v>345.35</v>
      </c>
      <c r="BF51" s="99">
        <v>9.32</v>
      </c>
      <c r="BG51" s="99">
        <v>3.5</v>
      </c>
      <c r="BH51" s="99">
        <v>26.9</v>
      </c>
      <c r="BI51" s="100">
        <f t="shared" si="31"/>
        <v>365.65</v>
      </c>
      <c r="BJ51" s="119">
        <v>9.6300000000000008</v>
      </c>
      <c r="BK51" s="120">
        <v>4</v>
      </c>
      <c r="BL51" s="120">
        <v>28.5</v>
      </c>
      <c r="BM51" s="121">
        <f t="shared" si="33"/>
        <v>388.85</v>
      </c>
      <c r="BN51" s="33">
        <v>7.5</v>
      </c>
      <c r="BO51" s="109">
        <v>8.75</v>
      </c>
      <c r="BP51" s="120">
        <v>7.3</v>
      </c>
    </row>
    <row r="52" spans="1:68">
      <c r="A52" s="39">
        <v>44519</v>
      </c>
      <c r="B52" s="34">
        <v>92</v>
      </c>
      <c r="C52" s="86">
        <v>9.68</v>
      </c>
      <c r="D52" s="86">
        <v>4.5</v>
      </c>
      <c r="E52" s="86">
        <v>26.8</v>
      </c>
      <c r="F52" s="87">
        <f t="shared" si="19"/>
        <v>364.20000000000005</v>
      </c>
      <c r="G52" s="91">
        <v>8.93</v>
      </c>
      <c r="H52" s="91">
        <v>3</v>
      </c>
      <c r="I52" s="91">
        <v>27.7</v>
      </c>
      <c r="J52" s="92">
        <f t="shared" si="20"/>
        <v>377.25</v>
      </c>
      <c r="K52" s="95">
        <v>8.91</v>
      </c>
      <c r="L52" s="95">
        <v>3</v>
      </c>
      <c r="M52" s="95">
        <v>26.8</v>
      </c>
      <c r="N52" s="96">
        <f t="shared" si="21"/>
        <v>364.20000000000005</v>
      </c>
      <c r="O52" s="99">
        <v>8.9</v>
      </c>
      <c r="P52" s="99">
        <v>3</v>
      </c>
      <c r="Q52" s="99">
        <v>26.9</v>
      </c>
      <c r="R52" s="100">
        <f t="shared" si="22"/>
        <v>365.65</v>
      </c>
      <c r="S52" s="103">
        <v>8.98</v>
      </c>
      <c r="T52" s="103">
        <v>1.75</v>
      </c>
      <c r="U52" s="103">
        <v>26</v>
      </c>
      <c r="V52" s="104">
        <f t="shared" si="23"/>
        <v>352.6</v>
      </c>
      <c r="W52" s="103">
        <v>7.85</v>
      </c>
      <c r="X52" s="33">
        <v>7.17</v>
      </c>
      <c r="Y52" s="103">
        <v>8.7100000000000009</v>
      </c>
      <c r="Z52" s="103">
        <v>3</v>
      </c>
      <c r="AA52" s="103">
        <v>26</v>
      </c>
      <c r="AB52" s="104">
        <f t="shared" si="24"/>
        <v>352.6</v>
      </c>
      <c r="AC52" s="91">
        <v>8.51</v>
      </c>
      <c r="AD52" s="91">
        <v>1</v>
      </c>
      <c r="AE52" s="91">
        <v>25.6</v>
      </c>
      <c r="AF52" s="92">
        <f t="shared" si="25"/>
        <v>346.80000000000007</v>
      </c>
      <c r="AG52" s="95">
        <v>8.57</v>
      </c>
      <c r="AH52" s="95">
        <v>1</v>
      </c>
      <c r="AI52" s="95">
        <v>26.4</v>
      </c>
      <c r="AJ52" s="96">
        <f t="shared" si="26"/>
        <v>358.4</v>
      </c>
      <c r="AK52" s="99">
        <v>8.51</v>
      </c>
      <c r="AL52" s="99">
        <v>2</v>
      </c>
      <c r="AM52" s="99">
        <v>26.8</v>
      </c>
      <c r="AN52" s="100">
        <f t="shared" si="27"/>
        <v>364.20000000000005</v>
      </c>
      <c r="AO52" s="108">
        <v>8.74</v>
      </c>
      <c r="AP52" s="109">
        <v>1</v>
      </c>
      <c r="AQ52" s="109">
        <v>26.4</v>
      </c>
      <c r="AR52" s="110">
        <f t="shared" si="32"/>
        <v>358.4</v>
      </c>
      <c r="AS52" s="33">
        <v>8.76</v>
      </c>
      <c r="AT52" s="103">
        <v>8.98</v>
      </c>
      <c r="AU52" s="103">
        <v>1</v>
      </c>
      <c r="AV52" s="103">
        <v>26.4</v>
      </c>
      <c r="AW52" s="104">
        <f t="shared" si="28"/>
        <v>358.4</v>
      </c>
      <c r="AX52" s="91">
        <v>9.3000000000000007</v>
      </c>
      <c r="AY52" s="91">
        <v>2.5</v>
      </c>
      <c r="AZ52" s="91">
        <v>27</v>
      </c>
      <c r="BA52" s="92">
        <f t="shared" si="29"/>
        <v>367.1</v>
      </c>
      <c r="BB52" s="95">
        <v>9.23</v>
      </c>
      <c r="BC52" s="95">
        <v>3</v>
      </c>
      <c r="BD52" s="95">
        <v>25.5</v>
      </c>
      <c r="BE52" s="96">
        <f t="shared" si="30"/>
        <v>345.35</v>
      </c>
      <c r="BF52" s="99">
        <v>9.25</v>
      </c>
      <c r="BG52" s="99">
        <v>3</v>
      </c>
      <c r="BH52" s="99">
        <v>27</v>
      </c>
      <c r="BI52" s="100">
        <f t="shared" si="31"/>
        <v>367.1</v>
      </c>
      <c r="BJ52" s="119">
        <v>9.8000000000000007</v>
      </c>
      <c r="BK52" s="120">
        <v>3</v>
      </c>
      <c r="BL52" s="120">
        <v>28</v>
      </c>
      <c r="BM52" s="121">
        <f t="shared" si="33"/>
        <v>381.6</v>
      </c>
      <c r="BN52" s="33">
        <v>7.56</v>
      </c>
      <c r="BO52" s="109">
        <v>8.7799999999999994</v>
      </c>
      <c r="BP52" s="120">
        <v>7.12</v>
      </c>
    </row>
    <row r="53" spans="1:68">
      <c r="A53" s="39">
        <v>44522</v>
      </c>
      <c r="B53" s="34">
        <v>92</v>
      </c>
      <c r="C53" s="86">
        <v>9.85</v>
      </c>
      <c r="D53" s="86">
        <v>4.5</v>
      </c>
      <c r="E53" s="86">
        <v>26.7</v>
      </c>
      <c r="F53" s="87">
        <f t="shared" si="19"/>
        <v>362.75</v>
      </c>
      <c r="G53" s="91">
        <v>9.18</v>
      </c>
      <c r="H53" s="91">
        <v>3.5</v>
      </c>
      <c r="I53" s="91">
        <v>27.3</v>
      </c>
      <c r="J53" s="92">
        <f t="shared" si="20"/>
        <v>371.45000000000005</v>
      </c>
      <c r="K53" s="95">
        <v>9.1199999999999992</v>
      </c>
      <c r="L53" s="95">
        <v>3.5</v>
      </c>
      <c r="M53" s="95">
        <v>26.5</v>
      </c>
      <c r="N53" s="96">
        <f t="shared" si="21"/>
        <v>359.85</v>
      </c>
      <c r="O53" s="99">
        <v>9.17</v>
      </c>
      <c r="P53" s="99">
        <v>3.5</v>
      </c>
      <c r="Q53" s="99">
        <v>26.8</v>
      </c>
      <c r="R53" s="100">
        <f t="shared" si="22"/>
        <v>364.20000000000005</v>
      </c>
      <c r="S53" s="103">
        <v>9.15</v>
      </c>
      <c r="T53" s="103">
        <v>2.5</v>
      </c>
      <c r="U53" s="103">
        <v>26</v>
      </c>
      <c r="V53" s="104">
        <f t="shared" si="23"/>
        <v>352.6</v>
      </c>
      <c r="W53" s="103">
        <v>7.44</v>
      </c>
      <c r="X53" s="33">
        <v>6.94</v>
      </c>
      <c r="Y53" s="103">
        <v>8.7899999999999991</v>
      </c>
      <c r="Z53" s="103">
        <v>3</v>
      </c>
      <c r="AA53" s="103">
        <v>26</v>
      </c>
      <c r="AB53" s="104">
        <f t="shared" si="24"/>
        <v>352.6</v>
      </c>
      <c r="AC53" s="91">
        <v>8.59</v>
      </c>
      <c r="AD53" s="91">
        <v>1</v>
      </c>
      <c r="AE53" s="91">
        <v>26.1</v>
      </c>
      <c r="AF53" s="92">
        <f t="shared" si="25"/>
        <v>354.05000000000007</v>
      </c>
      <c r="AG53" s="95">
        <v>8.5399999999999991</v>
      </c>
      <c r="AH53" s="95">
        <v>1</v>
      </c>
      <c r="AI53" s="95">
        <v>26.4</v>
      </c>
      <c r="AJ53" s="96">
        <f t="shared" si="26"/>
        <v>358.4</v>
      </c>
      <c r="AK53" s="99">
        <v>8.65</v>
      </c>
      <c r="AL53" s="99">
        <v>3</v>
      </c>
      <c r="AM53" s="99">
        <v>27.2</v>
      </c>
      <c r="AN53" s="100">
        <f t="shared" si="27"/>
        <v>370</v>
      </c>
      <c r="AO53" s="108">
        <v>8.84</v>
      </c>
      <c r="AP53" s="109">
        <v>3.2</v>
      </c>
      <c r="AQ53" s="109">
        <v>27</v>
      </c>
      <c r="AR53" s="110">
        <f t="shared" si="32"/>
        <v>367.1</v>
      </c>
      <c r="AS53" s="33">
        <v>8.67</v>
      </c>
      <c r="AT53" s="103">
        <v>9.26</v>
      </c>
      <c r="AU53" s="103">
        <v>1</v>
      </c>
      <c r="AV53" s="103">
        <v>26.2</v>
      </c>
      <c r="AW53" s="104">
        <f t="shared" si="28"/>
        <v>355.5</v>
      </c>
      <c r="AX53" s="91">
        <v>9.42</v>
      </c>
      <c r="AY53" s="91">
        <v>4.5</v>
      </c>
      <c r="AZ53" s="91">
        <v>26.5</v>
      </c>
      <c r="BA53" s="92">
        <f t="shared" si="29"/>
        <v>359.85</v>
      </c>
      <c r="BB53" s="95">
        <v>9.89</v>
      </c>
      <c r="BC53" s="95">
        <v>2.5</v>
      </c>
      <c r="BD53" s="95">
        <v>25.5</v>
      </c>
      <c r="BE53" s="96">
        <f t="shared" si="30"/>
        <v>345.35</v>
      </c>
      <c r="BF53" s="99">
        <v>9.56</v>
      </c>
      <c r="BG53" s="99">
        <v>3.5</v>
      </c>
      <c r="BH53" s="99">
        <v>26.6</v>
      </c>
      <c r="BI53" s="100">
        <f t="shared" si="31"/>
        <v>361.30000000000007</v>
      </c>
      <c r="BJ53" s="119">
        <v>9.75</v>
      </c>
      <c r="BK53" s="120">
        <v>3</v>
      </c>
      <c r="BL53" s="120">
        <v>27.3</v>
      </c>
      <c r="BM53" s="121">
        <f t="shared" si="33"/>
        <v>371.45000000000005</v>
      </c>
      <c r="BN53" s="33">
        <v>7.16</v>
      </c>
      <c r="BO53" s="109">
        <v>8.66</v>
      </c>
      <c r="BP53" s="120">
        <v>7.36</v>
      </c>
    </row>
    <row r="54" spans="1:68">
      <c r="A54" s="39">
        <v>44524</v>
      </c>
      <c r="B54" s="34">
        <v>94</v>
      </c>
      <c r="C54" s="86">
        <v>9.9</v>
      </c>
      <c r="D54" s="86">
        <v>4.5</v>
      </c>
      <c r="E54" s="86">
        <v>26.7</v>
      </c>
      <c r="F54" s="87">
        <f t="shared" si="19"/>
        <v>362.75</v>
      </c>
      <c r="G54" s="91">
        <v>9.26</v>
      </c>
      <c r="H54" s="91">
        <v>3</v>
      </c>
      <c r="I54" s="91">
        <v>27.7</v>
      </c>
      <c r="J54" s="92">
        <f t="shared" si="20"/>
        <v>377.25</v>
      </c>
      <c r="K54" s="95">
        <v>9.1</v>
      </c>
      <c r="L54" s="95">
        <v>0.75</v>
      </c>
      <c r="M54" s="95">
        <v>26.5</v>
      </c>
      <c r="N54" s="96">
        <f t="shared" si="21"/>
        <v>359.85</v>
      </c>
      <c r="O54" s="99">
        <v>9.26</v>
      </c>
      <c r="P54" s="99">
        <v>3</v>
      </c>
      <c r="Q54" s="99">
        <v>27</v>
      </c>
      <c r="R54" s="100">
        <f t="shared" si="22"/>
        <v>367.1</v>
      </c>
      <c r="S54" s="103">
        <v>9.4</v>
      </c>
      <c r="T54" s="103">
        <v>2.5</v>
      </c>
      <c r="U54" s="103">
        <v>26</v>
      </c>
      <c r="V54" s="104">
        <f t="shared" si="23"/>
        <v>352.6</v>
      </c>
      <c r="W54" s="103">
        <v>7.36</v>
      </c>
      <c r="X54" s="33">
        <v>6.82</v>
      </c>
      <c r="Y54" s="103">
        <v>8.8000000000000007</v>
      </c>
      <c r="Z54" s="103">
        <v>3</v>
      </c>
      <c r="AA54" s="103">
        <v>26</v>
      </c>
      <c r="AB54" s="104">
        <f t="shared" si="24"/>
        <v>352.6</v>
      </c>
      <c r="AC54" s="91">
        <v>8.75</v>
      </c>
      <c r="AD54" s="91">
        <v>3.5</v>
      </c>
      <c r="AE54" s="91">
        <v>26.8</v>
      </c>
      <c r="AF54" s="92">
        <f t="shared" si="25"/>
        <v>364.20000000000005</v>
      </c>
      <c r="AG54" s="95">
        <v>8.65</v>
      </c>
      <c r="AH54" s="95">
        <v>2.5</v>
      </c>
      <c r="AI54" s="95">
        <v>26.5</v>
      </c>
      <c r="AJ54" s="96">
        <f t="shared" si="26"/>
        <v>359.85</v>
      </c>
      <c r="AK54" s="99">
        <v>8.61</v>
      </c>
      <c r="AL54" s="99">
        <v>2.5</v>
      </c>
      <c r="AM54" s="99">
        <v>26.5</v>
      </c>
      <c r="AN54" s="100">
        <f t="shared" si="27"/>
        <v>359.85</v>
      </c>
      <c r="AO54" s="108">
        <v>8.75</v>
      </c>
      <c r="AP54" s="109">
        <v>3</v>
      </c>
      <c r="AQ54" s="109">
        <v>27</v>
      </c>
      <c r="AR54" s="110">
        <f t="shared" si="32"/>
        <v>367.1</v>
      </c>
      <c r="AS54" s="33">
        <v>8.6999999999999993</v>
      </c>
      <c r="AT54" s="103">
        <v>9.7100000000000009</v>
      </c>
      <c r="AU54" s="103">
        <v>2.5</v>
      </c>
      <c r="AV54" s="103">
        <v>26.3</v>
      </c>
      <c r="AW54" s="104">
        <f t="shared" si="28"/>
        <v>356.95000000000005</v>
      </c>
      <c r="AX54" s="91">
        <v>9.34</v>
      </c>
      <c r="AY54" s="91">
        <v>1</v>
      </c>
      <c r="AZ54" s="91">
        <v>26.3</v>
      </c>
      <c r="BA54" s="92">
        <f t="shared" si="29"/>
        <v>356.95000000000005</v>
      </c>
      <c r="BB54" s="95">
        <v>9.61</v>
      </c>
      <c r="BC54" s="95">
        <v>3.5</v>
      </c>
      <c r="BD54" s="95">
        <v>25.5</v>
      </c>
      <c r="BE54" s="96">
        <f t="shared" si="30"/>
        <v>345.35</v>
      </c>
      <c r="BF54" s="99">
        <v>9.59</v>
      </c>
      <c r="BG54" s="99">
        <v>3.5</v>
      </c>
      <c r="BH54" s="99">
        <v>26.9</v>
      </c>
      <c r="BI54" s="100">
        <f t="shared" si="31"/>
        <v>365.65</v>
      </c>
      <c r="BJ54" s="119">
        <v>9.8800000000000008</v>
      </c>
      <c r="BK54" s="120">
        <v>3.5</v>
      </c>
      <c r="BL54" s="120">
        <v>27.3</v>
      </c>
      <c r="BM54" s="121">
        <f t="shared" si="33"/>
        <v>371.45000000000005</v>
      </c>
      <c r="BN54" s="33">
        <v>7.33</v>
      </c>
      <c r="BO54" s="109">
        <v>8.6999999999999993</v>
      </c>
      <c r="BP54" s="120">
        <v>6.63</v>
      </c>
    </row>
    <row r="55" spans="1:68">
      <c r="A55" s="39">
        <v>44529</v>
      </c>
      <c r="B55" s="34">
        <v>94</v>
      </c>
      <c r="C55" s="86">
        <v>9.9700000000000006</v>
      </c>
      <c r="D55" s="86">
        <v>4</v>
      </c>
      <c r="E55" s="86">
        <v>27.1</v>
      </c>
      <c r="F55" s="87">
        <f t="shared" si="19"/>
        <v>368.55000000000007</v>
      </c>
      <c r="G55" s="91">
        <v>9.23</v>
      </c>
      <c r="H55" s="91">
        <v>2.5</v>
      </c>
      <c r="I55" s="91">
        <v>27.4</v>
      </c>
      <c r="J55" s="92">
        <f t="shared" si="20"/>
        <v>372.9</v>
      </c>
      <c r="K55" s="95">
        <v>9.1</v>
      </c>
      <c r="L55" s="95">
        <v>1</v>
      </c>
      <c r="M55" s="95">
        <v>26.4</v>
      </c>
      <c r="N55" s="96">
        <f t="shared" si="21"/>
        <v>358.4</v>
      </c>
      <c r="O55" s="99">
        <v>9.16</v>
      </c>
      <c r="P55" s="99">
        <v>3</v>
      </c>
      <c r="Q55" s="99">
        <v>27.5</v>
      </c>
      <c r="R55" s="100">
        <f t="shared" si="22"/>
        <v>374.35</v>
      </c>
      <c r="S55" s="103">
        <v>9.27</v>
      </c>
      <c r="T55" s="103">
        <v>2.5</v>
      </c>
      <c r="U55" s="103">
        <v>26</v>
      </c>
      <c r="V55" s="104">
        <f t="shared" si="23"/>
        <v>352.6</v>
      </c>
      <c r="W55" s="103">
        <v>7.92</v>
      </c>
      <c r="X55" s="33">
        <v>7.61</v>
      </c>
      <c r="Y55" s="103">
        <v>8.91</v>
      </c>
      <c r="Z55" s="103">
        <v>2.5</v>
      </c>
      <c r="AA55" s="103">
        <v>27</v>
      </c>
      <c r="AB55" s="104">
        <f t="shared" si="24"/>
        <v>367.1</v>
      </c>
      <c r="AC55" s="91">
        <v>9.7899999999999991</v>
      </c>
      <c r="AD55" s="91">
        <v>2.5</v>
      </c>
      <c r="AE55" s="91">
        <v>26.9</v>
      </c>
      <c r="AF55" s="92">
        <f t="shared" si="25"/>
        <v>365.65</v>
      </c>
      <c r="AG55" s="95">
        <v>8.76</v>
      </c>
      <c r="AH55" s="95">
        <v>3</v>
      </c>
      <c r="AI55" s="95">
        <v>26.9</v>
      </c>
      <c r="AJ55" s="96">
        <f t="shared" si="26"/>
        <v>365.65</v>
      </c>
      <c r="AK55" s="99">
        <v>8.52</v>
      </c>
      <c r="AL55" s="99">
        <v>2</v>
      </c>
      <c r="AM55" s="99">
        <v>27</v>
      </c>
      <c r="AN55" s="100">
        <f t="shared" si="27"/>
        <v>367.1</v>
      </c>
      <c r="AO55" s="108">
        <v>8.82</v>
      </c>
      <c r="AP55" s="109">
        <v>3.5</v>
      </c>
      <c r="AQ55" s="109">
        <v>27.5</v>
      </c>
      <c r="AR55" s="110">
        <f t="shared" si="32"/>
        <v>374.35</v>
      </c>
      <c r="AS55" s="33">
        <v>8.7200000000000006</v>
      </c>
      <c r="AT55" s="103">
        <v>9.83</v>
      </c>
      <c r="AU55" s="103">
        <v>3</v>
      </c>
      <c r="AV55" s="103">
        <v>26.3</v>
      </c>
      <c r="AW55" s="104">
        <f t="shared" si="28"/>
        <v>356.95000000000005</v>
      </c>
      <c r="AX55" s="91">
        <v>9.6999999999999993</v>
      </c>
      <c r="AY55" s="91">
        <v>3</v>
      </c>
      <c r="AZ55" s="91">
        <v>26.5</v>
      </c>
      <c r="BA55" s="92">
        <f t="shared" si="29"/>
        <v>359.85</v>
      </c>
      <c r="BB55" s="95">
        <v>9.69</v>
      </c>
      <c r="BC55" s="95">
        <v>2.5</v>
      </c>
      <c r="BD55" s="95">
        <v>25.4</v>
      </c>
      <c r="BE55" s="96">
        <f t="shared" si="30"/>
        <v>343.9</v>
      </c>
      <c r="BF55" s="99">
        <v>9.66</v>
      </c>
      <c r="BG55" s="99">
        <v>3</v>
      </c>
      <c r="BH55" s="99">
        <v>26.8</v>
      </c>
      <c r="BI55" s="100">
        <f t="shared" si="31"/>
        <v>364.20000000000005</v>
      </c>
      <c r="BJ55" s="119">
        <v>10.039999999999999</v>
      </c>
      <c r="BK55" s="120">
        <v>3.5</v>
      </c>
      <c r="BL55" s="120">
        <v>26.5</v>
      </c>
      <c r="BM55" s="121">
        <f t="shared" si="33"/>
        <v>359.85</v>
      </c>
      <c r="BN55" s="33">
        <v>7.41</v>
      </c>
      <c r="BO55" s="109">
        <v>8.6999999999999993</v>
      </c>
      <c r="BP55" s="120">
        <v>7.47</v>
      </c>
    </row>
    <row r="56" spans="1:68">
      <c r="A56" s="14">
        <v>44533</v>
      </c>
      <c r="B56" s="34">
        <v>94</v>
      </c>
      <c r="C56" s="86">
        <v>10.1</v>
      </c>
      <c r="D56" s="86">
        <v>4</v>
      </c>
      <c r="E56" s="86">
        <v>27.4</v>
      </c>
      <c r="F56" s="87">
        <f t="shared" si="19"/>
        <v>372.9</v>
      </c>
      <c r="G56" s="91">
        <v>9.1199999999999992</v>
      </c>
      <c r="H56" s="91">
        <v>2</v>
      </c>
      <c r="I56" s="91">
        <v>27.5</v>
      </c>
      <c r="J56" s="92">
        <f t="shared" si="20"/>
        <v>374.35</v>
      </c>
      <c r="K56" s="95">
        <v>8.9659999999999993</v>
      </c>
      <c r="L56" s="95">
        <v>3</v>
      </c>
      <c r="M56" s="95">
        <v>26.5</v>
      </c>
      <c r="N56" s="96">
        <f t="shared" si="21"/>
        <v>359.85</v>
      </c>
      <c r="O56" s="99">
        <v>9.0790000000000006</v>
      </c>
      <c r="P56" s="99">
        <v>2.5</v>
      </c>
      <c r="Q56" s="99">
        <v>27.5</v>
      </c>
      <c r="R56" s="100">
        <f t="shared" si="22"/>
        <v>374.35</v>
      </c>
      <c r="S56" s="103">
        <v>9.42</v>
      </c>
      <c r="T56" s="103">
        <v>2.5</v>
      </c>
      <c r="U56" s="103">
        <v>26</v>
      </c>
      <c r="V56" s="104">
        <f t="shared" si="23"/>
        <v>352.6</v>
      </c>
      <c r="W56" s="103">
        <v>7.27</v>
      </c>
      <c r="X56" s="33">
        <v>6.67</v>
      </c>
      <c r="Y56" s="103">
        <v>8.9499999999999993</v>
      </c>
      <c r="Z56" s="103">
        <v>2.5</v>
      </c>
      <c r="AA56" s="103">
        <v>26</v>
      </c>
      <c r="AB56" s="104">
        <f t="shared" si="24"/>
        <v>352.6</v>
      </c>
      <c r="AC56" s="91">
        <v>8.7799999999999994</v>
      </c>
      <c r="AD56" s="91">
        <v>3</v>
      </c>
      <c r="AE56" s="91">
        <v>26.8</v>
      </c>
      <c r="AF56" s="92">
        <f t="shared" si="25"/>
        <v>364.20000000000005</v>
      </c>
      <c r="AG56" s="95">
        <v>8.77</v>
      </c>
      <c r="AH56" s="95">
        <v>3</v>
      </c>
      <c r="AI56" s="95">
        <v>27</v>
      </c>
      <c r="AJ56" s="96">
        <f t="shared" si="26"/>
        <v>367.1</v>
      </c>
      <c r="AK56" s="99">
        <v>8.59</v>
      </c>
      <c r="AL56" s="99">
        <v>1</v>
      </c>
      <c r="AM56" s="99">
        <v>26.8</v>
      </c>
      <c r="AN56" s="100">
        <f t="shared" si="27"/>
        <v>364.20000000000005</v>
      </c>
      <c r="AO56" s="108">
        <v>8.8000000000000007</v>
      </c>
      <c r="AP56" s="109">
        <v>3</v>
      </c>
      <c r="AQ56" s="109">
        <v>27</v>
      </c>
      <c r="AR56" s="110">
        <f t="shared" si="32"/>
        <v>367.1</v>
      </c>
      <c r="AS56" s="33">
        <v>8.69</v>
      </c>
      <c r="AT56" s="103">
        <v>9.75</v>
      </c>
      <c r="AU56" s="103">
        <v>3</v>
      </c>
      <c r="AV56" s="103">
        <v>26.1</v>
      </c>
      <c r="AW56" s="104">
        <f t="shared" si="28"/>
        <v>354.05000000000007</v>
      </c>
      <c r="AX56" s="91">
        <v>9.6199999999999992</v>
      </c>
      <c r="AY56" s="91">
        <v>2.5</v>
      </c>
      <c r="AZ56" s="91">
        <v>26.4</v>
      </c>
      <c r="BA56" s="92">
        <f t="shared" si="29"/>
        <v>358.4</v>
      </c>
      <c r="BB56" s="95">
        <v>9.7200000000000006</v>
      </c>
      <c r="BC56" s="95">
        <v>3.5</v>
      </c>
      <c r="BD56" s="95">
        <v>25.5</v>
      </c>
      <c r="BE56" s="96">
        <f t="shared" si="30"/>
        <v>345.35</v>
      </c>
      <c r="BF56" s="99">
        <v>9.64</v>
      </c>
      <c r="BG56" s="99">
        <v>3</v>
      </c>
      <c r="BH56" s="99">
        <v>26.9</v>
      </c>
      <c r="BI56" s="100">
        <f t="shared" si="31"/>
        <v>365.65</v>
      </c>
      <c r="BJ56" s="119">
        <v>10.16</v>
      </c>
      <c r="BK56" s="120">
        <v>3.5</v>
      </c>
      <c r="BL56" s="120">
        <v>26.9</v>
      </c>
      <c r="BM56" s="121">
        <f t="shared" si="33"/>
        <v>365.65</v>
      </c>
      <c r="BN56" s="33">
        <v>7.5</v>
      </c>
      <c r="BO56" s="109">
        <v>8.8699999999999992</v>
      </c>
      <c r="BP56" s="120">
        <v>6.43</v>
      </c>
    </row>
    <row r="57" spans="1:68">
      <c r="A57" s="14">
        <v>44536</v>
      </c>
      <c r="B57" s="34">
        <v>95</v>
      </c>
      <c r="C57" s="86" t="s">
        <v>182</v>
      </c>
      <c r="D57" s="86" t="s">
        <v>182</v>
      </c>
      <c r="E57" s="86" t="s">
        <v>182</v>
      </c>
      <c r="F57" s="87" t="s">
        <v>182</v>
      </c>
      <c r="G57" s="91" t="s">
        <v>182</v>
      </c>
      <c r="H57" s="91" t="s">
        <v>182</v>
      </c>
      <c r="I57" s="91" t="s">
        <v>182</v>
      </c>
      <c r="J57" s="92" t="s">
        <v>182</v>
      </c>
      <c r="K57" s="95" t="s">
        <v>182</v>
      </c>
      <c r="L57" s="95" t="s">
        <v>182</v>
      </c>
      <c r="M57" s="95" t="s">
        <v>182</v>
      </c>
      <c r="N57" s="96" t="s">
        <v>182</v>
      </c>
      <c r="O57" s="99" t="s">
        <v>182</v>
      </c>
      <c r="P57" s="99" t="s">
        <v>182</v>
      </c>
      <c r="Q57" s="99" t="s">
        <v>182</v>
      </c>
      <c r="R57" s="100" t="s">
        <v>182</v>
      </c>
      <c r="S57" s="103" t="s">
        <v>182</v>
      </c>
      <c r="T57" s="103" t="s">
        <v>182</v>
      </c>
      <c r="U57" s="103" t="s">
        <v>182</v>
      </c>
      <c r="V57" s="104" t="s">
        <v>182</v>
      </c>
      <c r="W57" s="103">
        <v>7.44</v>
      </c>
      <c r="X57" s="33">
        <v>7.94</v>
      </c>
      <c r="Y57" s="103" t="s">
        <v>182</v>
      </c>
      <c r="Z57" s="103" t="s">
        <v>182</v>
      </c>
      <c r="AA57" s="103" t="s">
        <v>182</v>
      </c>
      <c r="AB57" s="104" t="s">
        <v>182</v>
      </c>
      <c r="AC57" s="91">
        <v>8.73</v>
      </c>
      <c r="AD57" s="91" t="s">
        <v>182</v>
      </c>
      <c r="AE57" s="91" t="s">
        <v>182</v>
      </c>
      <c r="AF57" s="92" t="s">
        <v>182</v>
      </c>
      <c r="AG57" s="95">
        <v>8.74</v>
      </c>
      <c r="AH57" s="95" t="s">
        <v>182</v>
      </c>
      <c r="AI57" s="95" t="s">
        <v>182</v>
      </c>
      <c r="AJ57" s="96" t="s">
        <v>182</v>
      </c>
      <c r="AK57" s="99" t="s">
        <v>182</v>
      </c>
      <c r="AL57" s="99" t="s">
        <v>182</v>
      </c>
      <c r="AM57" s="99" t="s">
        <v>182</v>
      </c>
      <c r="AN57" s="100" t="s">
        <v>182</v>
      </c>
      <c r="AO57" s="108">
        <v>8.8000000000000007</v>
      </c>
      <c r="AP57" s="109" t="s">
        <v>182</v>
      </c>
      <c r="AQ57" s="109" t="s">
        <v>182</v>
      </c>
      <c r="AR57" s="110" t="s">
        <v>182</v>
      </c>
      <c r="AS57" s="33">
        <v>8.66</v>
      </c>
      <c r="AT57" s="103">
        <v>9.9600000000000009</v>
      </c>
      <c r="AU57" s="103" t="s">
        <v>182</v>
      </c>
      <c r="AV57" s="103" t="s">
        <v>182</v>
      </c>
      <c r="AW57" s="104" t="s">
        <v>182</v>
      </c>
      <c r="AX57" s="91">
        <v>9.74</v>
      </c>
      <c r="AY57" s="91" t="s">
        <v>182</v>
      </c>
      <c r="AZ57" s="91" t="s">
        <v>182</v>
      </c>
      <c r="BA57" s="92" t="s">
        <v>182</v>
      </c>
      <c r="BB57" s="95">
        <v>9.73</v>
      </c>
      <c r="BC57" s="95" t="s">
        <v>182</v>
      </c>
      <c r="BD57" s="95" t="s">
        <v>182</v>
      </c>
      <c r="BE57" s="96" t="s">
        <v>182</v>
      </c>
      <c r="BF57" s="99">
        <v>9.66</v>
      </c>
      <c r="BG57" s="99" t="s">
        <v>182</v>
      </c>
      <c r="BH57" s="99" t="s">
        <v>182</v>
      </c>
      <c r="BI57" s="100" t="s">
        <v>182</v>
      </c>
      <c r="BJ57" s="119">
        <v>10.08</v>
      </c>
      <c r="BK57" s="120" t="s">
        <v>182</v>
      </c>
      <c r="BL57" s="120" t="s">
        <v>182</v>
      </c>
      <c r="BM57" s="121" t="s">
        <v>182</v>
      </c>
      <c r="BN57" s="33">
        <v>7.29</v>
      </c>
      <c r="BO57" s="109">
        <v>8.7100000000000009</v>
      </c>
      <c r="BP57" s="120">
        <v>6.49</v>
      </c>
    </row>
    <row r="58" spans="1:68">
      <c r="A58" s="14">
        <v>44538</v>
      </c>
      <c r="B58" s="34">
        <v>99</v>
      </c>
      <c r="C58" s="86">
        <v>10.039999999999999</v>
      </c>
      <c r="D58" s="86">
        <v>3.5</v>
      </c>
      <c r="E58" s="86">
        <v>27.2</v>
      </c>
      <c r="F58" s="87">
        <f t="shared" si="19"/>
        <v>370</v>
      </c>
      <c r="G58" s="91">
        <v>9.3000000000000007</v>
      </c>
      <c r="H58" s="91">
        <v>3</v>
      </c>
      <c r="I58" s="91">
        <v>27</v>
      </c>
      <c r="J58" s="92">
        <f t="shared" si="20"/>
        <v>367.1</v>
      </c>
      <c r="K58" s="95">
        <v>9.2899999999999991</v>
      </c>
      <c r="L58" s="95">
        <v>3</v>
      </c>
      <c r="M58" s="95">
        <v>26.9</v>
      </c>
      <c r="N58" s="96">
        <f t="shared" si="21"/>
        <v>365.65</v>
      </c>
      <c r="O58" s="99">
        <v>9.1300000000000008</v>
      </c>
      <c r="P58" s="99">
        <v>1</v>
      </c>
      <c r="Q58" s="99">
        <v>27.3</v>
      </c>
      <c r="R58" s="100">
        <f t="shared" si="22"/>
        <v>371.45000000000005</v>
      </c>
      <c r="S58" s="103">
        <v>9.43</v>
      </c>
      <c r="T58" s="103">
        <v>2.5</v>
      </c>
      <c r="U58" s="103">
        <v>26</v>
      </c>
      <c r="V58" s="104">
        <f t="shared" si="23"/>
        <v>352.6</v>
      </c>
      <c r="W58" s="103">
        <v>7.32</v>
      </c>
      <c r="X58" s="33">
        <v>6.58</v>
      </c>
      <c r="Y58" s="103">
        <v>8.91</v>
      </c>
      <c r="Z58" s="103">
        <v>2.5</v>
      </c>
      <c r="AA58" s="103">
        <v>26</v>
      </c>
      <c r="AB58" s="104">
        <f t="shared" si="24"/>
        <v>352.6</v>
      </c>
      <c r="AC58" s="91">
        <v>8.6999999999999993</v>
      </c>
      <c r="AD58" s="91">
        <v>3</v>
      </c>
      <c r="AE58" s="91">
        <v>27.3</v>
      </c>
      <c r="AF58" s="92">
        <f t="shared" si="25"/>
        <v>371.45000000000005</v>
      </c>
      <c r="AG58" s="95">
        <v>8.73</v>
      </c>
      <c r="AH58" s="95">
        <v>3</v>
      </c>
      <c r="AI58" s="95">
        <v>27.5</v>
      </c>
      <c r="AJ58" s="96">
        <f t="shared" si="26"/>
        <v>374.35</v>
      </c>
      <c r="AK58" s="99">
        <v>8.66</v>
      </c>
      <c r="AL58" s="99">
        <v>3</v>
      </c>
      <c r="AM58" s="99">
        <v>27.3</v>
      </c>
      <c r="AN58" s="100">
        <f t="shared" si="27"/>
        <v>371.45000000000005</v>
      </c>
      <c r="AO58" s="108">
        <v>8.65</v>
      </c>
      <c r="AP58" s="109">
        <v>3</v>
      </c>
      <c r="AQ58" s="109">
        <v>27.5</v>
      </c>
      <c r="AR58" s="110">
        <f t="shared" si="32"/>
        <v>374.35</v>
      </c>
      <c r="AS58" s="33">
        <v>8.64</v>
      </c>
      <c r="AT58" s="103">
        <v>9.8000000000000007</v>
      </c>
      <c r="AU58" s="103">
        <v>2.5</v>
      </c>
      <c r="AV58" s="103">
        <v>26.1</v>
      </c>
      <c r="AW58" s="104">
        <f t="shared" si="28"/>
        <v>354.05000000000007</v>
      </c>
      <c r="AX58" s="91">
        <v>9.39</v>
      </c>
      <c r="AY58" s="91">
        <v>2.5</v>
      </c>
      <c r="AZ58" s="91">
        <v>26.4</v>
      </c>
      <c r="BA58" s="92">
        <f t="shared" si="29"/>
        <v>358.4</v>
      </c>
      <c r="BB58" s="95">
        <v>9.24</v>
      </c>
      <c r="BC58" s="95">
        <v>3</v>
      </c>
      <c r="BD58" s="95">
        <v>25.5</v>
      </c>
      <c r="BE58" s="96">
        <f t="shared" si="30"/>
        <v>345.35</v>
      </c>
      <c r="BF58" s="99">
        <v>9.26</v>
      </c>
      <c r="BG58" s="99">
        <v>3</v>
      </c>
      <c r="BH58" s="99">
        <v>26.9</v>
      </c>
      <c r="BI58" s="100">
        <f t="shared" si="31"/>
        <v>365.65</v>
      </c>
      <c r="BJ58" s="119">
        <v>9.85</v>
      </c>
      <c r="BK58" s="120">
        <v>3.5</v>
      </c>
      <c r="BL58" s="120">
        <v>27</v>
      </c>
      <c r="BM58" s="121">
        <f t="shared" si="33"/>
        <v>367.1</v>
      </c>
      <c r="BN58" s="33">
        <v>7.04</v>
      </c>
      <c r="BO58" s="109">
        <v>8.69</v>
      </c>
      <c r="BP58" s="120">
        <v>6.34</v>
      </c>
    </row>
    <row r="59" spans="1:68">
      <c r="A59" s="14">
        <v>44543</v>
      </c>
      <c r="B59" s="34">
        <v>99</v>
      </c>
      <c r="C59" s="86">
        <v>10.02</v>
      </c>
      <c r="D59" s="86">
        <v>4</v>
      </c>
      <c r="E59" s="86">
        <v>26.8</v>
      </c>
      <c r="F59" s="87">
        <f t="shared" si="19"/>
        <v>364.20000000000005</v>
      </c>
      <c r="G59" s="91">
        <v>9.3019999999999996</v>
      </c>
      <c r="H59" s="91">
        <v>3</v>
      </c>
      <c r="I59" s="91">
        <v>27.5</v>
      </c>
      <c r="J59" s="92">
        <f t="shared" si="20"/>
        <v>374.35</v>
      </c>
      <c r="K59" s="95">
        <v>9.26</v>
      </c>
      <c r="L59" s="95">
        <v>3</v>
      </c>
      <c r="M59" s="95">
        <v>27</v>
      </c>
      <c r="N59" s="96">
        <f t="shared" si="21"/>
        <v>367.1</v>
      </c>
      <c r="O59" s="99">
        <v>9.16</v>
      </c>
      <c r="P59" s="99">
        <v>3</v>
      </c>
      <c r="Q59" s="99">
        <v>27.3</v>
      </c>
      <c r="R59" s="100">
        <f t="shared" si="22"/>
        <v>371.45000000000005</v>
      </c>
      <c r="S59" s="103">
        <v>9.4</v>
      </c>
      <c r="T59" s="103">
        <v>2</v>
      </c>
      <c r="U59" s="103">
        <v>26</v>
      </c>
      <c r="V59" s="104">
        <f t="shared" si="23"/>
        <v>352.6</v>
      </c>
      <c r="W59" s="103">
        <v>7.73</v>
      </c>
      <c r="X59" s="33">
        <v>7.85</v>
      </c>
      <c r="Y59" s="103">
        <v>8.9499999999999993</v>
      </c>
      <c r="Z59" s="103">
        <v>2</v>
      </c>
      <c r="AA59" s="103">
        <v>26</v>
      </c>
      <c r="AB59" s="104">
        <f t="shared" si="24"/>
        <v>352.6</v>
      </c>
      <c r="AC59" s="91">
        <v>8.6999999999999993</v>
      </c>
      <c r="AD59" s="91">
        <v>3.5</v>
      </c>
      <c r="AE59" s="91">
        <v>27.4</v>
      </c>
      <c r="AF59" s="92">
        <f t="shared" si="25"/>
        <v>372.9</v>
      </c>
      <c r="AG59" s="95">
        <v>8.67</v>
      </c>
      <c r="AH59" s="95">
        <v>2.5</v>
      </c>
      <c r="AI59" s="95">
        <v>27.4</v>
      </c>
      <c r="AJ59" s="96">
        <f t="shared" si="26"/>
        <v>372.9</v>
      </c>
      <c r="AK59" s="99">
        <v>8.67</v>
      </c>
      <c r="AL59" s="99">
        <v>2</v>
      </c>
      <c r="AM59" s="99">
        <v>27.4</v>
      </c>
      <c r="AN59" s="100">
        <f t="shared" si="27"/>
        <v>372.9</v>
      </c>
      <c r="AO59" s="108">
        <v>8.7899999999999991</v>
      </c>
      <c r="AP59" s="109">
        <v>3</v>
      </c>
      <c r="AQ59" s="109">
        <v>27</v>
      </c>
      <c r="AR59" s="110">
        <f t="shared" si="32"/>
        <v>367.1</v>
      </c>
      <c r="AS59" s="33">
        <v>8.7200000000000006</v>
      </c>
      <c r="AT59" s="103">
        <v>9.92</v>
      </c>
      <c r="AU59" s="103">
        <v>3</v>
      </c>
      <c r="AV59" s="103">
        <v>26.2</v>
      </c>
      <c r="AW59" s="104">
        <f t="shared" si="28"/>
        <v>355.5</v>
      </c>
      <c r="AX59" s="91">
        <v>9.59</v>
      </c>
      <c r="AY59" s="91">
        <v>2.5</v>
      </c>
      <c r="AZ59" s="91">
        <v>26.4</v>
      </c>
      <c r="BA59" s="92">
        <f t="shared" si="29"/>
        <v>358.4</v>
      </c>
      <c r="BB59" s="95">
        <v>9.67</v>
      </c>
      <c r="BC59" s="95">
        <v>3.5</v>
      </c>
      <c r="BD59" s="95">
        <v>25.5</v>
      </c>
      <c r="BE59" s="96">
        <f t="shared" si="30"/>
        <v>345.35</v>
      </c>
      <c r="BF59" s="99">
        <v>9.66</v>
      </c>
      <c r="BG59" s="99">
        <v>3.5</v>
      </c>
      <c r="BH59" s="99">
        <v>26.6</v>
      </c>
      <c r="BI59" s="100">
        <f t="shared" si="31"/>
        <v>361.30000000000007</v>
      </c>
      <c r="BJ59" s="119">
        <v>10.09</v>
      </c>
      <c r="BK59" s="120">
        <v>3.5</v>
      </c>
      <c r="BL59" s="120">
        <v>27</v>
      </c>
      <c r="BM59" s="121">
        <f t="shared" si="33"/>
        <v>367.1</v>
      </c>
      <c r="BN59" s="33">
        <v>7.23</v>
      </c>
      <c r="BO59" s="109">
        <v>8.77</v>
      </c>
      <c r="BP59" s="120">
        <v>7.03</v>
      </c>
    </row>
    <row r="60" spans="1:68">
      <c r="A60" s="14">
        <v>44546</v>
      </c>
      <c r="B60" s="34">
        <v>100</v>
      </c>
      <c r="C60" s="320" t="s">
        <v>996</v>
      </c>
      <c r="D60" s="320" t="s">
        <v>996</v>
      </c>
      <c r="E60" s="320" t="s">
        <v>996</v>
      </c>
      <c r="F60" s="321" t="s">
        <v>996</v>
      </c>
      <c r="G60" s="320" t="s">
        <v>996</v>
      </c>
      <c r="H60" s="320" t="s">
        <v>996</v>
      </c>
      <c r="I60" s="320" t="s">
        <v>996</v>
      </c>
      <c r="J60" s="321" t="s">
        <v>996</v>
      </c>
      <c r="K60" s="320" t="s">
        <v>996</v>
      </c>
      <c r="L60" s="320" t="s">
        <v>996</v>
      </c>
      <c r="M60" s="320" t="s">
        <v>996</v>
      </c>
      <c r="N60" s="321" t="s">
        <v>996</v>
      </c>
      <c r="O60" s="320" t="s">
        <v>996</v>
      </c>
      <c r="P60" s="320" t="s">
        <v>996</v>
      </c>
      <c r="Q60" s="320" t="s">
        <v>996</v>
      </c>
      <c r="R60" s="321" t="s">
        <v>996</v>
      </c>
      <c r="S60" s="320" t="s">
        <v>996</v>
      </c>
      <c r="T60" s="320" t="s">
        <v>996</v>
      </c>
      <c r="U60" s="320" t="s">
        <v>996</v>
      </c>
      <c r="V60" s="321" t="s">
        <v>996</v>
      </c>
      <c r="W60" s="320" t="s">
        <v>996</v>
      </c>
      <c r="X60" s="321" t="s">
        <v>996</v>
      </c>
      <c r="Y60" s="320" t="s">
        <v>996</v>
      </c>
      <c r="Z60" s="320" t="s">
        <v>996</v>
      </c>
      <c r="AA60" s="320" t="s">
        <v>996</v>
      </c>
      <c r="AB60" s="321" t="s">
        <v>996</v>
      </c>
      <c r="AC60" s="320" t="s">
        <v>996</v>
      </c>
      <c r="AD60" s="320" t="s">
        <v>996</v>
      </c>
      <c r="AE60" s="320" t="s">
        <v>996</v>
      </c>
      <c r="AF60" s="321" t="s">
        <v>996</v>
      </c>
      <c r="AG60" s="320" t="s">
        <v>996</v>
      </c>
      <c r="AH60" s="320" t="s">
        <v>996</v>
      </c>
      <c r="AI60" s="320" t="s">
        <v>996</v>
      </c>
      <c r="AJ60" s="321" t="s">
        <v>996</v>
      </c>
      <c r="AK60" s="320" t="s">
        <v>996</v>
      </c>
      <c r="AL60" s="320" t="s">
        <v>996</v>
      </c>
      <c r="AM60" s="320" t="s">
        <v>996</v>
      </c>
      <c r="AN60" s="321" t="s">
        <v>996</v>
      </c>
      <c r="AO60" s="108">
        <v>8.77</v>
      </c>
      <c r="AP60" s="109">
        <v>3</v>
      </c>
      <c r="AQ60" s="109">
        <v>26.8</v>
      </c>
      <c r="AR60" s="110">
        <f t="shared" si="32"/>
        <v>364.20000000000005</v>
      </c>
      <c r="AS60" s="33" t="s">
        <v>996</v>
      </c>
      <c r="AT60" s="103">
        <v>9.84</v>
      </c>
      <c r="AU60" s="103">
        <v>3</v>
      </c>
      <c r="AV60" s="103">
        <v>26.1</v>
      </c>
      <c r="AW60" s="104">
        <f t="shared" si="28"/>
        <v>354.05000000000007</v>
      </c>
      <c r="AX60" s="91">
        <v>9.65</v>
      </c>
      <c r="AY60" s="91">
        <v>3</v>
      </c>
      <c r="AZ60" s="91">
        <v>26.5</v>
      </c>
      <c r="BA60" s="92">
        <f t="shared" si="29"/>
        <v>359.85</v>
      </c>
      <c r="BB60" s="95">
        <v>9.7200000000000006</v>
      </c>
      <c r="BC60" s="95">
        <v>3.5</v>
      </c>
      <c r="BD60" s="95">
        <v>25.1</v>
      </c>
      <c r="BE60" s="96">
        <f t="shared" si="30"/>
        <v>339.55000000000007</v>
      </c>
      <c r="BF60" s="99">
        <v>9.41</v>
      </c>
      <c r="BG60" s="99">
        <v>2.5</v>
      </c>
      <c r="BH60" s="99">
        <v>26.5</v>
      </c>
      <c r="BI60" s="100">
        <f t="shared" si="31"/>
        <v>359.85</v>
      </c>
      <c r="BJ60" s="119">
        <v>10.130000000000001</v>
      </c>
      <c r="BK60" s="120">
        <v>3.5</v>
      </c>
      <c r="BL60" s="120">
        <v>27.1</v>
      </c>
      <c r="BM60" s="121">
        <f t="shared" si="33"/>
        <v>368.55000000000007</v>
      </c>
      <c r="BN60" s="33">
        <v>7.21</v>
      </c>
      <c r="BO60" s="109">
        <v>8.81</v>
      </c>
      <c r="BP60" s="120">
        <v>7.16</v>
      </c>
    </row>
    <row r="61" spans="1:68">
      <c r="A61" s="14">
        <v>44580</v>
      </c>
      <c r="B61" s="34">
        <v>100</v>
      </c>
      <c r="W61" s="35" t="s">
        <v>177</v>
      </c>
      <c r="X61" s="33" t="s">
        <v>1438</v>
      </c>
      <c r="AO61" s="108">
        <v>8.73</v>
      </c>
      <c r="AP61" s="109">
        <v>3</v>
      </c>
      <c r="AQ61" s="109">
        <v>27</v>
      </c>
      <c r="AR61" s="110">
        <f t="shared" si="32"/>
        <v>367.1</v>
      </c>
      <c r="AT61" s="103">
        <v>9.84</v>
      </c>
      <c r="AU61" s="103">
        <v>3.5</v>
      </c>
      <c r="AV61" s="103">
        <v>26</v>
      </c>
      <c r="AW61" s="104">
        <f t="shared" si="28"/>
        <v>352.6</v>
      </c>
      <c r="AX61" s="91">
        <v>9.65</v>
      </c>
      <c r="AY61" s="91">
        <v>3</v>
      </c>
      <c r="AZ61" s="91">
        <v>26.3</v>
      </c>
      <c r="BA61" s="92">
        <f t="shared" si="29"/>
        <v>356.95000000000005</v>
      </c>
      <c r="BB61" s="95">
        <v>9.66</v>
      </c>
      <c r="BC61" s="95">
        <v>3.5</v>
      </c>
      <c r="BD61" s="95">
        <v>25.7</v>
      </c>
      <c r="BE61" s="96">
        <f t="shared" si="30"/>
        <v>348.25</v>
      </c>
      <c r="BF61" s="99">
        <v>9.67</v>
      </c>
      <c r="BG61" s="99">
        <v>3</v>
      </c>
      <c r="BH61" s="99">
        <v>27.1</v>
      </c>
      <c r="BI61" s="100">
        <f t="shared" si="31"/>
        <v>368.55000000000007</v>
      </c>
      <c r="BJ61" s="119">
        <v>9.9499999999999993</v>
      </c>
      <c r="BK61" s="120">
        <v>3.5</v>
      </c>
      <c r="BL61" s="120">
        <v>26.9</v>
      </c>
      <c r="BM61" s="121">
        <f t="shared" si="33"/>
        <v>365.65</v>
      </c>
      <c r="BN61" s="33">
        <v>7.51</v>
      </c>
      <c r="BO61" s="109">
        <v>8.9</v>
      </c>
      <c r="BP61" s="120">
        <v>7.46</v>
      </c>
    </row>
    <row r="62" spans="1:68">
      <c r="A62" s="14">
        <v>44582</v>
      </c>
      <c r="B62" s="34">
        <v>105</v>
      </c>
      <c r="C62" s="90">
        <f>AVERAGE(C3:C59)</f>
        <v>9.7109259259259275</v>
      </c>
      <c r="V62" s="362" t="s">
        <v>1437</v>
      </c>
      <c r="W62" s="35">
        <f>AVERAGE(W16:W59)</f>
        <v>7.2730952380952392</v>
      </c>
      <c r="X62" s="33">
        <f>AVERAGE(X35:X59)</f>
        <v>7.1186956521739138</v>
      </c>
      <c r="AO62" s="108">
        <v>8.8000000000000007</v>
      </c>
      <c r="AP62" s="109" t="s">
        <v>182</v>
      </c>
      <c r="AQ62" s="109" t="s">
        <v>182</v>
      </c>
      <c r="AR62" s="110" t="s">
        <v>182</v>
      </c>
      <c r="AS62" s="33" t="s">
        <v>943</v>
      </c>
      <c r="AT62" s="103">
        <v>9.8000000000000007</v>
      </c>
      <c r="AU62" s="103" t="s">
        <v>182</v>
      </c>
      <c r="AV62" s="103" t="s">
        <v>182</v>
      </c>
      <c r="AW62" s="104" t="s">
        <v>182</v>
      </c>
      <c r="AX62" s="91">
        <v>9.59</v>
      </c>
      <c r="AY62" s="91" t="s">
        <v>182</v>
      </c>
      <c r="AZ62" s="91" t="s">
        <v>182</v>
      </c>
      <c r="BA62" s="92" t="s">
        <v>182</v>
      </c>
      <c r="BB62" s="95">
        <v>9.66</v>
      </c>
      <c r="BC62" s="95" t="s">
        <v>182</v>
      </c>
      <c r="BD62" s="95" t="s">
        <v>182</v>
      </c>
      <c r="BE62" s="96" t="s">
        <v>182</v>
      </c>
      <c r="BF62" s="99">
        <v>9.6999999999999993</v>
      </c>
      <c r="BG62" s="99" t="s">
        <v>182</v>
      </c>
      <c r="BH62" s="99" t="s">
        <v>182</v>
      </c>
      <c r="BI62" s="100" t="s">
        <v>182</v>
      </c>
      <c r="BJ62" s="119">
        <v>10.08</v>
      </c>
      <c r="BK62" s="120" t="s">
        <v>182</v>
      </c>
      <c r="BL62" s="120" t="s">
        <v>182</v>
      </c>
      <c r="BM62" s="121" t="s">
        <v>182</v>
      </c>
      <c r="BN62" s="33">
        <v>7.55</v>
      </c>
      <c r="BO62" s="109">
        <v>8.9</v>
      </c>
      <c r="BP62" s="120">
        <v>7.44</v>
      </c>
    </row>
    <row r="63" spans="1:68">
      <c r="A63" s="14">
        <v>44585</v>
      </c>
      <c r="B63" s="34">
        <v>106</v>
      </c>
      <c r="C63" s="86">
        <f>STDEV(C3:C59)</f>
        <v>0.29786199488086684</v>
      </c>
      <c r="G63" s="91">
        <f>AVERAGE(G46:G56)</f>
        <v>9.1045454545454554</v>
      </c>
      <c r="K63" s="95">
        <f>AVERAGE(K46:K56)</f>
        <v>8.8887272727272713</v>
      </c>
      <c r="O63" s="99">
        <f>AVERAGE(O46:O56)</f>
        <v>9.0508181818181814</v>
      </c>
      <c r="S63" s="103">
        <f>AVERAGE(S3:S59)</f>
        <v>9.5585185185185182</v>
      </c>
      <c r="V63" s="104" t="s">
        <v>1877</v>
      </c>
      <c r="W63" s="35">
        <f>STDEV(W16:W59)</f>
        <v>0.3889353077766376</v>
      </c>
      <c r="X63" s="33">
        <f>STDEV(X35:X59)</f>
        <v>0.39629310029809189</v>
      </c>
      <c r="Y63" s="103">
        <f>AVERAGE(Y14:Y59)</f>
        <v>8.8486046511627929</v>
      </c>
      <c r="AC63" s="91">
        <f>AVERAGE(AC46:AC59)</f>
        <v>8.7228571428571442</v>
      </c>
      <c r="AG63" s="95">
        <f>AVERAGE(AG46:AG59)</f>
        <v>8.6107142857142858</v>
      </c>
      <c r="AK63" s="99">
        <f>AVERAGE(AK46:AK56)</f>
        <v>8.5790909090909082</v>
      </c>
      <c r="AO63" s="108">
        <v>8.65</v>
      </c>
      <c r="AP63" s="109">
        <v>3</v>
      </c>
      <c r="AQ63" s="109">
        <v>27</v>
      </c>
      <c r="AR63" s="110">
        <f t="shared" si="32"/>
        <v>367.1</v>
      </c>
      <c r="AS63" s="33">
        <f>AVERAGE(AS15:AS59)</f>
        <v>8.6061363636363648</v>
      </c>
      <c r="AT63" s="103">
        <v>9.6300000000000008</v>
      </c>
      <c r="AU63" s="103">
        <v>3</v>
      </c>
      <c r="AV63" s="103">
        <v>26.4</v>
      </c>
      <c r="AW63" s="104">
        <f t="shared" si="28"/>
        <v>358.4</v>
      </c>
      <c r="AX63" s="91">
        <v>9.41</v>
      </c>
      <c r="AY63" s="91">
        <v>3</v>
      </c>
      <c r="AZ63" s="91">
        <v>26.3</v>
      </c>
      <c r="BA63" s="92">
        <f t="shared" si="29"/>
        <v>356.95000000000005</v>
      </c>
      <c r="BB63" s="95">
        <v>9.39</v>
      </c>
      <c r="BC63" s="95">
        <v>2.75</v>
      </c>
      <c r="BD63" s="95">
        <v>26</v>
      </c>
      <c r="BE63" s="96">
        <f t="shared" si="30"/>
        <v>352.6</v>
      </c>
      <c r="BF63" s="99">
        <v>9.36</v>
      </c>
      <c r="BG63" s="99">
        <v>3</v>
      </c>
      <c r="BH63" s="99">
        <v>27.2</v>
      </c>
      <c r="BI63" s="100">
        <f t="shared" si="31"/>
        <v>370</v>
      </c>
      <c r="BJ63" s="119">
        <v>10.050000000000001</v>
      </c>
      <c r="BK63" s="120">
        <v>3</v>
      </c>
      <c r="BL63" s="120">
        <v>27</v>
      </c>
      <c r="BM63" s="121">
        <f t="shared" si="33"/>
        <v>367.1</v>
      </c>
      <c r="BN63" s="33">
        <v>7.49</v>
      </c>
      <c r="BO63" s="109">
        <v>8.77</v>
      </c>
      <c r="BP63" s="120">
        <v>7.34</v>
      </c>
    </row>
    <row r="64" spans="1:68">
      <c r="A64" s="14">
        <v>44587</v>
      </c>
      <c r="B64" s="34">
        <v>106</v>
      </c>
      <c r="G64" s="91">
        <f>STDEV(G3:G59)</f>
        <v>0.38949562970917112</v>
      </c>
      <c r="K64" s="91">
        <f>STDEV(K3:K59)</f>
        <v>0.48810927738229537</v>
      </c>
      <c r="L64" s="95">
        <f>(G63+K63+O63)/3</f>
        <v>9.0146969696969688</v>
      </c>
      <c r="O64" s="91">
        <f>STDEV(O3:O59)</f>
        <v>0.37516388824994912</v>
      </c>
      <c r="S64" s="103">
        <f>STDEV(S3:S59)</f>
        <v>0.32787714799738005</v>
      </c>
      <c r="Y64" s="103">
        <f>STDEV(Y15:Y59)</f>
        <v>0.12838894395637257</v>
      </c>
      <c r="AC64" s="103">
        <f>STDEV(AC15:AC59)</f>
        <v>0.21379820463334037</v>
      </c>
      <c r="AG64" s="103">
        <f>STDEV(AG15:AG59)</f>
        <v>0.14228187935358824</v>
      </c>
      <c r="AK64" s="103">
        <f>STDEV(AK15:AK59)</f>
        <v>0.11813941498585663</v>
      </c>
      <c r="AO64" s="108">
        <v>8.74</v>
      </c>
      <c r="AP64" s="109">
        <v>3</v>
      </c>
      <c r="AQ64" s="109">
        <v>26.4</v>
      </c>
      <c r="AR64" s="110">
        <f t="shared" si="32"/>
        <v>358.4</v>
      </c>
      <c r="AS64" s="33">
        <f>STDEV(AS15:AS59)</f>
        <v>0.14203202896384201</v>
      </c>
      <c r="AT64" s="103">
        <v>9.6199999999999992</v>
      </c>
      <c r="AU64" s="103">
        <v>2</v>
      </c>
      <c r="AV64" s="103">
        <v>26.1</v>
      </c>
      <c r="AW64" s="104">
        <f t="shared" si="28"/>
        <v>354.05000000000007</v>
      </c>
      <c r="AX64" s="91">
        <v>9.5399999999999991</v>
      </c>
      <c r="AY64" s="91">
        <v>2</v>
      </c>
      <c r="AZ64" s="91">
        <v>26.2</v>
      </c>
      <c r="BA64" s="92">
        <f t="shared" si="29"/>
        <v>355.5</v>
      </c>
      <c r="BB64" s="95">
        <v>9.41</v>
      </c>
      <c r="BC64" s="95">
        <v>3.5</v>
      </c>
      <c r="BD64" s="95">
        <v>25.1</v>
      </c>
      <c r="BE64" s="96">
        <f t="shared" si="30"/>
        <v>339.55000000000007</v>
      </c>
      <c r="BF64" s="99">
        <v>9.3699999999999992</v>
      </c>
      <c r="BG64" s="99">
        <v>3</v>
      </c>
      <c r="BH64" s="99">
        <v>26.8</v>
      </c>
      <c r="BI64" s="100">
        <f t="shared" si="31"/>
        <v>364.20000000000005</v>
      </c>
      <c r="BJ64" s="119">
        <v>10.09</v>
      </c>
      <c r="BK64" s="120">
        <v>3</v>
      </c>
      <c r="BL64" s="120">
        <v>26.8</v>
      </c>
      <c r="BM64" s="121">
        <f t="shared" si="33"/>
        <v>364.20000000000005</v>
      </c>
      <c r="BN64" s="33">
        <v>7.41</v>
      </c>
      <c r="BO64" s="109">
        <v>8.7200000000000006</v>
      </c>
      <c r="BP64" s="120">
        <v>7.06</v>
      </c>
    </row>
    <row r="65" spans="1:160">
      <c r="A65" s="14">
        <v>44589</v>
      </c>
      <c r="B65" s="34">
        <v>108</v>
      </c>
      <c r="AO65" s="108">
        <v>8.6999999999999993</v>
      </c>
      <c r="AP65" s="109">
        <v>2.5</v>
      </c>
      <c r="AQ65" s="109">
        <v>26.8</v>
      </c>
      <c r="AR65" s="110">
        <f t="shared" si="32"/>
        <v>364.20000000000005</v>
      </c>
      <c r="AT65" s="103">
        <v>8.6050000000000004</v>
      </c>
      <c r="AU65" s="103">
        <v>1</v>
      </c>
      <c r="AV65" s="103">
        <v>26.1</v>
      </c>
      <c r="AW65" s="104">
        <f t="shared" si="28"/>
        <v>354.05000000000007</v>
      </c>
      <c r="AX65" s="91">
        <v>8.77</v>
      </c>
      <c r="AY65" s="91">
        <v>2.5</v>
      </c>
      <c r="AZ65" s="91">
        <v>26.2</v>
      </c>
      <c r="BA65" s="92">
        <f t="shared" si="29"/>
        <v>355.5</v>
      </c>
      <c r="BB65" s="95">
        <v>8.6999999999999993</v>
      </c>
      <c r="BC65" s="95">
        <v>4</v>
      </c>
      <c r="BD65" s="95">
        <v>25.6</v>
      </c>
      <c r="BE65" s="96">
        <f t="shared" si="30"/>
        <v>346.80000000000007</v>
      </c>
      <c r="BF65" s="99">
        <v>8.5</v>
      </c>
      <c r="BG65" s="99">
        <v>3</v>
      </c>
      <c r="BH65" s="99">
        <v>26.8</v>
      </c>
      <c r="BI65" s="100">
        <f t="shared" si="31"/>
        <v>364.20000000000005</v>
      </c>
      <c r="BJ65" s="119">
        <v>9.77</v>
      </c>
      <c r="BK65" s="120">
        <v>2.5</v>
      </c>
      <c r="BL65" s="120">
        <v>27</v>
      </c>
      <c r="BM65" s="121">
        <f t="shared" si="33"/>
        <v>367.1</v>
      </c>
      <c r="BN65" s="33">
        <v>7.32</v>
      </c>
      <c r="BO65" s="109">
        <v>8.73</v>
      </c>
      <c r="BP65" s="120">
        <v>6.59</v>
      </c>
      <c r="BQ65" s="244">
        <v>8.11</v>
      </c>
      <c r="BR65" s="103">
        <v>3.5</v>
      </c>
      <c r="BS65" s="103">
        <v>26.5</v>
      </c>
      <c r="BT65" s="104">
        <f t="shared" ref="BT65:BT78" si="34">((BS65-1.5)*14.5)-2.65</f>
        <v>359.85</v>
      </c>
      <c r="BU65" s="245">
        <v>8.6999999999999993</v>
      </c>
      <c r="BV65" s="91">
        <v>2.5</v>
      </c>
      <c r="BW65" s="91">
        <v>27.9</v>
      </c>
      <c r="BX65" s="92">
        <f t="shared" ref="BX65:BX77" si="35">((BW65-1.5)*14.5)-2.65</f>
        <v>380.15</v>
      </c>
      <c r="BY65" s="246">
        <v>8.82</v>
      </c>
      <c r="BZ65" s="95">
        <v>3.25</v>
      </c>
      <c r="CA65" s="95">
        <v>28.3</v>
      </c>
      <c r="CB65" s="96">
        <f t="shared" ref="CB65:CB77" si="36">((CA65-1.5)*14.5)-2.65</f>
        <v>385.95000000000005</v>
      </c>
      <c r="CC65" s="247">
        <v>9.1300000000000008</v>
      </c>
      <c r="CD65" s="242">
        <v>4</v>
      </c>
      <c r="CE65" s="242">
        <v>28.1</v>
      </c>
      <c r="CF65" s="243">
        <f t="shared" ref="CF65:CF77" si="37">((CE65-1.5)*14.5)-2.65</f>
        <v>383.05000000000007</v>
      </c>
      <c r="CG65" s="248">
        <v>4.13</v>
      </c>
      <c r="CH65" s="103">
        <v>9.91</v>
      </c>
      <c r="CI65" s="103">
        <v>3.5</v>
      </c>
      <c r="CJ65" s="103">
        <v>26.5</v>
      </c>
      <c r="CK65" s="104">
        <f t="shared" ref="CK65:CK77" si="38">((CJ65-1.5)*14.5)-2.65</f>
        <v>359.85</v>
      </c>
      <c r="CL65" s="91">
        <v>9.6999999999999993</v>
      </c>
      <c r="CM65" s="91">
        <v>3.5</v>
      </c>
      <c r="CN65" s="91">
        <v>28</v>
      </c>
      <c r="CO65" s="92">
        <f t="shared" ref="CO65:CO78" si="39">((CN65-1.5)*14.5)-2.65</f>
        <v>381.6</v>
      </c>
      <c r="CP65" s="95">
        <v>9.92</v>
      </c>
      <c r="CQ65" s="95">
        <v>3.5</v>
      </c>
      <c r="CR65" s="95">
        <v>27</v>
      </c>
      <c r="CS65" s="96">
        <f t="shared" ref="CS65:CS78" si="40">((CR65-1.5)*14.5)-2.65</f>
        <v>367.1</v>
      </c>
      <c r="CT65" s="249">
        <v>9.31</v>
      </c>
      <c r="CU65" s="249">
        <v>3</v>
      </c>
      <c r="CV65" s="249">
        <v>27.9</v>
      </c>
      <c r="CW65" s="250">
        <f t="shared" ref="CW65:CW78" si="41">((CV65-1.5)*14.5)-2.65</f>
        <v>380.15</v>
      </c>
      <c r="CX65" s="33">
        <v>10.57</v>
      </c>
      <c r="CY65" s="248">
        <v>7.09</v>
      </c>
    </row>
    <row r="66" spans="1:160">
      <c r="A66" s="14">
        <v>44594</v>
      </c>
      <c r="B66" s="34">
        <v>108</v>
      </c>
      <c r="AO66" s="108">
        <v>8.73</v>
      </c>
      <c r="AP66" s="109">
        <v>2.5</v>
      </c>
      <c r="AQ66" s="109" t="s">
        <v>182</v>
      </c>
      <c r="AR66" s="110" t="s">
        <v>182</v>
      </c>
      <c r="AT66" s="103">
        <v>9.49</v>
      </c>
      <c r="AU66" s="103">
        <v>3</v>
      </c>
      <c r="AV66" s="103" t="s">
        <v>182</v>
      </c>
      <c r="AW66" s="104" t="s">
        <v>182</v>
      </c>
      <c r="AX66" s="91">
        <v>9.2100000000000009</v>
      </c>
      <c r="AY66" s="91">
        <v>2.5</v>
      </c>
      <c r="AZ66" s="91" t="s">
        <v>182</v>
      </c>
      <c r="BA66" s="92" t="s">
        <v>182</v>
      </c>
      <c r="BB66" s="95">
        <v>9.2100000000000009</v>
      </c>
      <c r="BC66" s="95">
        <v>3.5</v>
      </c>
      <c r="BD66" s="95" t="s">
        <v>182</v>
      </c>
      <c r="BE66" s="96" t="s">
        <v>182</v>
      </c>
      <c r="BF66" s="99">
        <v>9.15</v>
      </c>
      <c r="BG66" s="99">
        <v>2.5</v>
      </c>
      <c r="BH66" s="99" t="s">
        <v>182</v>
      </c>
      <c r="BI66" s="100" t="s">
        <v>182</v>
      </c>
      <c r="BJ66" s="119">
        <v>10.01</v>
      </c>
      <c r="BK66" s="120">
        <v>2.5</v>
      </c>
      <c r="BL66" s="120" t="s">
        <v>182</v>
      </c>
      <c r="BM66" s="121" t="s">
        <v>182</v>
      </c>
      <c r="BN66" s="33">
        <v>7.32</v>
      </c>
      <c r="BO66" s="109">
        <v>8.31</v>
      </c>
      <c r="BP66" s="120">
        <v>6.25</v>
      </c>
      <c r="BQ66" s="244">
        <v>3.82</v>
      </c>
      <c r="BR66" s="103">
        <v>2</v>
      </c>
      <c r="BS66" s="103" t="s">
        <v>182</v>
      </c>
      <c r="BT66" s="104" t="s">
        <v>182</v>
      </c>
      <c r="BU66" s="245">
        <v>8.08</v>
      </c>
      <c r="BV66" s="91">
        <v>3</v>
      </c>
      <c r="BW66" s="91" t="s">
        <v>182</v>
      </c>
      <c r="BX66" s="92" t="s">
        <v>182</v>
      </c>
      <c r="BY66" s="246">
        <v>7.87</v>
      </c>
      <c r="BZ66" s="95">
        <v>3</v>
      </c>
      <c r="CA66" s="95" t="s">
        <v>182</v>
      </c>
      <c r="CB66" s="96" t="s">
        <v>182</v>
      </c>
      <c r="CC66" s="247">
        <v>9.31</v>
      </c>
      <c r="CD66" s="242">
        <v>2.5</v>
      </c>
      <c r="CE66" s="242" t="s">
        <v>182</v>
      </c>
      <c r="CF66" s="243" t="s">
        <v>182</v>
      </c>
      <c r="CG66" s="248">
        <v>3.3</v>
      </c>
      <c r="CH66" s="103">
        <v>9.43</v>
      </c>
      <c r="CI66" s="103">
        <v>3.5</v>
      </c>
      <c r="CJ66" s="103" t="s">
        <v>182</v>
      </c>
      <c r="CK66" s="104" t="s">
        <v>182</v>
      </c>
      <c r="CL66" s="91">
        <v>9.69</v>
      </c>
      <c r="CM66" s="91">
        <v>3</v>
      </c>
      <c r="CN66" s="91" t="s">
        <v>182</v>
      </c>
      <c r="CO66" s="92" t="s">
        <v>182</v>
      </c>
      <c r="CP66" s="95">
        <v>9.6</v>
      </c>
      <c r="CQ66" s="95">
        <v>3.5</v>
      </c>
      <c r="CR66" s="95" t="s">
        <v>182</v>
      </c>
      <c r="CS66" s="96" t="s">
        <v>182</v>
      </c>
      <c r="CT66" s="249">
        <v>9.49</v>
      </c>
      <c r="CU66" s="249">
        <v>3</v>
      </c>
      <c r="CV66" s="249" t="s">
        <v>182</v>
      </c>
      <c r="CW66" s="250" t="s">
        <v>182</v>
      </c>
      <c r="CX66" s="33">
        <v>9.26</v>
      </c>
      <c r="CY66" s="248">
        <v>6.33</v>
      </c>
    </row>
    <row r="67" spans="1:160">
      <c r="A67" s="39">
        <v>44596</v>
      </c>
      <c r="B67" s="34">
        <v>108</v>
      </c>
      <c r="AO67" s="108">
        <v>8.82</v>
      </c>
      <c r="AP67" s="109">
        <v>3</v>
      </c>
      <c r="AQ67" s="109">
        <v>27.3</v>
      </c>
      <c r="AR67" s="110">
        <f t="shared" si="32"/>
        <v>371.45000000000005</v>
      </c>
      <c r="AT67" s="103">
        <v>9.6</v>
      </c>
      <c r="AU67" s="103">
        <v>3.5</v>
      </c>
      <c r="AV67" s="103">
        <v>26.2</v>
      </c>
      <c r="AW67" s="104">
        <f t="shared" si="28"/>
        <v>355.5</v>
      </c>
      <c r="AX67" s="91">
        <v>9.42</v>
      </c>
      <c r="AY67" s="91">
        <v>2.5</v>
      </c>
      <c r="AZ67" s="91">
        <v>26.2</v>
      </c>
      <c r="BA67" s="92">
        <f t="shared" si="29"/>
        <v>355.5</v>
      </c>
      <c r="BB67" s="95">
        <v>9.52</v>
      </c>
      <c r="BC67" s="95">
        <v>3</v>
      </c>
      <c r="BD67" s="95">
        <v>25.6</v>
      </c>
      <c r="BE67" s="96">
        <f t="shared" si="30"/>
        <v>346.80000000000007</v>
      </c>
      <c r="BF67" s="99">
        <v>9.35</v>
      </c>
      <c r="BG67" s="99">
        <v>3</v>
      </c>
      <c r="BH67" s="99">
        <v>26.6</v>
      </c>
      <c r="BI67" s="100">
        <f t="shared" si="31"/>
        <v>361.30000000000007</v>
      </c>
      <c r="BJ67" s="119">
        <v>10.18</v>
      </c>
      <c r="BK67" s="120">
        <v>3</v>
      </c>
      <c r="BL67" s="120">
        <v>27.4</v>
      </c>
      <c r="BM67" s="121">
        <f t="shared" si="33"/>
        <v>372.9</v>
      </c>
      <c r="BN67" s="33">
        <v>7.29</v>
      </c>
      <c r="BO67" s="109">
        <v>8.64</v>
      </c>
      <c r="BP67" s="120">
        <v>6.51</v>
      </c>
      <c r="BQ67" s="244">
        <v>3.72</v>
      </c>
      <c r="BR67" s="103">
        <v>2.5</v>
      </c>
      <c r="BS67" s="103">
        <v>27.5</v>
      </c>
      <c r="BT67" s="104">
        <f t="shared" si="34"/>
        <v>374.35</v>
      </c>
      <c r="BU67" s="245">
        <v>8.42</v>
      </c>
      <c r="BV67" s="91">
        <v>3</v>
      </c>
      <c r="BW67" s="91">
        <v>28</v>
      </c>
      <c r="BX67" s="92">
        <f t="shared" si="35"/>
        <v>381.6</v>
      </c>
      <c r="BY67" s="246">
        <v>8.26</v>
      </c>
      <c r="BZ67" s="95">
        <v>3.5</v>
      </c>
      <c r="CA67" s="95">
        <v>28</v>
      </c>
      <c r="CB67" s="96">
        <f t="shared" si="36"/>
        <v>381.6</v>
      </c>
      <c r="CC67" s="247">
        <v>9.31</v>
      </c>
      <c r="CD67" s="242">
        <v>3</v>
      </c>
      <c r="CE67" s="242">
        <v>27.8</v>
      </c>
      <c r="CF67" s="243">
        <f t="shared" si="37"/>
        <v>378.70000000000005</v>
      </c>
      <c r="CG67" s="248">
        <v>3.95</v>
      </c>
      <c r="CH67" s="103">
        <v>9.65</v>
      </c>
      <c r="CI67" s="103">
        <v>3</v>
      </c>
      <c r="CJ67" s="103">
        <v>27.5</v>
      </c>
      <c r="CK67" s="104">
        <f t="shared" si="38"/>
        <v>374.35</v>
      </c>
      <c r="CL67" s="91">
        <v>9.9499999999999993</v>
      </c>
      <c r="CM67" s="91">
        <v>3</v>
      </c>
      <c r="CN67" s="91">
        <v>28.5</v>
      </c>
      <c r="CO67" s="92">
        <f t="shared" si="39"/>
        <v>388.85</v>
      </c>
      <c r="CP67" s="95">
        <v>9.83</v>
      </c>
      <c r="CQ67" s="95">
        <v>3</v>
      </c>
      <c r="CR67" s="95">
        <v>27.8</v>
      </c>
      <c r="CS67" s="96">
        <f t="shared" si="40"/>
        <v>378.70000000000005</v>
      </c>
      <c r="CT67" s="249">
        <v>9.5</v>
      </c>
      <c r="CU67" s="249">
        <v>3</v>
      </c>
      <c r="CV67" s="249">
        <v>27.8</v>
      </c>
      <c r="CW67" s="250">
        <f t="shared" si="41"/>
        <v>378.70000000000005</v>
      </c>
      <c r="CX67" s="33">
        <v>9.61</v>
      </c>
      <c r="CY67" s="248">
        <v>6.3</v>
      </c>
    </row>
    <row r="68" spans="1:160">
      <c r="A68" s="39">
        <v>44601</v>
      </c>
      <c r="B68" s="34">
        <v>110</v>
      </c>
      <c r="AO68" s="108">
        <v>8.74</v>
      </c>
      <c r="AP68" s="109">
        <v>2.5</v>
      </c>
      <c r="AQ68" s="109">
        <v>26.6</v>
      </c>
      <c r="AR68" s="110">
        <f t="shared" si="32"/>
        <v>361.30000000000007</v>
      </c>
      <c r="AT68" s="103">
        <v>9.52</v>
      </c>
      <c r="AU68" s="103">
        <v>3</v>
      </c>
      <c r="AV68" s="103">
        <v>26.2</v>
      </c>
      <c r="AW68" s="104">
        <f t="shared" si="28"/>
        <v>355.5</v>
      </c>
      <c r="AX68" s="91">
        <v>9.3620000000000001</v>
      </c>
      <c r="AY68" s="91">
        <v>2</v>
      </c>
      <c r="AZ68" s="91">
        <v>26.1</v>
      </c>
      <c r="BA68" s="92">
        <f t="shared" si="29"/>
        <v>354.05000000000007</v>
      </c>
      <c r="BB68" s="95">
        <v>9.4700000000000006</v>
      </c>
      <c r="BC68" s="95">
        <v>3.5</v>
      </c>
      <c r="BD68" s="95">
        <v>25</v>
      </c>
      <c r="BE68" s="96">
        <f t="shared" si="30"/>
        <v>338.1</v>
      </c>
      <c r="BF68" s="99">
        <v>9.3699999999999992</v>
      </c>
      <c r="BG68" s="99">
        <v>2.75</v>
      </c>
      <c r="BH68" s="99">
        <v>27.1</v>
      </c>
      <c r="BI68" s="100">
        <f t="shared" si="31"/>
        <v>368.55000000000007</v>
      </c>
      <c r="BJ68" s="119">
        <v>10.14</v>
      </c>
      <c r="BK68" s="120">
        <v>4</v>
      </c>
      <c r="BL68" s="120">
        <v>27</v>
      </c>
      <c r="BM68" s="121">
        <f t="shared" si="33"/>
        <v>367.1</v>
      </c>
      <c r="BN68" s="33">
        <v>7.12</v>
      </c>
      <c r="BO68" s="109">
        <v>8.7100000000000009</v>
      </c>
      <c r="BP68" s="120">
        <v>6.27</v>
      </c>
      <c r="BQ68" s="244">
        <v>4.74</v>
      </c>
      <c r="BR68" s="103">
        <v>2.25</v>
      </c>
      <c r="BS68" s="103">
        <v>26.7</v>
      </c>
      <c r="BT68" s="104">
        <f t="shared" si="34"/>
        <v>362.75</v>
      </c>
      <c r="BU68" s="245">
        <v>7.74</v>
      </c>
      <c r="BV68" s="91">
        <v>2.5</v>
      </c>
      <c r="BW68" s="91">
        <v>27.6</v>
      </c>
      <c r="BX68" s="92">
        <f t="shared" si="35"/>
        <v>375.80000000000007</v>
      </c>
      <c r="BY68" s="246">
        <v>7.59</v>
      </c>
      <c r="BZ68" s="95">
        <v>3</v>
      </c>
      <c r="CA68" s="95">
        <v>27.9</v>
      </c>
      <c r="CB68" s="96">
        <f t="shared" si="36"/>
        <v>380.15</v>
      </c>
      <c r="CC68" s="247">
        <v>9.44</v>
      </c>
      <c r="CD68" s="242">
        <v>3</v>
      </c>
      <c r="CE68" s="242">
        <v>27.3</v>
      </c>
      <c r="CF68" s="243">
        <f t="shared" si="37"/>
        <v>371.45000000000005</v>
      </c>
      <c r="CG68" s="248">
        <v>3.2970000000000002</v>
      </c>
      <c r="CH68" s="103">
        <v>9.7899999999999991</v>
      </c>
      <c r="CI68" s="103">
        <v>3</v>
      </c>
      <c r="CJ68" s="103">
        <v>26.7</v>
      </c>
      <c r="CK68" s="104">
        <f t="shared" si="38"/>
        <v>362.75</v>
      </c>
      <c r="CL68" s="91">
        <v>9.7100000000000009</v>
      </c>
      <c r="CM68" s="91">
        <v>3.5</v>
      </c>
      <c r="CN68" s="91">
        <v>27.5</v>
      </c>
      <c r="CO68" s="92">
        <f t="shared" si="39"/>
        <v>374.35</v>
      </c>
      <c r="CP68" s="95">
        <v>9.26</v>
      </c>
      <c r="CQ68" s="95">
        <v>3.5</v>
      </c>
      <c r="CR68" s="95">
        <v>27.6</v>
      </c>
      <c r="CS68" s="96">
        <f t="shared" si="40"/>
        <v>375.80000000000007</v>
      </c>
      <c r="CT68" s="249">
        <v>9.52</v>
      </c>
      <c r="CU68" s="249">
        <v>2.5</v>
      </c>
      <c r="CV68" s="249">
        <v>27</v>
      </c>
      <c r="CW68" s="250">
        <f t="shared" si="41"/>
        <v>367.1</v>
      </c>
      <c r="CX68" s="33">
        <v>9.35</v>
      </c>
      <c r="CY68" s="248">
        <v>6.42</v>
      </c>
    </row>
    <row r="69" spans="1:160">
      <c r="A69" s="39">
        <v>44606</v>
      </c>
      <c r="B69" s="34">
        <v>110</v>
      </c>
      <c r="AO69" s="108">
        <v>8.6999999999999993</v>
      </c>
      <c r="AP69" s="109">
        <v>3</v>
      </c>
      <c r="AQ69" s="109">
        <v>26.9</v>
      </c>
      <c r="AR69" s="110">
        <f t="shared" si="32"/>
        <v>365.65</v>
      </c>
      <c r="AT69" s="103">
        <v>9.49</v>
      </c>
      <c r="AU69" s="103">
        <v>3.5</v>
      </c>
      <c r="AV69" s="103">
        <v>26</v>
      </c>
      <c r="AW69" s="104">
        <f t="shared" si="28"/>
        <v>352.6</v>
      </c>
      <c r="AX69" s="91">
        <v>9.32</v>
      </c>
      <c r="AY69" s="91">
        <v>1</v>
      </c>
      <c r="AZ69" s="91">
        <v>26.3</v>
      </c>
      <c r="BA69" s="92">
        <f t="shared" si="29"/>
        <v>356.95000000000005</v>
      </c>
      <c r="BB69" s="95">
        <v>8.92</v>
      </c>
      <c r="BC69" s="95">
        <v>3.5</v>
      </c>
      <c r="BD69" s="95">
        <v>26</v>
      </c>
      <c r="BE69" s="96">
        <f t="shared" si="30"/>
        <v>352.6</v>
      </c>
      <c r="BF69" s="99">
        <v>9.2200000000000006</v>
      </c>
      <c r="BG69" s="99">
        <v>3</v>
      </c>
      <c r="BH69" s="99">
        <v>26.5</v>
      </c>
      <c r="BI69" s="100">
        <f t="shared" si="31"/>
        <v>359.85</v>
      </c>
      <c r="BJ69" s="119">
        <v>9.67</v>
      </c>
      <c r="BK69" s="120">
        <v>3</v>
      </c>
      <c r="BL69" s="120">
        <v>26</v>
      </c>
      <c r="BM69" s="121">
        <f t="shared" si="33"/>
        <v>352.6</v>
      </c>
      <c r="BN69" s="33">
        <v>7.46</v>
      </c>
      <c r="BO69" s="109">
        <v>8.76</v>
      </c>
      <c r="BP69" s="120">
        <v>6.44</v>
      </c>
      <c r="BQ69" s="244">
        <v>4.09</v>
      </c>
      <c r="BR69" s="103">
        <v>1</v>
      </c>
      <c r="BS69" s="103">
        <v>27.3</v>
      </c>
      <c r="BT69" s="104">
        <f t="shared" si="34"/>
        <v>371.45000000000005</v>
      </c>
      <c r="BU69" s="245" t="s">
        <v>182</v>
      </c>
      <c r="BV69" s="91">
        <v>3.5</v>
      </c>
      <c r="BW69" s="91">
        <v>27.5</v>
      </c>
      <c r="BX69" s="92">
        <f t="shared" si="35"/>
        <v>374.35</v>
      </c>
      <c r="BY69" s="246">
        <v>7.67</v>
      </c>
      <c r="BZ69" s="95">
        <v>3</v>
      </c>
      <c r="CA69" s="95">
        <v>27.8</v>
      </c>
      <c r="CB69" s="96">
        <f t="shared" si="36"/>
        <v>378.70000000000005</v>
      </c>
      <c r="CC69" s="247">
        <v>9.19</v>
      </c>
      <c r="CD69" s="242">
        <v>2.5</v>
      </c>
      <c r="CE69" s="242">
        <v>27</v>
      </c>
      <c r="CF69" s="243">
        <f t="shared" si="37"/>
        <v>367.1</v>
      </c>
      <c r="CG69" s="248">
        <v>3.63</v>
      </c>
      <c r="CH69" s="103">
        <v>10.42</v>
      </c>
      <c r="CI69" s="103">
        <v>3</v>
      </c>
      <c r="CJ69" s="103">
        <v>27.5</v>
      </c>
      <c r="CK69" s="104">
        <f t="shared" si="38"/>
        <v>374.35</v>
      </c>
      <c r="CL69" s="91">
        <v>10.28</v>
      </c>
      <c r="CM69" s="91">
        <v>3.5</v>
      </c>
      <c r="CN69" s="91">
        <v>27</v>
      </c>
      <c r="CO69" s="92">
        <f t="shared" si="39"/>
        <v>367.1</v>
      </c>
      <c r="CP69" s="95">
        <v>10.26</v>
      </c>
      <c r="CQ69" s="95">
        <v>3.5</v>
      </c>
      <c r="CR69" s="95">
        <v>27</v>
      </c>
      <c r="CS69" s="96">
        <f t="shared" si="40"/>
        <v>367.1</v>
      </c>
      <c r="CT69" s="249">
        <v>9.0299999999999994</v>
      </c>
      <c r="CU69" s="249">
        <v>1</v>
      </c>
      <c r="CV69" s="249">
        <v>26.5</v>
      </c>
      <c r="CW69" s="250">
        <f t="shared" si="41"/>
        <v>359.85</v>
      </c>
      <c r="CX69" s="33">
        <v>10.11</v>
      </c>
      <c r="CY69" s="248">
        <v>6.77</v>
      </c>
    </row>
    <row r="70" spans="1:160">
      <c r="A70" s="39">
        <v>44608</v>
      </c>
      <c r="B70" s="34">
        <v>110</v>
      </c>
      <c r="AO70" s="108">
        <v>8.51</v>
      </c>
      <c r="AP70" s="109">
        <v>3.5</v>
      </c>
      <c r="AQ70" s="109">
        <v>26.6</v>
      </c>
      <c r="AR70" s="110">
        <f t="shared" si="32"/>
        <v>361.30000000000007</v>
      </c>
      <c r="AT70" s="103">
        <v>9.5500000000000007</v>
      </c>
      <c r="AU70" s="103">
        <v>2.5</v>
      </c>
      <c r="AV70" s="103">
        <v>26</v>
      </c>
      <c r="AW70" s="104">
        <f t="shared" si="28"/>
        <v>352.6</v>
      </c>
      <c r="AX70" s="91">
        <v>9.3800000000000008</v>
      </c>
      <c r="AY70" s="91">
        <v>2</v>
      </c>
      <c r="AZ70" s="91">
        <v>26</v>
      </c>
      <c r="BA70" s="92">
        <f t="shared" si="29"/>
        <v>352.6</v>
      </c>
      <c r="BB70" s="95">
        <v>9.34</v>
      </c>
      <c r="BC70" s="95">
        <v>3.5</v>
      </c>
      <c r="BD70" s="95">
        <v>26</v>
      </c>
      <c r="BE70" s="96">
        <f t="shared" si="30"/>
        <v>352.6</v>
      </c>
      <c r="BF70" s="99">
        <v>9.25</v>
      </c>
      <c r="BG70" s="99">
        <v>3</v>
      </c>
      <c r="BH70" s="99">
        <v>26.9</v>
      </c>
      <c r="BI70" s="100">
        <f t="shared" si="31"/>
        <v>365.65</v>
      </c>
      <c r="BJ70" s="119">
        <v>10.08</v>
      </c>
      <c r="BK70" s="120">
        <v>2.5</v>
      </c>
      <c r="BL70" s="120">
        <v>26.2</v>
      </c>
      <c r="BM70" s="121">
        <f t="shared" si="33"/>
        <v>355.5</v>
      </c>
      <c r="BN70" s="33">
        <v>7.4</v>
      </c>
      <c r="BO70" s="109">
        <v>8.81</v>
      </c>
      <c r="BP70" s="120">
        <v>6.45</v>
      </c>
      <c r="BQ70" s="244">
        <v>4.3600000000000003</v>
      </c>
      <c r="BR70" s="103">
        <v>1</v>
      </c>
      <c r="BS70" s="103">
        <v>27.2</v>
      </c>
      <c r="BT70" s="104">
        <f t="shared" si="34"/>
        <v>370</v>
      </c>
      <c r="BU70" s="245">
        <v>8.5399999999999991</v>
      </c>
      <c r="BV70" s="91">
        <v>3</v>
      </c>
      <c r="BW70" s="91">
        <v>27.9</v>
      </c>
      <c r="BX70" s="92">
        <f t="shared" si="35"/>
        <v>380.15</v>
      </c>
      <c r="BY70" s="246">
        <v>8.2899999999999991</v>
      </c>
      <c r="BZ70" s="95">
        <v>2</v>
      </c>
      <c r="CA70" s="95">
        <v>27.6</v>
      </c>
      <c r="CB70" s="96">
        <f t="shared" si="36"/>
        <v>375.80000000000007</v>
      </c>
      <c r="CC70" s="247">
        <v>9.48</v>
      </c>
      <c r="CD70" s="242">
        <v>2.5</v>
      </c>
      <c r="CE70" s="242">
        <v>26.9</v>
      </c>
      <c r="CF70" s="243">
        <f t="shared" si="37"/>
        <v>365.65</v>
      </c>
      <c r="CG70" s="248">
        <v>3.84</v>
      </c>
      <c r="CH70" s="103">
        <v>9.9499999999999993</v>
      </c>
      <c r="CI70" s="103">
        <v>4</v>
      </c>
      <c r="CJ70" s="103">
        <v>26.4</v>
      </c>
      <c r="CK70" s="104">
        <f t="shared" si="38"/>
        <v>358.4</v>
      </c>
      <c r="CL70" s="91">
        <v>9.9600000000000009</v>
      </c>
      <c r="CM70" s="91">
        <v>3.5</v>
      </c>
      <c r="CN70" s="91">
        <v>27.1</v>
      </c>
      <c r="CO70" s="92">
        <f t="shared" si="39"/>
        <v>368.55000000000007</v>
      </c>
      <c r="CP70" s="95">
        <v>9.92</v>
      </c>
      <c r="CQ70" s="95">
        <v>3.5</v>
      </c>
      <c r="CR70" s="95">
        <v>26.7</v>
      </c>
      <c r="CS70" s="96">
        <f t="shared" si="40"/>
        <v>362.75</v>
      </c>
      <c r="CT70" s="249">
        <v>9.31</v>
      </c>
      <c r="CU70" s="249">
        <v>2</v>
      </c>
      <c r="CV70" s="249">
        <v>27</v>
      </c>
      <c r="CW70" s="250">
        <f t="shared" si="41"/>
        <v>367.1</v>
      </c>
      <c r="CX70" s="33">
        <v>10.01</v>
      </c>
      <c r="CY70" s="248">
        <v>6.71</v>
      </c>
    </row>
    <row r="71" spans="1:160">
      <c r="A71" s="277">
        <v>44610</v>
      </c>
      <c r="B71" s="34">
        <v>110</v>
      </c>
      <c r="AO71" s="108">
        <v>8.66</v>
      </c>
      <c r="AP71" s="109">
        <v>3.5</v>
      </c>
      <c r="AQ71" s="109">
        <v>27.3</v>
      </c>
      <c r="AR71" s="110">
        <f t="shared" si="32"/>
        <v>371.45000000000005</v>
      </c>
      <c r="AT71" s="103">
        <v>9.6</v>
      </c>
      <c r="AU71" s="103">
        <v>2.5</v>
      </c>
      <c r="AV71" s="103">
        <v>26</v>
      </c>
      <c r="AW71" s="104">
        <f t="shared" si="28"/>
        <v>352.6</v>
      </c>
      <c r="AX71" s="91">
        <v>9.3800000000000008</v>
      </c>
      <c r="AY71" s="91">
        <v>2</v>
      </c>
      <c r="AZ71" s="91">
        <v>26</v>
      </c>
      <c r="BA71" s="92">
        <f t="shared" si="29"/>
        <v>352.6</v>
      </c>
      <c r="BB71" s="95">
        <v>9.39</v>
      </c>
      <c r="BC71" s="95">
        <v>3</v>
      </c>
      <c r="BD71" s="95">
        <v>26.3</v>
      </c>
      <c r="BE71" s="96">
        <f t="shared" si="30"/>
        <v>356.95000000000005</v>
      </c>
      <c r="BF71" s="99">
        <v>9.41</v>
      </c>
      <c r="BG71" s="99">
        <v>3</v>
      </c>
      <c r="BH71" s="99">
        <v>27</v>
      </c>
      <c r="BI71" s="100">
        <f t="shared" si="31"/>
        <v>367.1</v>
      </c>
      <c r="BJ71" s="119">
        <v>10.16</v>
      </c>
      <c r="BK71" s="120">
        <v>2.5</v>
      </c>
      <c r="BL71" s="120">
        <v>26.8</v>
      </c>
      <c r="BM71" s="121">
        <f t="shared" si="33"/>
        <v>364.20000000000005</v>
      </c>
      <c r="BN71" s="33">
        <v>7.31</v>
      </c>
      <c r="BO71" s="109">
        <v>8.83</v>
      </c>
      <c r="BP71" s="120">
        <v>7.17</v>
      </c>
      <c r="BQ71" s="244">
        <v>4.4800000000000004</v>
      </c>
      <c r="BR71" s="103">
        <v>2.5</v>
      </c>
      <c r="BS71" s="103">
        <v>26.8</v>
      </c>
      <c r="BT71" s="104">
        <f t="shared" si="34"/>
        <v>364.20000000000005</v>
      </c>
      <c r="BU71" s="245">
        <v>8.32</v>
      </c>
      <c r="BV71" s="91">
        <v>3.5</v>
      </c>
      <c r="BW71" s="91">
        <v>28</v>
      </c>
      <c r="BX71" s="92">
        <f t="shared" si="35"/>
        <v>381.6</v>
      </c>
      <c r="BY71" s="246">
        <v>7.89</v>
      </c>
      <c r="BZ71" s="95">
        <v>1</v>
      </c>
      <c r="CA71" s="95">
        <v>27.4</v>
      </c>
      <c r="CB71" s="96">
        <f t="shared" si="36"/>
        <v>372.9</v>
      </c>
      <c r="CC71" s="247">
        <v>9.57</v>
      </c>
      <c r="CD71" s="242">
        <v>3</v>
      </c>
      <c r="CE71" s="242">
        <v>26.9</v>
      </c>
      <c r="CF71" s="243">
        <f t="shared" si="37"/>
        <v>365.65</v>
      </c>
      <c r="CG71" s="248">
        <v>3.94</v>
      </c>
      <c r="CH71" s="103">
        <v>9.02</v>
      </c>
      <c r="CI71" s="103">
        <v>1</v>
      </c>
      <c r="CJ71" s="103">
        <v>26.5</v>
      </c>
      <c r="CK71" s="104">
        <f t="shared" si="38"/>
        <v>359.85</v>
      </c>
      <c r="CL71" s="91">
        <v>10.039999999999999</v>
      </c>
      <c r="CM71" s="91">
        <v>3</v>
      </c>
      <c r="CN71" s="91">
        <v>27.5</v>
      </c>
      <c r="CO71" s="92">
        <f t="shared" si="39"/>
        <v>374.35</v>
      </c>
      <c r="CP71" s="95">
        <v>10.06</v>
      </c>
      <c r="CQ71" s="95">
        <v>4</v>
      </c>
      <c r="CR71" s="95">
        <v>26.9</v>
      </c>
      <c r="CS71" s="96">
        <f t="shared" si="40"/>
        <v>365.65</v>
      </c>
      <c r="CT71" s="249">
        <v>10</v>
      </c>
      <c r="CU71" s="249">
        <v>3.5</v>
      </c>
      <c r="CV71" s="249">
        <v>27.2</v>
      </c>
      <c r="CW71" s="250">
        <f t="shared" si="41"/>
        <v>370</v>
      </c>
      <c r="CX71" s="33">
        <v>10.029999999999999</v>
      </c>
      <c r="CY71" s="248">
        <v>6.44</v>
      </c>
    </row>
    <row r="72" spans="1:160">
      <c r="A72" s="277">
        <v>44613</v>
      </c>
      <c r="B72" s="34">
        <v>110</v>
      </c>
      <c r="AO72" s="108">
        <v>8.8000000000000007</v>
      </c>
      <c r="AP72" s="109">
        <v>3</v>
      </c>
      <c r="AQ72" s="109">
        <v>27.8</v>
      </c>
      <c r="AR72" s="110">
        <f t="shared" si="32"/>
        <v>378.70000000000005</v>
      </c>
      <c r="AT72" s="320" t="s">
        <v>996</v>
      </c>
      <c r="AU72" s="320" t="s">
        <v>996</v>
      </c>
      <c r="AV72" s="320" t="s">
        <v>996</v>
      </c>
      <c r="AW72" s="321" t="s">
        <v>996</v>
      </c>
      <c r="AX72" s="320" t="s">
        <v>996</v>
      </c>
      <c r="AY72" s="320" t="s">
        <v>996</v>
      </c>
      <c r="AZ72" s="320" t="s">
        <v>996</v>
      </c>
      <c r="BA72" s="321" t="s">
        <v>996</v>
      </c>
      <c r="BB72" s="320" t="s">
        <v>996</v>
      </c>
      <c r="BC72" s="320" t="s">
        <v>996</v>
      </c>
      <c r="BD72" s="320" t="s">
        <v>996</v>
      </c>
      <c r="BE72" s="321" t="s">
        <v>996</v>
      </c>
      <c r="BF72" s="320" t="s">
        <v>996</v>
      </c>
      <c r="BG72" s="320" t="s">
        <v>996</v>
      </c>
      <c r="BH72" s="320" t="s">
        <v>996</v>
      </c>
      <c r="BI72" s="321" t="s">
        <v>996</v>
      </c>
      <c r="BJ72" s="119">
        <v>10.199999999999999</v>
      </c>
      <c r="BK72" s="120">
        <v>3</v>
      </c>
      <c r="BL72" s="120">
        <v>27.4</v>
      </c>
      <c r="BM72" s="121">
        <f t="shared" si="33"/>
        <v>372.9</v>
      </c>
      <c r="BN72" s="321" t="s">
        <v>996</v>
      </c>
      <c r="BO72" s="109">
        <v>8.8699999999999992</v>
      </c>
      <c r="BP72" s="120">
        <v>6.93</v>
      </c>
      <c r="BQ72" s="244">
        <v>4.5999999999999996</v>
      </c>
      <c r="BR72" s="103">
        <v>2</v>
      </c>
      <c r="BS72" s="103">
        <v>27.1</v>
      </c>
      <c r="BT72" s="104">
        <f t="shared" si="34"/>
        <v>368.55000000000007</v>
      </c>
      <c r="BU72" s="245">
        <v>7.12</v>
      </c>
      <c r="BV72" s="91">
        <v>3.5</v>
      </c>
      <c r="BW72" s="91">
        <v>27.8</v>
      </c>
      <c r="BX72" s="92">
        <f t="shared" si="35"/>
        <v>378.70000000000005</v>
      </c>
      <c r="BY72" s="246">
        <v>8.2899999999999991</v>
      </c>
      <c r="BZ72" s="95">
        <v>3.5</v>
      </c>
      <c r="CA72" s="95">
        <v>28</v>
      </c>
      <c r="CB72" s="96">
        <f t="shared" si="36"/>
        <v>381.6</v>
      </c>
      <c r="CC72" s="247">
        <v>9.51</v>
      </c>
      <c r="CD72" s="242">
        <v>3</v>
      </c>
      <c r="CE72" s="242">
        <v>27.1</v>
      </c>
      <c r="CF72" s="243">
        <f t="shared" si="37"/>
        <v>368.55000000000007</v>
      </c>
      <c r="CG72" s="248">
        <v>4.2699999999999996</v>
      </c>
      <c r="CH72" s="103">
        <v>9.16</v>
      </c>
      <c r="CI72" s="103">
        <v>3</v>
      </c>
      <c r="CJ72" s="103">
        <v>27.8</v>
      </c>
      <c r="CK72" s="104">
        <f t="shared" si="38"/>
        <v>378.70000000000005</v>
      </c>
      <c r="CL72" s="91">
        <v>9.43</v>
      </c>
      <c r="CM72" s="91">
        <v>3</v>
      </c>
      <c r="CN72" s="91">
        <v>26.7</v>
      </c>
      <c r="CO72" s="92">
        <f t="shared" si="39"/>
        <v>362.75</v>
      </c>
      <c r="CP72" s="95">
        <v>9.42</v>
      </c>
      <c r="CQ72" s="95">
        <v>3</v>
      </c>
      <c r="CR72" s="95">
        <v>27.1</v>
      </c>
      <c r="CS72" s="96">
        <f t="shared" si="40"/>
        <v>368.55000000000007</v>
      </c>
      <c r="CT72" s="249">
        <v>9.61</v>
      </c>
      <c r="CU72" s="249">
        <v>3.5</v>
      </c>
      <c r="CV72" s="249">
        <v>27.3</v>
      </c>
      <c r="CW72" s="250">
        <f t="shared" si="41"/>
        <v>371.45000000000005</v>
      </c>
      <c r="CX72" s="33">
        <v>9.0299999999999994</v>
      </c>
      <c r="CY72" s="248">
        <v>6.35</v>
      </c>
    </row>
    <row r="73" spans="1:160">
      <c r="A73" s="277">
        <v>44615</v>
      </c>
      <c r="B73" s="34">
        <v>115</v>
      </c>
      <c r="AO73" s="108">
        <v>8.75</v>
      </c>
      <c r="AP73" s="109">
        <v>4</v>
      </c>
      <c r="AQ73" s="109">
        <v>27.5</v>
      </c>
      <c r="AR73" s="110">
        <f t="shared" si="32"/>
        <v>374.35</v>
      </c>
      <c r="BB73" s="95">
        <f>AVERAGE(BB28:BB71)</f>
        <v>9.4413953488372115</v>
      </c>
      <c r="BJ73" s="119">
        <v>10.35</v>
      </c>
      <c r="BK73" s="120">
        <v>3.5</v>
      </c>
      <c r="BL73" s="120">
        <v>27.5</v>
      </c>
      <c r="BM73" s="121">
        <f t="shared" si="33"/>
        <v>374.35</v>
      </c>
      <c r="BN73" s="33" t="s">
        <v>176</v>
      </c>
      <c r="BO73" s="109">
        <v>8.7799999999999994</v>
      </c>
      <c r="BP73" s="120">
        <v>7.29</v>
      </c>
      <c r="BQ73" s="244">
        <v>3.61</v>
      </c>
      <c r="BR73" s="103">
        <v>2.5</v>
      </c>
      <c r="BS73" s="103">
        <v>26.9</v>
      </c>
      <c r="BT73" s="104">
        <f t="shared" si="34"/>
        <v>365.65</v>
      </c>
      <c r="BU73" s="245">
        <v>6.87</v>
      </c>
      <c r="BV73" s="91">
        <v>3.5</v>
      </c>
      <c r="BW73" s="91">
        <v>28.3</v>
      </c>
      <c r="BX73" s="92">
        <f t="shared" si="35"/>
        <v>385.95000000000005</v>
      </c>
      <c r="BY73" s="246">
        <v>7.2</v>
      </c>
      <c r="BZ73" s="95">
        <v>4</v>
      </c>
      <c r="CA73" s="95">
        <v>28</v>
      </c>
      <c r="CB73" s="96">
        <f t="shared" si="36"/>
        <v>381.6</v>
      </c>
      <c r="CC73" s="247">
        <v>9.5399999999999991</v>
      </c>
      <c r="CD73" s="242">
        <v>2.5</v>
      </c>
      <c r="CE73" s="242">
        <v>26.8</v>
      </c>
      <c r="CF73" s="243">
        <f t="shared" si="37"/>
        <v>364.20000000000005</v>
      </c>
      <c r="CG73" s="248">
        <v>3.27</v>
      </c>
      <c r="CH73" s="103">
        <v>10.93</v>
      </c>
      <c r="CI73" s="103">
        <v>3</v>
      </c>
      <c r="CJ73" s="103">
        <v>27.1</v>
      </c>
      <c r="CK73" s="104">
        <f t="shared" si="38"/>
        <v>368.55000000000007</v>
      </c>
      <c r="CL73" s="91">
        <v>10.88</v>
      </c>
      <c r="CM73" s="91">
        <v>3.5</v>
      </c>
      <c r="CN73" s="91">
        <v>26.6</v>
      </c>
      <c r="CO73" s="92">
        <f t="shared" si="39"/>
        <v>361.30000000000007</v>
      </c>
      <c r="CP73" s="95">
        <v>10.88</v>
      </c>
      <c r="CQ73" s="95">
        <v>3.5</v>
      </c>
      <c r="CR73" s="95">
        <v>26.9</v>
      </c>
      <c r="CS73" s="96">
        <f t="shared" si="40"/>
        <v>365.65</v>
      </c>
      <c r="CT73" s="249">
        <v>9.67</v>
      </c>
      <c r="CU73" s="249">
        <v>2.5</v>
      </c>
      <c r="CV73" s="249">
        <v>26.8</v>
      </c>
      <c r="CW73" s="250">
        <f t="shared" si="41"/>
        <v>364.20000000000005</v>
      </c>
      <c r="CX73" s="33">
        <v>10.97</v>
      </c>
      <c r="CY73" s="248">
        <v>7.49</v>
      </c>
    </row>
    <row r="74" spans="1:160">
      <c r="A74" s="277">
        <v>44617</v>
      </c>
      <c r="B74" s="34">
        <v>115</v>
      </c>
      <c r="AO74" s="108">
        <v>8.91</v>
      </c>
      <c r="AP74" s="109">
        <v>3.5</v>
      </c>
      <c r="AQ74" s="109">
        <v>27.4</v>
      </c>
      <c r="AR74" s="110">
        <f t="shared" si="32"/>
        <v>372.9</v>
      </c>
      <c r="AT74" s="99">
        <f>STDEV(AT28:AT71)</f>
        <v>0.4053169261593072</v>
      </c>
      <c r="AX74" s="99">
        <f>STDEV(AX28:AX71)</f>
        <v>0.32659256962425864</v>
      </c>
      <c r="BB74" s="99">
        <f>STDEV(BB28:BB71)</f>
        <v>0.39273510638517589</v>
      </c>
      <c r="BF74" s="99">
        <f>STDEV(BF28:BF71)</f>
        <v>0.38397726261587423</v>
      </c>
      <c r="BJ74" s="119">
        <v>10.34</v>
      </c>
      <c r="BK74" s="120">
        <v>2.5</v>
      </c>
      <c r="BL74" s="120">
        <v>27.2</v>
      </c>
      <c r="BM74" s="121">
        <f t="shared" si="33"/>
        <v>370</v>
      </c>
      <c r="BN74" s="363" t="s">
        <v>943</v>
      </c>
      <c r="BO74" s="109">
        <v>8.92</v>
      </c>
      <c r="BP74" s="120">
        <v>7.14</v>
      </c>
      <c r="BQ74" s="244">
        <v>3.87</v>
      </c>
      <c r="BR74" s="103">
        <v>2.5</v>
      </c>
      <c r="BS74" s="103">
        <v>27</v>
      </c>
      <c r="BT74" s="104">
        <f t="shared" si="34"/>
        <v>367.1</v>
      </c>
      <c r="BU74" s="245">
        <v>6.99</v>
      </c>
      <c r="BV74" s="91">
        <v>3.5</v>
      </c>
      <c r="BW74" s="91">
        <v>27.9</v>
      </c>
      <c r="BX74" s="92">
        <f t="shared" si="35"/>
        <v>380.15</v>
      </c>
      <c r="BY74" s="246">
        <v>7.35</v>
      </c>
      <c r="BZ74" s="95">
        <v>4</v>
      </c>
      <c r="CA74" s="95">
        <v>28</v>
      </c>
      <c r="CB74" s="96">
        <f t="shared" si="36"/>
        <v>381.6</v>
      </c>
      <c r="CC74" s="247">
        <v>9.4700000000000006</v>
      </c>
      <c r="CD74" s="242">
        <v>3</v>
      </c>
      <c r="CE74" s="242">
        <v>26.7</v>
      </c>
      <c r="CF74" s="243">
        <f t="shared" si="37"/>
        <v>362.75</v>
      </c>
      <c r="CG74" s="248">
        <v>3.52</v>
      </c>
      <c r="CH74" s="103">
        <v>10.32</v>
      </c>
      <c r="CI74" s="103">
        <v>3</v>
      </c>
      <c r="CJ74" s="103">
        <v>27</v>
      </c>
      <c r="CK74" s="104">
        <f t="shared" si="38"/>
        <v>367.1</v>
      </c>
      <c r="CL74" s="91">
        <v>10.31</v>
      </c>
      <c r="CM74" s="91">
        <v>3</v>
      </c>
      <c r="CN74" s="91">
        <v>27</v>
      </c>
      <c r="CO74" s="92">
        <f t="shared" si="39"/>
        <v>367.1</v>
      </c>
      <c r="CP74" s="95">
        <v>10.37</v>
      </c>
      <c r="CQ74" s="95">
        <v>3</v>
      </c>
      <c r="CR74" s="95">
        <v>27</v>
      </c>
      <c r="CS74" s="96">
        <f t="shared" si="40"/>
        <v>367.1</v>
      </c>
      <c r="CT74" s="249">
        <v>9.69</v>
      </c>
      <c r="CU74" s="249">
        <v>2.5</v>
      </c>
      <c r="CV74" s="249">
        <v>26.8</v>
      </c>
      <c r="CW74" s="250">
        <f t="shared" si="41"/>
        <v>364.20000000000005</v>
      </c>
      <c r="CX74" s="33">
        <v>10.31</v>
      </c>
      <c r="CY74" s="248">
        <v>6.05</v>
      </c>
    </row>
    <row r="75" spans="1:160">
      <c r="A75" s="277">
        <v>44621</v>
      </c>
      <c r="B75" s="34">
        <v>116</v>
      </c>
      <c r="AO75" s="108">
        <v>8.8800000000000008</v>
      </c>
      <c r="AP75" s="109">
        <v>4</v>
      </c>
      <c r="AQ75" s="109">
        <v>27.6</v>
      </c>
      <c r="AR75" s="110">
        <f t="shared" si="32"/>
        <v>375.80000000000007</v>
      </c>
      <c r="BJ75" s="119">
        <v>10.130000000000001</v>
      </c>
      <c r="BK75" s="120">
        <v>3</v>
      </c>
      <c r="BL75" s="120">
        <v>26.9</v>
      </c>
      <c r="BM75" s="121">
        <f t="shared" si="33"/>
        <v>365.65</v>
      </c>
      <c r="BN75" s="33">
        <f>AVERAGE(BN28:BN71)</f>
        <v>7.3437209302325579</v>
      </c>
      <c r="BO75" s="109">
        <v>8.7100000000000009</v>
      </c>
      <c r="BP75" s="120">
        <v>6.46</v>
      </c>
      <c r="BQ75" s="244">
        <v>3.98</v>
      </c>
      <c r="BR75" s="103">
        <v>2</v>
      </c>
      <c r="BS75" s="103">
        <v>27.4</v>
      </c>
      <c r="BT75" s="104">
        <f t="shared" si="34"/>
        <v>372.9</v>
      </c>
      <c r="BU75" s="245">
        <v>7.73</v>
      </c>
      <c r="BV75" s="91">
        <v>3</v>
      </c>
      <c r="BW75" s="91">
        <v>28</v>
      </c>
      <c r="BX75" s="92">
        <f t="shared" si="35"/>
        <v>381.6</v>
      </c>
      <c r="BY75" s="246">
        <v>7.88</v>
      </c>
      <c r="BZ75" s="95">
        <v>3.5</v>
      </c>
      <c r="CA75" s="95">
        <v>28</v>
      </c>
      <c r="CB75" s="96">
        <f t="shared" si="36"/>
        <v>381.6</v>
      </c>
      <c r="CC75" s="247">
        <v>9.2799999999999994</v>
      </c>
      <c r="CD75" s="242">
        <v>3</v>
      </c>
      <c r="CE75" s="242">
        <v>26.8</v>
      </c>
      <c r="CF75" s="243">
        <f t="shared" si="37"/>
        <v>364.20000000000005</v>
      </c>
      <c r="CG75" s="248">
        <v>3.72</v>
      </c>
      <c r="CH75" s="103">
        <v>9.48</v>
      </c>
      <c r="CI75" s="103">
        <v>3.5</v>
      </c>
      <c r="CJ75" s="103">
        <v>27.5</v>
      </c>
      <c r="CK75" s="104">
        <f t="shared" si="38"/>
        <v>374.35</v>
      </c>
      <c r="CL75" s="91">
        <v>9.3699999999999992</v>
      </c>
      <c r="CM75" s="91">
        <v>4</v>
      </c>
      <c r="CN75" s="91">
        <v>26.4</v>
      </c>
      <c r="CO75" s="92">
        <f t="shared" si="39"/>
        <v>358.4</v>
      </c>
      <c r="CP75" s="95">
        <v>9.39</v>
      </c>
      <c r="CQ75" s="95">
        <v>3.5</v>
      </c>
      <c r="CR75" s="95">
        <v>27</v>
      </c>
      <c r="CS75" s="96">
        <f t="shared" si="40"/>
        <v>367.1</v>
      </c>
      <c r="CT75" s="249">
        <v>9.2100000000000009</v>
      </c>
      <c r="CU75" s="249">
        <v>2.5</v>
      </c>
      <c r="CV75" s="249">
        <v>26.8</v>
      </c>
      <c r="CW75" s="250">
        <f t="shared" si="41"/>
        <v>364.20000000000005</v>
      </c>
      <c r="CX75" s="33">
        <v>9.3699999999999992</v>
      </c>
      <c r="CY75" s="248">
        <v>6.44</v>
      </c>
    </row>
    <row r="76" spans="1:160">
      <c r="A76" s="39">
        <v>44636</v>
      </c>
      <c r="B76" s="34">
        <v>116</v>
      </c>
      <c r="AO76" s="108">
        <v>8.86</v>
      </c>
      <c r="AP76" s="109">
        <v>3</v>
      </c>
      <c r="AQ76" s="109">
        <v>26.8</v>
      </c>
      <c r="AR76" s="110">
        <f t="shared" si="32"/>
        <v>364.20000000000005</v>
      </c>
      <c r="BJ76" s="119">
        <v>9.94</v>
      </c>
      <c r="BK76" s="120">
        <v>2</v>
      </c>
      <c r="BL76" s="120">
        <v>26.6</v>
      </c>
      <c r="BM76" s="121">
        <f t="shared" si="33"/>
        <v>361.30000000000007</v>
      </c>
      <c r="BN76" s="33">
        <f>STDEV(BN28:BN71)</f>
        <v>0.34162791828463757</v>
      </c>
      <c r="BO76" s="109">
        <v>9.0399999999999991</v>
      </c>
      <c r="BP76" s="120">
        <v>6.63</v>
      </c>
      <c r="BQ76" s="244">
        <v>5.39</v>
      </c>
      <c r="BR76" s="103">
        <v>1</v>
      </c>
      <c r="BS76" s="103">
        <v>26.3</v>
      </c>
      <c r="BT76" s="104">
        <f t="shared" si="34"/>
        <v>356.95000000000005</v>
      </c>
      <c r="BU76" s="245">
        <v>7.39</v>
      </c>
      <c r="BV76" s="91">
        <v>3.5</v>
      </c>
      <c r="BW76" s="91">
        <v>27.3</v>
      </c>
      <c r="BX76" s="92">
        <f t="shared" si="35"/>
        <v>371.45000000000005</v>
      </c>
      <c r="BY76" s="246">
        <v>8.66</v>
      </c>
      <c r="BZ76" s="95">
        <v>3</v>
      </c>
      <c r="CA76" s="95">
        <v>27.6</v>
      </c>
      <c r="CB76" s="96">
        <f t="shared" si="36"/>
        <v>375.80000000000007</v>
      </c>
      <c r="CC76" s="247">
        <v>9.41</v>
      </c>
      <c r="CD76" s="242">
        <v>2.5</v>
      </c>
      <c r="CE76" s="242">
        <v>26.5</v>
      </c>
      <c r="CF76" s="243">
        <f t="shared" si="37"/>
        <v>359.85</v>
      </c>
      <c r="CG76" s="248">
        <v>5.28</v>
      </c>
      <c r="CH76" s="103">
        <v>10.039999999999999</v>
      </c>
      <c r="CI76" s="103">
        <v>2.5</v>
      </c>
      <c r="CJ76" s="103">
        <v>26.9</v>
      </c>
      <c r="CK76" s="104">
        <f t="shared" si="38"/>
        <v>365.65</v>
      </c>
      <c r="CL76" s="91">
        <v>10.43</v>
      </c>
      <c r="CM76" s="91">
        <v>3</v>
      </c>
      <c r="CN76" s="91">
        <v>26.2</v>
      </c>
      <c r="CO76" s="92">
        <f t="shared" si="39"/>
        <v>355.5</v>
      </c>
      <c r="CP76" s="95">
        <v>10.55</v>
      </c>
      <c r="CQ76" s="95">
        <v>3</v>
      </c>
      <c r="CR76" s="95">
        <v>26.7</v>
      </c>
      <c r="CS76" s="96">
        <f t="shared" si="40"/>
        <v>362.75</v>
      </c>
      <c r="CT76" s="249">
        <v>9.31</v>
      </c>
      <c r="CU76" s="249">
        <v>2</v>
      </c>
      <c r="CV76" s="249">
        <v>26.5</v>
      </c>
      <c r="CW76" s="250">
        <f t="shared" si="41"/>
        <v>359.85</v>
      </c>
      <c r="CX76" s="33">
        <v>9.15</v>
      </c>
      <c r="CY76" s="248">
        <v>6.71</v>
      </c>
      <c r="CZ76" s="103">
        <v>9.36</v>
      </c>
      <c r="DA76" s="103">
        <v>4</v>
      </c>
      <c r="DB76" s="103">
        <v>28.4</v>
      </c>
      <c r="DC76" s="104">
        <f t="shared" ref="DC76:DC87" si="42">((DB76-1.5)*14.5)-2.65</f>
        <v>387.4</v>
      </c>
      <c r="DD76" s="279">
        <v>9.73</v>
      </c>
      <c r="DE76" s="280">
        <v>3</v>
      </c>
      <c r="DF76" s="281">
        <v>27.5</v>
      </c>
      <c r="DG76" s="92">
        <f t="shared" ref="DG76:DG87" si="43">((DF76-1.5)*14.5)-2.65</f>
        <v>374.35</v>
      </c>
      <c r="DH76" s="284">
        <v>9.81</v>
      </c>
      <c r="DI76" s="284">
        <v>3.5</v>
      </c>
      <c r="DJ76" s="284">
        <v>27</v>
      </c>
      <c r="DK76" s="96">
        <f t="shared" ref="DK76:DK87" si="44">((DJ76-1.5)*14.5)-2.65</f>
        <v>367.1</v>
      </c>
      <c r="DL76" s="99">
        <v>9.93</v>
      </c>
      <c r="DM76" s="99" t="s">
        <v>182</v>
      </c>
      <c r="DN76" s="99">
        <v>27.2</v>
      </c>
      <c r="DO76" s="100">
        <f t="shared" ref="DO76:DO87" si="45">((DN76-1.5)*14.5)-2.65</f>
        <v>370</v>
      </c>
      <c r="DP76" s="282">
        <v>9.77</v>
      </c>
      <c r="DQ76" s="282" t="s">
        <v>182</v>
      </c>
      <c r="DR76" s="282">
        <v>27.8</v>
      </c>
      <c r="DS76" s="283">
        <f t="shared" ref="DS76:DS87" si="46">((DR76-1.5)*14.5)-2.65</f>
        <v>378.70000000000005</v>
      </c>
      <c r="DT76" s="33">
        <v>6.66</v>
      </c>
    </row>
    <row r="77" spans="1:160" ht="16" thickBot="1">
      <c r="A77" s="39">
        <v>44638</v>
      </c>
      <c r="B77" s="35" t="s">
        <v>1404</v>
      </c>
      <c r="AO77" s="108">
        <v>8.8510000000000009</v>
      </c>
      <c r="AP77" s="109">
        <v>3.5</v>
      </c>
      <c r="AQ77" s="109">
        <v>26.9</v>
      </c>
      <c r="AR77" s="110">
        <f t="shared" si="32"/>
        <v>365.65</v>
      </c>
      <c r="BJ77" s="119">
        <v>10.25</v>
      </c>
      <c r="BK77" s="120">
        <v>3</v>
      </c>
      <c r="BL77" s="120">
        <v>26.2</v>
      </c>
      <c r="BM77" s="121">
        <f t="shared" si="33"/>
        <v>355.5</v>
      </c>
      <c r="BO77" s="109">
        <v>8.9529999999999994</v>
      </c>
      <c r="BP77" s="120">
        <v>6.569</v>
      </c>
      <c r="BQ77" s="244">
        <v>5.9050000000000002</v>
      </c>
      <c r="BR77" s="103">
        <v>2.5</v>
      </c>
      <c r="BS77" s="103">
        <v>26.5</v>
      </c>
      <c r="BT77" s="104">
        <f t="shared" si="34"/>
        <v>359.85</v>
      </c>
      <c r="BU77" s="245">
        <v>8.9350000000000005</v>
      </c>
      <c r="BV77" s="91">
        <v>3.5</v>
      </c>
      <c r="BW77" s="91">
        <v>27.4</v>
      </c>
      <c r="BX77" s="92">
        <f t="shared" si="35"/>
        <v>372.9</v>
      </c>
      <c r="BY77" s="246">
        <v>9.0749999999999993</v>
      </c>
      <c r="BZ77" s="95">
        <v>3</v>
      </c>
      <c r="CA77" s="95">
        <v>27.6</v>
      </c>
      <c r="CB77" s="96">
        <f t="shared" si="36"/>
        <v>375.80000000000007</v>
      </c>
      <c r="CC77" s="247">
        <v>9.5760000000000005</v>
      </c>
      <c r="CD77" s="242">
        <v>3</v>
      </c>
      <c r="CE77" s="242">
        <v>26.6</v>
      </c>
      <c r="CF77" s="243">
        <f t="shared" si="37"/>
        <v>361.30000000000007</v>
      </c>
      <c r="CG77" s="248">
        <v>4.8120000000000003</v>
      </c>
      <c r="CH77" s="103">
        <v>9.952</v>
      </c>
      <c r="CI77" s="103">
        <v>3</v>
      </c>
      <c r="CJ77" s="103">
        <v>27.1</v>
      </c>
      <c r="CK77" s="104">
        <f t="shared" si="38"/>
        <v>368.55000000000007</v>
      </c>
      <c r="CL77" s="91">
        <v>9.9529999999999994</v>
      </c>
      <c r="CM77" s="91">
        <v>3</v>
      </c>
      <c r="CN77" s="91">
        <v>26.2</v>
      </c>
      <c r="CO77" s="92">
        <f t="shared" si="39"/>
        <v>355.5</v>
      </c>
      <c r="CP77" s="95">
        <v>9.8680000000000003</v>
      </c>
      <c r="CQ77" s="95">
        <v>3.5</v>
      </c>
      <c r="CR77" s="95">
        <v>26.7</v>
      </c>
      <c r="CS77" s="96">
        <f t="shared" si="40"/>
        <v>362.75</v>
      </c>
      <c r="CT77" s="249">
        <v>9.6720000000000006</v>
      </c>
      <c r="CU77" s="249">
        <v>2.5</v>
      </c>
      <c r="CV77" s="249">
        <v>27.5</v>
      </c>
      <c r="CW77" s="250">
        <f t="shared" si="41"/>
        <v>374.35</v>
      </c>
      <c r="CX77" s="33">
        <v>9.8800000000000008</v>
      </c>
      <c r="CY77" s="248">
        <v>6.8849999999999998</v>
      </c>
      <c r="CZ77" s="103">
        <v>9.0169999999999995</v>
      </c>
      <c r="DA77" s="103">
        <v>3</v>
      </c>
      <c r="DB77" s="103">
        <v>28.4</v>
      </c>
      <c r="DC77" s="104">
        <f t="shared" si="42"/>
        <v>387.4</v>
      </c>
      <c r="DD77" s="279">
        <v>9.6150000000000002</v>
      </c>
      <c r="DE77" s="280">
        <v>3</v>
      </c>
      <c r="DF77" s="281">
        <v>27</v>
      </c>
      <c r="DG77" s="92">
        <f t="shared" si="43"/>
        <v>367.1</v>
      </c>
      <c r="DH77" s="284">
        <v>9.83</v>
      </c>
      <c r="DI77" s="284">
        <v>3.5</v>
      </c>
      <c r="DJ77" s="284">
        <v>27.4</v>
      </c>
      <c r="DK77" s="96">
        <f t="shared" si="44"/>
        <v>372.9</v>
      </c>
      <c r="DL77" s="288">
        <v>9.6199999999999992</v>
      </c>
      <c r="DM77" s="288">
        <v>2</v>
      </c>
      <c r="DN77" s="288">
        <v>27.4</v>
      </c>
      <c r="DO77" s="100">
        <f t="shared" si="45"/>
        <v>372.9</v>
      </c>
      <c r="DP77" s="282">
        <v>9.56</v>
      </c>
      <c r="DQ77" s="282">
        <v>3.5</v>
      </c>
      <c r="DR77" s="282">
        <v>28.1</v>
      </c>
      <c r="DS77" s="283">
        <f t="shared" si="46"/>
        <v>383.05000000000007</v>
      </c>
      <c r="DT77" s="33">
        <v>6.77</v>
      </c>
      <c r="DU77" s="103">
        <v>5.7750000000000004</v>
      </c>
      <c r="DV77" s="103" t="s">
        <v>182</v>
      </c>
      <c r="DW77" s="103" t="s">
        <v>182</v>
      </c>
      <c r="DX77" s="104" t="s">
        <v>182</v>
      </c>
      <c r="DY77" s="91">
        <v>8.8119999999999994</v>
      </c>
      <c r="DZ77" s="91" t="s">
        <v>182</v>
      </c>
      <c r="EA77" s="91" t="s">
        <v>182</v>
      </c>
      <c r="EB77" s="92" t="s">
        <v>182</v>
      </c>
      <c r="EC77" s="95">
        <v>9.1980000000000004</v>
      </c>
      <c r="ED77" s="95" t="s">
        <v>182</v>
      </c>
      <c r="EE77" s="95" t="s">
        <v>182</v>
      </c>
      <c r="EF77" s="96" t="s">
        <v>182</v>
      </c>
      <c r="EG77" s="326">
        <v>9.6880000000000006</v>
      </c>
      <c r="EH77" s="326" t="s">
        <v>182</v>
      </c>
      <c r="EI77" s="326" t="s">
        <v>182</v>
      </c>
      <c r="EJ77" s="327" t="s">
        <v>182</v>
      </c>
      <c r="EK77" s="329">
        <v>6.3739999999999997</v>
      </c>
      <c r="EL77" s="103">
        <v>8.8949999999999996</v>
      </c>
      <c r="EM77" s="103" t="s">
        <v>182</v>
      </c>
      <c r="EN77" s="103" t="s">
        <v>182</v>
      </c>
      <c r="EO77" s="104" t="s">
        <v>182</v>
      </c>
      <c r="EP77" s="91">
        <v>9.1989999999999998</v>
      </c>
      <c r="EQ77" s="91" t="s">
        <v>182</v>
      </c>
      <c r="ER77" s="91" t="s">
        <v>182</v>
      </c>
      <c r="ES77" s="92" t="s">
        <v>182</v>
      </c>
      <c r="ET77" s="95">
        <v>9.0340000000000007</v>
      </c>
      <c r="EU77" s="95" t="s">
        <v>182</v>
      </c>
      <c r="EV77" s="95" t="s">
        <v>182</v>
      </c>
      <c r="EW77" s="96" t="s">
        <v>182</v>
      </c>
      <c r="EX77" s="324">
        <v>8.93</v>
      </c>
      <c r="EY77" s="324" t="s">
        <v>182</v>
      </c>
      <c r="EZ77" s="324" t="s">
        <v>182</v>
      </c>
      <c r="FA77" s="325" t="s">
        <v>182</v>
      </c>
      <c r="FB77" s="33">
        <v>8.3819999999999997</v>
      </c>
      <c r="FC77" s="330">
        <v>6.048</v>
      </c>
      <c r="FD77" s="324">
        <v>8.6579999999999995</v>
      </c>
    </row>
    <row r="78" spans="1:160" ht="16" thickTop="1">
      <c r="A78" s="39">
        <v>44641</v>
      </c>
      <c r="B78" s="34">
        <v>128</v>
      </c>
      <c r="C78" s="569" t="s">
        <v>1305</v>
      </c>
      <c r="D78" s="569" t="s">
        <v>86</v>
      </c>
      <c r="E78" s="569" t="s">
        <v>161</v>
      </c>
      <c r="F78" s="569" t="s">
        <v>1306</v>
      </c>
      <c r="G78" s="569" t="s">
        <v>1307</v>
      </c>
      <c r="H78" s="569" t="s">
        <v>1308</v>
      </c>
      <c r="I78" s="569" t="s">
        <v>1309</v>
      </c>
      <c r="J78" s="570" t="s">
        <v>1442</v>
      </c>
      <c r="L78" s="95" t="s">
        <v>1771</v>
      </c>
      <c r="AO78" s="322"/>
      <c r="AP78" s="320"/>
      <c r="AQ78" s="320"/>
      <c r="AR78" s="321"/>
      <c r="BJ78" s="322"/>
      <c r="BK78" s="320"/>
      <c r="BL78" s="320"/>
      <c r="BM78" s="321"/>
      <c r="BO78" s="320"/>
      <c r="BP78" s="320"/>
      <c r="BQ78" s="322"/>
      <c r="BR78" s="320"/>
      <c r="BS78" s="320"/>
      <c r="BT78" s="321">
        <f t="shared" si="34"/>
        <v>-24.4</v>
      </c>
      <c r="BU78" s="322"/>
      <c r="BV78" s="320"/>
      <c r="BW78" s="320"/>
      <c r="BX78" s="320"/>
      <c r="BY78" s="322"/>
      <c r="BZ78" s="320"/>
      <c r="CA78" s="320"/>
      <c r="CB78" s="320"/>
      <c r="CC78" s="322"/>
      <c r="CD78" s="320"/>
      <c r="CE78" s="320"/>
      <c r="CF78" s="320"/>
      <c r="CG78" s="323"/>
      <c r="CH78" s="320"/>
      <c r="CI78" s="320"/>
      <c r="CJ78" s="320"/>
      <c r="CK78" s="321"/>
      <c r="CL78" s="320"/>
      <c r="CM78" s="320"/>
      <c r="CN78" s="320"/>
      <c r="CO78" s="321">
        <f t="shared" si="39"/>
        <v>-24.4</v>
      </c>
      <c r="CP78" s="320"/>
      <c r="CQ78" s="320"/>
      <c r="CR78" s="320"/>
      <c r="CS78" s="321">
        <f t="shared" si="40"/>
        <v>-24.4</v>
      </c>
      <c r="CT78" s="320"/>
      <c r="CU78" s="320"/>
      <c r="CV78" s="320"/>
      <c r="CW78" s="321">
        <f t="shared" si="41"/>
        <v>-24.4</v>
      </c>
      <c r="CX78" s="321"/>
      <c r="CZ78" s="103">
        <v>8.61</v>
      </c>
      <c r="DA78" s="103">
        <v>3</v>
      </c>
      <c r="DB78" s="103">
        <v>28.4</v>
      </c>
      <c r="DC78" s="104">
        <f t="shared" si="42"/>
        <v>387.4</v>
      </c>
      <c r="DD78" s="279">
        <v>9.5399999999999991</v>
      </c>
      <c r="DE78" s="280">
        <v>3</v>
      </c>
      <c r="DF78" s="281">
        <v>27.2</v>
      </c>
      <c r="DG78" s="92">
        <f t="shared" si="43"/>
        <v>370</v>
      </c>
      <c r="DH78" s="284">
        <v>9.6300000000000008</v>
      </c>
      <c r="DI78" s="284">
        <v>3.5</v>
      </c>
      <c r="DJ78" s="284">
        <v>27.4</v>
      </c>
      <c r="DK78" s="96">
        <f t="shared" si="44"/>
        <v>372.9</v>
      </c>
      <c r="DL78" s="288">
        <v>9.66</v>
      </c>
      <c r="DM78" s="288">
        <v>2.5</v>
      </c>
      <c r="DN78" s="288">
        <v>7.1</v>
      </c>
      <c r="DO78" s="100">
        <f t="shared" si="45"/>
        <v>78.549999999999983</v>
      </c>
      <c r="DP78" s="282">
        <v>9.58</v>
      </c>
      <c r="DQ78" s="282">
        <v>3.3</v>
      </c>
      <c r="DR78" s="282">
        <v>27.6</v>
      </c>
      <c r="DS78" s="283">
        <f t="shared" si="46"/>
        <v>375.80000000000007</v>
      </c>
      <c r="DT78" s="33">
        <v>6.66</v>
      </c>
      <c r="DU78" s="103">
        <v>7.1870000000000003</v>
      </c>
      <c r="DV78" s="103">
        <v>3</v>
      </c>
      <c r="DW78" s="103">
        <v>26.3</v>
      </c>
      <c r="DX78" s="104">
        <f t="shared" ref="DX78:DX87" si="47">((DW78-1.5)*14.5)-2.65</f>
        <v>356.95000000000005</v>
      </c>
      <c r="DY78" s="91">
        <v>9.1999999999999993</v>
      </c>
      <c r="DZ78" s="91">
        <v>3.5</v>
      </c>
      <c r="EA78" s="91">
        <v>27.5</v>
      </c>
      <c r="EB78" s="104">
        <f t="shared" ref="EB78:EB87" si="48">((EA78-1.5)*14.5)-2.65</f>
        <v>374.35</v>
      </c>
      <c r="EC78" s="95">
        <v>9.2010000000000005</v>
      </c>
      <c r="ED78" s="95">
        <v>3</v>
      </c>
      <c r="EE78" s="95">
        <v>27.6</v>
      </c>
      <c r="EF78" s="104">
        <f t="shared" ref="EF78:EF87" si="49">((EE78-1.5)*14.5)-2.65</f>
        <v>375.80000000000007</v>
      </c>
      <c r="EG78" s="326">
        <v>9.73</v>
      </c>
      <c r="EH78" s="326">
        <v>3</v>
      </c>
      <c r="EI78" s="326">
        <v>26.1</v>
      </c>
      <c r="EJ78" s="104">
        <f t="shared" ref="EJ78:EJ87" si="50">((EI78-1.5)*14.5)-2.65</f>
        <v>354.05000000000007</v>
      </c>
      <c r="EK78" s="329">
        <v>7.2460000000000004</v>
      </c>
      <c r="EL78" s="103">
        <v>8.8439999999999994</v>
      </c>
      <c r="EM78" s="103">
        <v>3.5</v>
      </c>
      <c r="EN78" s="103">
        <v>27.3</v>
      </c>
      <c r="EO78" s="104">
        <f t="shared" ref="EO78:EO87" si="51">((EN78-1.5)*14.5)-2.65</f>
        <v>371.45000000000005</v>
      </c>
      <c r="EP78" s="91">
        <v>8.7100000000000009</v>
      </c>
      <c r="EQ78" s="91">
        <v>3</v>
      </c>
      <c r="ER78" s="91">
        <v>26.2</v>
      </c>
      <c r="ES78" s="104">
        <f t="shared" ref="ES78:ES87" si="52">((ER78-1.5)*14.5)-2.65</f>
        <v>355.5</v>
      </c>
      <c r="ET78" s="95">
        <v>8.76</v>
      </c>
      <c r="EU78" s="95">
        <v>3</v>
      </c>
      <c r="EV78" s="95">
        <v>26.8</v>
      </c>
      <c r="EW78" s="104">
        <f t="shared" ref="EW78:EW87" si="53">((EV78-1.5)*14.5)-2.65</f>
        <v>364.20000000000005</v>
      </c>
      <c r="EX78" s="324">
        <v>9.4600000000000009</v>
      </c>
      <c r="EY78" s="324">
        <v>3.5</v>
      </c>
      <c r="EZ78" s="324">
        <v>26.1</v>
      </c>
      <c r="FA78" s="104">
        <f t="shared" ref="FA78:FA87" si="54">((EZ78-1.5)*14.5)-2.65</f>
        <v>354.05000000000007</v>
      </c>
      <c r="FB78" s="33">
        <v>8.68</v>
      </c>
      <c r="FC78" s="330">
        <v>6.57</v>
      </c>
      <c r="FD78" s="324">
        <v>9.56</v>
      </c>
    </row>
    <row r="79" spans="1:160">
      <c r="A79" s="39">
        <v>44644</v>
      </c>
      <c r="B79" s="34">
        <v>129</v>
      </c>
      <c r="C79" s="571">
        <v>10</v>
      </c>
      <c r="D79" s="659">
        <f>AVERAGE(C3:C59)</f>
        <v>9.7109259259259275</v>
      </c>
      <c r="E79" s="290">
        <f>AVERAGE(D3:D59)</f>
        <v>3.1452830188679242</v>
      </c>
      <c r="F79" s="290">
        <f>AVERAGE(F3:F59)</f>
        <v>370.55100000000004</v>
      </c>
      <c r="G79" s="290">
        <v>750.04</v>
      </c>
      <c r="H79" s="290">
        <f>G79/F79</f>
        <v>2.0241208362681515</v>
      </c>
      <c r="I79" s="290">
        <f>1-(H79/2.65)</f>
        <v>0.23618081650258427</v>
      </c>
      <c r="J79" s="366">
        <v>7.12</v>
      </c>
      <c r="K79" s="591">
        <v>10</v>
      </c>
      <c r="L79" s="590">
        <f>D79-J79</f>
        <v>2.5909259259259274</v>
      </c>
      <c r="AO79" s="108">
        <f>AVERAGE(AO46:AO77)</f>
        <v>8.7347187500000008</v>
      </c>
      <c r="BO79" s="109" t="s">
        <v>1439</v>
      </c>
      <c r="BP79" s="120" t="s">
        <v>1440</v>
      </c>
      <c r="CG79" s="248" t="s">
        <v>1335</v>
      </c>
      <c r="CX79" s="33" t="s">
        <v>1334</v>
      </c>
      <c r="CY79" s="248" t="s">
        <v>1441</v>
      </c>
      <c r="CZ79" s="103">
        <v>8.56</v>
      </c>
      <c r="DA79" s="103">
        <v>3.5</v>
      </c>
      <c r="DB79" s="103">
        <v>28.5</v>
      </c>
      <c r="DC79" s="104">
        <f t="shared" si="42"/>
        <v>388.85</v>
      </c>
      <c r="DD79" s="279">
        <v>9.66</v>
      </c>
      <c r="DE79" s="280">
        <v>3</v>
      </c>
      <c r="DF79" s="281">
        <v>26.9</v>
      </c>
      <c r="DG79" s="92">
        <f t="shared" si="43"/>
        <v>365.65</v>
      </c>
      <c r="DH79" s="284">
        <v>9.64</v>
      </c>
      <c r="DI79" s="284">
        <v>3.5</v>
      </c>
      <c r="DJ79" s="284">
        <v>27.3</v>
      </c>
      <c r="DK79" s="96">
        <f t="shared" si="44"/>
        <v>371.45000000000005</v>
      </c>
      <c r="DL79" s="288">
        <v>9.6199999999999992</v>
      </c>
      <c r="DM79" s="288">
        <v>3</v>
      </c>
      <c r="DN79" s="288">
        <v>27.1</v>
      </c>
      <c r="DO79" s="100">
        <f t="shared" si="45"/>
        <v>368.55000000000007</v>
      </c>
      <c r="DP79" s="282">
        <v>9.7899999999999991</v>
      </c>
      <c r="DQ79" s="282">
        <v>3.5</v>
      </c>
      <c r="DR79" s="282">
        <v>27.2</v>
      </c>
      <c r="DS79" s="283">
        <f t="shared" si="46"/>
        <v>370</v>
      </c>
      <c r="DT79" s="33">
        <v>6.68</v>
      </c>
      <c r="DU79" s="103">
        <v>7.02</v>
      </c>
      <c r="DV79" s="103">
        <v>2.75</v>
      </c>
      <c r="DW79" s="103">
        <v>26.3</v>
      </c>
      <c r="DX79" s="104">
        <f t="shared" si="47"/>
        <v>356.95000000000005</v>
      </c>
      <c r="DY79" s="91">
        <v>8.73</v>
      </c>
      <c r="DZ79" s="91">
        <v>3</v>
      </c>
      <c r="EA79" s="91">
        <v>27.5</v>
      </c>
      <c r="EB79" s="104">
        <f t="shared" si="48"/>
        <v>374.35</v>
      </c>
      <c r="EC79" s="95">
        <v>8.93</v>
      </c>
      <c r="ED79" s="95">
        <v>3</v>
      </c>
      <c r="EE79" s="95">
        <v>27.6</v>
      </c>
      <c r="EF79" s="104">
        <f t="shared" si="49"/>
        <v>375.80000000000007</v>
      </c>
      <c r="EG79" s="326">
        <v>9.58</v>
      </c>
      <c r="EH79" s="326">
        <v>2.5</v>
      </c>
      <c r="EI79" s="326">
        <v>26.5</v>
      </c>
      <c r="EJ79" s="104">
        <f t="shared" si="50"/>
        <v>359.85</v>
      </c>
      <c r="EK79" s="329">
        <v>7.1</v>
      </c>
      <c r="EL79" s="103">
        <v>8.8000000000000007</v>
      </c>
      <c r="EM79" s="103">
        <v>3</v>
      </c>
      <c r="EN79" s="103">
        <v>27.3</v>
      </c>
      <c r="EO79" s="104">
        <f t="shared" si="51"/>
        <v>371.45000000000005</v>
      </c>
      <c r="EP79" s="91">
        <v>8.6999999999999993</v>
      </c>
      <c r="EQ79" s="91">
        <v>3</v>
      </c>
      <c r="ER79" s="91">
        <v>26.2</v>
      </c>
      <c r="ES79" s="104">
        <f t="shared" si="52"/>
        <v>355.5</v>
      </c>
      <c r="ET79" s="95">
        <v>8.67</v>
      </c>
      <c r="EU79" s="95">
        <v>3</v>
      </c>
      <c r="EV79" s="95">
        <v>26.8</v>
      </c>
      <c r="EW79" s="104">
        <f t="shared" si="53"/>
        <v>364.20000000000005</v>
      </c>
      <c r="EX79" s="324">
        <v>9.91</v>
      </c>
      <c r="EY79" s="324">
        <v>3.5</v>
      </c>
      <c r="EZ79" s="324">
        <v>26.6</v>
      </c>
      <c r="FA79" s="104">
        <f t="shared" si="54"/>
        <v>361.30000000000007</v>
      </c>
      <c r="FB79" s="33">
        <v>8.7899999999999991</v>
      </c>
      <c r="FC79" s="330">
        <v>7.35</v>
      </c>
      <c r="FD79" s="324">
        <v>10.09</v>
      </c>
    </row>
    <row r="80" spans="1:160">
      <c r="A80" s="39">
        <v>44648</v>
      </c>
      <c r="B80" s="34">
        <v>129</v>
      </c>
      <c r="C80" s="571" t="s">
        <v>163</v>
      </c>
      <c r="D80" s="659">
        <f>AVERAGE(G3:G59)</f>
        <v>9.5061481481481476</v>
      </c>
      <c r="E80" s="290">
        <f>AVERAGE(H3:H59)</f>
        <v>2.6547169811320752</v>
      </c>
      <c r="F80" s="290">
        <f>AVERAGE(J3:J59)</f>
        <v>359.37596153846164</v>
      </c>
      <c r="G80" s="290">
        <v>761.15</v>
      </c>
      <c r="H80" s="290">
        <f t="shared" ref="H80:H106" si="55">G80/F80</f>
        <v>2.1179769418677132</v>
      </c>
      <c r="I80" s="290">
        <f t="shared" ref="I80:I106" si="56">1-(H80/2.65)</f>
        <v>0.20076341816312704</v>
      </c>
      <c r="J80" s="366">
        <v>7.27</v>
      </c>
      <c r="K80" s="591" t="s">
        <v>163</v>
      </c>
      <c r="L80" s="590">
        <f t="shared" ref="L80:L134" si="57">D80-J80</f>
        <v>2.236148148148148</v>
      </c>
      <c r="AO80" s="108">
        <f>STDEV(AO46:AO77)</f>
        <v>0.10500821300444607</v>
      </c>
      <c r="BJ80" s="119">
        <f>STDEV(BJ46:BJ77)</f>
        <v>0.27888296047833633</v>
      </c>
      <c r="BN80" s="363" t="s">
        <v>943</v>
      </c>
      <c r="BO80" s="109">
        <f>AVERAGE(BO49:BO77)</f>
        <v>8.757689655172415</v>
      </c>
      <c r="BP80" s="120">
        <f>AVERAGE(BP49:BP77)</f>
        <v>6.8927241379310331</v>
      </c>
      <c r="CG80" s="364" t="s">
        <v>943</v>
      </c>
      <c r="CW80" s="365" t="s">
        <v>943</v>
      </c>
      <c r="CX80" s="33">
        <f>AVERAGE(CX65:CX77)</f>
        <v>9.819230769230769</v>
      </c>
      <c r="CY80" s="248">
        <f>AVERAGE(CY65:CY77)</f>
        <v>6.6142307692307689</v>
      </c>
      <c r="CZ80" s="103">
        <v>8.3800000000000008</v>
      </c>
      <c r="DA80" s="103">
        <v>3.75</v>
      </c>
      <c r="DB80" s="103">
        <v>28.5</v>
      </c>
      <c r="DC80" s="104">
        <f t="shared" si="42"/>
        <v>388.85</v>
      </c>
      <c r="DD80" s="279">
        <v>9.49</v>
      </c>
      <c r="DE80" s="280">
        <v>3</v>
      </c>
      <c r="DF80" s="281">
        <v>26.9</v>
      </c>
      <c r="DG80" s="92">
        <f t="shared" si="43"/>
        <v>365.65</v>
      </c>
      <c r="DH80" s="284">
        <v>9.64</v>
      </c>
      <c r="DI80" s="284">
        <v>3.5</v>
      </c>
      <c r="DJ80" s="284">
        <v>27.9</v>
      </c>
      <c r="DK80" s="96">
        <f t="shared" si="44"/>
        <v>380.15</v>
      </c>
      <c r="DL80" s="288">
        <v>9.59</v>
      </c>
      <c r="DM80" s="288">
        <v>3</v>
      </c>
      <c r="DN80" s="288">
        <v>27</v>
      </c>
      <c r="DO80" s="100">
        <f t="shared" si="45"/>
        <v>367.1</v>
      </c>
      <c r="DP80" s="282">
        <v>9.7200000000000006</v>
      </c>
      <c r="DQ80" s="282">
        <v>3.5</v>
      </c>
      <c r="DR80" s="282">
        <v>27.6</v>
      </c>
      <c r="DS80" s="283">
        <f t="shared" si="46"/>
        <v>375.80000000000007</v>
      </c>
      <c r="DT80" s="33">
        <v>6.46</v>
      </c>
      <c r="DU80" s="103">
        <v>7.93</v>
      </c>
      <c r="DV80" s="103">
        <v>3</v>
      </c>
      <c r="DW80" s="103">
        <v>26.3</v>
      </c>
      <c r="DX80" s="104">
        <f t="shared" si="47"/>
        <v>356.95000000000005</v>
      </c>
      <c r="DY80" s="91">
        <v>8.34</v>
      </c>
      <c r="DZ80" s="91">
        <v>3</v>
      </c>
      <c r="EA80" s="91">
        <v>28</v>
      </c>
      <c r="EB80" s="104">
        <f t="shared" si="48"/>
        <v>381.6</v>
      </c>
      <c r="EC80" s="95">
        <v>8.48</v>
      </c>
      <c r="ED80" s="95">
        <v>3.5</v>
      </c>
      <c r="EE80" s="95">
        <v>27.9</v>
      </c>
      <c r="EF80" s="104">
        <f t="shared" si="49"/>
        <v>380.15</v>
      </c>
      <c r="EG80" s="326">
        <v>9.43</v>
      </c>
      <c r="EH80" s="326">
        <v>3.5</v>
      </c>
      <c r="EI80" s="326">
        <v>26.4</v>
      </c>
      <c r="EJ80" s="104">
        <f t="shared" si="50"/>
        <v>358.4</v>
      </c>
      <c r="EK80" s="329">
        <v>7.97</v>
      </c>
      <c r="EL80" s="103">
        <v>8.7799999999999994</v>
      </c>
      <c r="EM80" s="103">
        <v>2.5</v>
      </c>
      <c r="EN80" s="103">
        <v>26.3</v>
      </c>
      <c r="EO80" s="104">
        <f t="shared" si="51"/>
        <v>356.95000000000005</v>
      </c>
      <c r="EP80" s="91">
        <v>8.61</v>
      </c>
      <c r="EQ80" s="91">
        <v>3</v>
      </c>
      <c r="ER80" s="91">
        <v>26.2</v>
      </c>
      <c r="ES80" s="104">
        <f t="shared" si="52"/>
        <v>355.5</v>
      </c>
      <c r="ET80" s="95">
        <v>8.57</v>
      </c>
      <c r="EU80" s="95">
        <v>2.75</v>
      </c>
      <c r="EV80" s="95">
        <v>26.5</v>
      </c>
      <c r="EW80" s="104">
        <f t="shared" si="53"/>
        <v>359.85</v>
      </c>
      <c r="EX80" s="324">
        <v>9.3000000000000007</v>
      </c>
      <c r="EY80" s="324">
        <v>2.5</v>
      </c>
      <c r="EZ80" s="324">
        <v>26.7</v>
      </c>
      <c r="FA80" s="104">
        <f t="shared" si="54"/>
        <v>362.75</v>
      </c>
      <c r="FB80" s="33">
        <v>8.7100000000000009</v>
      </c>
      <c r="FC80" s="330">
        <v>7.67</v>
      </c>
      <c r="FD80" s="324">
        <v>9.51</v>
      </c>
    </row>
    <row r="81" spans="1:246">
      <c r="A81" s="39">
        <v>44650</v>
      </c>
      <c r="B81" s="34">
        <v>131</v>
      </c>
      <c r="C81" s="571" t="s">
        <v>164</v>
      </c>
      <c r="D81" s="659">
        <f>AVERAGE(K3:K59)</f>
        <v>9.4517777777777798</v>
      </c>
      <c r="E81" s="290">
        <f>AVERAGE(L3:L59)</f>
        <v>2.560754716981132</v>
      </c>
      <c r="F81" s="290">
        <f>AVERAGE(N3:N59)</f>
        <v>371.30499999999995</v>
      </c>
      <c r="G81" s="290">
        <v>778.39</v>
      </c>
      <c r="H81" s="290">
        <f t="shared" si="55"/>
        <v>2.0963628284025266</v>
      </c>
      <c r="I81" s="290">
        <f t="shared" si="56"/>
        <v>0.20891968739527289</v>
      </c>
      <c r="J81" s="366">
        <v>7.27</v>
      </c>
      <c r="K81" s="591" t="s">
        <v>164</v>
      </c>
      <c r="L81" s="590">
        <f t="shared" si="57"/>
        <v>2.1817777777777803</v>
      </c>
      <c r="BO81" s="109">
        <f>STDEV(BO49:BO77)</f>
        <v>0.13785269142102252</v>
      </c>
      <c r="BP81" s="109">
        <f>STDEV(BP49:BP77)</f>
        <v>0.41674014655861347</v>
      </c>
      <c r="BQ81" s="244">
        <f>STDEV(BQ66:BQ77)</f>
        <v>0.69937783497949391</v>
      </c>
      <c r="BU81" s="244">
        <f>STDEV(BU65:BU77)</f>
        <v>0.70142212142492499</v>
      </c>
      <c r="BY81" s="244">
        <f>STDEV(BY65:BY77)</f>
        <v>0.56475658473363544</v>
      </c>
      <c r="CC81" s="244">
        <f>STDEV(CC65:CC77)</f>
        <v>0.14495870322621415</v>
      </c>
      <c r="CG81" s="248">
        <f>AVERAGE(CG65:CG77)</f>
        <v>3.9199230769230771</v>
      </c>
      <c r="CH81" s="244">
        <f>STDEV(CH65:CH77)</f>
        <v>0.52394367479622683</v>
      </c>
      <c r="CL81" s="244">
        <f>STDEV(CL65:CL77)</f>
        <v>0.42100313659834088</v>
      </c>
      <c r="CP81" s="244">
        <f>STDEV(CP65:CP77)</f>
        <v>0.47657517501008961</v>
      </c>
      <c r="CT81" s="244">
        <f>STDEV(CT65:CT77)</f>
        <v>0.25298991568024481</v>
      </c>
      <c r="CX81" s="244">
        <f>STDEV(CX65:CX77)</f>
        <v>0.58786990537109995</v>
      </c>
      <c r="CY81" s="244">
        <f>STDEV(CY65:CY77)</f>
        <v>0.38464185806326251</v>
      </c>
      <c r="CZ81" s="103">
        <v>8.34</v>
      </c>
      <c r="DA81" s="103">
        <v>3</v>
      </c>
      <c r="DB81" s="103">
        <v>27.5</v>
      </c>
      <c r="DC81" s="104">
        <f t="shared" si="42"/>
        <v>374.35</v>
      </c>
      <c r="DD81" s="279">
        <v>9.65</v>
      </c>
      <c r="DE81" s="280">
        <v>3</v>
      </c>
      <c r="DF81" s="281">
        <v>26.8</v>
      </c>
      <c r="DG81" s="92">
        <f t="shared" si="43"/>
        <v>364.20000000000005</v>
      </c>
      <c r="DH81" s="284">
        <v>9.7799999999999994</v>
      </c>
      <c r="DI81" s="284">
        <v>3.5</v>
      </c>
      <c r="DJ81" s="284">
        <v>27</v>
      </c>
      <c r="DK81" s="96">
        <f t="shared" si="44"/>
        <v>367.1</v>
      </c>
      <c r="DL81" s="288">
        <v>9.7200000000000006</v>
      </c>
      <c r="DM81" s="288">
        <v>3</v>
      </c>
      <c r="DN81" s="288">
        <v>27</v>
      </c>
      <c r="DO81" s="100">
        <f t="shared" si="45"/>
        <v>367.1</v>
      </c>
      <c r="DP81" s="282">
        <v>9.67</v>
      </c>
      <c r="DQ81" s="282">
        <v>3</v>
      </c>
      <c r="DR81" s="282">
        <v>27.6</v>
      </c>
      <c r="DS81" s="283">
        <f t="shared" si="46"/>
        <v>375.80000000000007</v>
      </c>
      <c r="DT81" s="33">
        <v>7.1260000000000003</v>
      </c>
      <c r="DU81" s="103">
        <v>8.2899999999999991</v>
      </c>
      <c r="DV81" s="103">
        <v>3</v>
      </c>
      <c r="DW81" s="103">
        <v>26.3</v>
      </c>
      <c r="DX81" s="104">
        <f t="shared" si="47"/>
        <v>356.95000000000005</v>
      </c>
      <c r="DY81" s="91">
        <v>8.5399999999999991</v>
      </c>
      <c r="DZ81" s="91">
        <v>3</v>
      </c>
      <c r="EA81" s="91">
        <v>28.4</v>
      </c>
      <c r="EB81" s="104">
        <f t="shared" si="48"/>
        <v>387.4</v>
      </c>
      <c r="EC81" s="95">
        <v>8.67</v>
      </c>
      <c r="ED81" s="95">
        <v>3</v>
      </c>
      <c r="EE81" s="95">
        <v>28.4</v>
      </c>
      <c r="EF81" s="104">
        <f t="shared" si="49"/>
        <v>387.4</v>
      </c>
      <c r="EG81" s="326">
        <v>9.83</v>
      </c>
      <c r="EH81" s="326">
        <v>3</v>
      </c>
      <c r="EI81" s="326">
        <v>26.8</v>
      </c>
      <c r="EJ81" s="104">
        <f t="shared" si="50"/>
        <v>364.20000000000005</v>
      </c>
      <c r="EK81" s="329">
        <v>7.81</v>
      </c>
      <c r="EL81" s="103">
        <v>8.85</v>
      </c>
      <c r="EM81" s="103">
        <v>2.5</v>
      </c>
      <c r="EN81" s="103">
        <v>26.1</v>
      </c>
      <c r="EO81" s="104">
        <f t="shared" si="51"/>
        <v>354.05000000000007</v>
      </c>
      <c r="EP81" s="91">
        <v>8.68</v>
      </c>
      <c r="EQ81" s="91">
        <v>3</v>
      </c>
      <c r="ER81" s="91">
        <v>26.1</v>
      </c>
      <c r="ES81" s="104">
        <f t="shared" si="52"/>
        <v>354.05000000000007</v>
      </c>
      <c r="ET81" s="95">
        <v>8.64</v>
      </c>
      <c r="EU81" s="95">
        <v>3</v>
      </c>
      <c r="EV81" s="95">
        <v>26.5</v>
      </c>
      <c r="EW81" s="104">
        <f t="shared" si="53"/>
        <v>359.85</v>
      </c>
      <c r="EX81" s="324">
        <v>9.02</v>
      </c>
      <c r="EY81" s="324">
        <v>3</v>
      </c>
      <c r="EZ81" s="324">
        <v>26.6</v>
      </c>
      <c r="FA81" s="104">
        <f t="shared" si="54"/>
        <v>361.30000000000007</v>
      </c>
      <c r="FB81" s="33">
        <v>8.8000000000000007</v>
      </c>
      <c r="FC81" s="330">
        <v>7.53</v>
      </c>
      <c r="FD81" s="324">
        <v>9.2200000000000006</v>
      </c>
    </row>
    <row r="82" spans="1:246">
      <c r="A82" s="39">
        <v>44652</v>
      </c>
      <c r="B82" s="34">
        <v>131</v>
      </c>
      <c r="C82" s="571" t="s">
        <v>165</v>
      </c>
      <c r="D82" s="659">
        <f>AVERAGE(O3:O59)</f>
        <v>9.499981481481484</v>
      </c>
      <c r="E82" s="290">
        <f>AVERAGE(P3:P59)</f>
        <v>2.70188679245283</v>
      </c>
      <c r="F82" s="290">
        <f>AVERAGE(R3:R59)</f>
        <v>368.23100000000005</v>
      </c>
      <c r="G82" s="290">
        <v>760.39</v>
      </c>
      <c r="H82" s="290">
        <f t="shared" si="55"/>
        <v>2.0649809494583562</v>
      </c>
      <c r="I82" s="290">
        <f t="shared" si="56"/>
        <v>0.22076190586477118</v>
      </c>
      <c r="J82" s="366">
        <v>7.27</v>
      </c>
      <c r="K82" s="591" t="s">
        <v>165</v>
      </c>
      <c r="L82" s="590">
        <f t="shared" si="57"/>
        <v>2.2299814814814845</v>
      </c>
      <c r="CG82" s="248">
        <f>STDEV(CG65:CG77)</f>
        <v>0.59851851287692803</v>
      </c>
      <c r="CZ82" s="103">
        <v>6.94</v>
      </c>
      <c r="DA82" s="103">
        <v>3</v>
      </c>
      <c r="DB82" s="103">
        <v>27.6</v>
      </c>
      <c r="DC82" s="104">
        <f t="shared" si="42"/>
        <v>375.80000000000007</v>
      </c>
      <c r="DD82" s="279">
        <v>9.7200000000000006</v>
      </c>
      <c r="DE82" s="280">
        <v>1.75</v>
      </c>
      <c r="DF82" s="281">
        <v>26.9</v>
      </c>
      <c r="DG82" s="92">
        <f t="shared" si="43"/>
        <v>365.65</v>
      </c>
      <c r="DH82" s="284">
        <v>9.82</v>
      </c>
      <c r="DI82" s="284">
        <v>3.5</v>
      </c>
      <c r="DJ82" s="284">
        <v>27</v>
      </c>
      <c r="DK82" s="96">
        <f t="shared" si="44"/>
        <v>367.1</v>
      </c>
      <c r="DL82" s="288">
        <v>9.83</v>
      </c>
      <c r="DM82" s="288">
        <v>3</v>
      </c>
      <c r="DN82" s="288">
        <v>26.9</v>
      </c>
      <c r="DO82" s="100">
        <f t="shared" si="45"/>
        <v>365.65</v>
      </c>
      <c r="DP82" s="282">
        <v>9.73</v>
      </c>
      <c r="DQ82" s="282">
        <v>3</v>
      </c>
      <c r="DR82" s="282">
        <v>28</v>
      </c>
      <c r="DS82" s="283">
        <f t="shared" si="46"/>
        <v>381.6</v>
      </c>
      <c r="DT82" s="33">
        <v>7.18</v>
      </c>
      <c r="DU82" s="103">
        <v>8.8000000000000007</v>
      </c>
      <c r="DV82" s="103">
        <v>3.5</v>
      </c>
      <c r="DW82" s="103">
        <v>27.5</v>
      </c>
      <c r="DX82" s="104">
        <f t="shared" si="47"/>
        <v>374.35</v>
      </c>
      <c r="DY82" s="91">
        <v>8.6199999999999992</v>
      </c>
      <c r="DZ82" s="91">
        <v>3</v>
      </c>
      <c r="EA82" s="91">
        <v>28.5</v>
      </c>
      <c r="EB82" s="104">
        <f t="shared" si="48"/>
        <v>388.85</v>
      </c>
      <c r="EC82" s="95">
        <v>8.7899999999999991</v>
      </c>
      <c r="ED82" s="95">
        <v>2.5</v>
      </c>
      <c r="EE82" s="95">
        <v>28.4</v>
      </c>
      <c r="EF82" s="104">
        <f t="shared" si="49"/>
        <v>387.4</v>
      </c>
      <c r="EG82" s="326">
        <v>9.83</v>
      </c>
      <c r="EH82" s="326">
        <v>3</v>
      </c>
      <c r="EI82" s="326">
        <v>27</v>
      </c>
      <c r="EJ82" s="104">
        <f t="shared" si="50"/>
        <v>367.1</v>
      </c>
      <c r="EK82" s="329">
        <v>7.86</v>
      </c>
      <c r="EL82" s="103">
        <v>8.7100000000000009</v>
      </c>
      <c r="EM82" s="103">
        <v>2.5</v>
      </c>
      <c r="EN82" s="103">
        <v>26.2</v>
      </c>
      <c r="EO82" s="104">
        <f t="shared" si="51"/>
        <v>355.5</v>
      </c>
      <c r="EP82" s="91">
        <v>8.7100000000000009</v>
      </c>
      <c r="EQ82" s="91">
        <v>3</v>
      </c>
      <c r="ER82" s="91">
        <v>26.3</v>
      </c>
      <c r="ES82" s="104">
        <f t="shared" si="52"/>
        <v>356.95000000000005</v>
      </c>
      <c r="ET82" s="95">
        <v>8.7100000000000009</v>
      </c>
      <c r="EU82" s="95">
        <v>3.5</v>
      </c>
      <c r="EV82" s="95">
        <v>27.1</v>
      </c>
      <c r="EW82" s="104">
        <f t="shared" si="53"/>
        <v>368.55000000000007</v>
      </c>
      <c r="EX82" s="324">
        <v>8.9700000000000006</v>
      </c>
      <c r="EY82" s="324">
        <v>3.5</v>
      </c>
      <c r="EZ82" s="324">
        <v>26.4</v>
      </c>
      <c r="FA82" s="104">
        <f t="shared" si="54"/>
        <v>358.4</v>
      </c>
      <c r="FB82" s="33">
        <v>8.6999999999999993</v>
      </c>
      <c r="FC82" s="330">
        <v>7.49</v>
      </c>
      <c r="FD82" s="324">
        <v>9.09</v>
      </c>
    </row>
    <row r="83" spans="1:246">
      <c r="A83" s="39">
        <v>44655</v>
      </c>
      <c r="B83" s="34">
        <v>131</v>
      </c>
      <c r="C83" s="571" t="s">
        <v>166</v>
      </c>
      <c r="D83" s="659">
        <f>AVERAGE(S3:S59)</f>
        <v>9.5585185185185182</v>
      </c>
      <c r="E83" s="290">
        <f>AVERAGE(T3:T59)</f>
        <v>2.7330188679245282</v>
      </c>
      <c r="F83" s="290">
        <f>AVERAGE(V3:V59)</f>
        <v>360.37199999999996</v>
      </c>
      <c r="G83" s="290">
        <v>650.69000000000005</v>
      </c>
      <c r="H83" s="290">
        <f t="shared" si="55"/>
        <v>1.8056064289123466</v>
      </c>
      <c r="I83" s="290">
        <f t="shared" si="56"/>
        <v>0.31863908342930314</v>
      </c>
      <c r="J83" s="366">
        <v>7.27</v>
      </c>
      <c r="K83" s="591" t="s">
        <v>166</v>
      </c>
      <c r="L83" s="590">
        <f t="shared" si="57"/>
        <v>2.2885185185185186</v>
      </c>
      <c r="M83" s="95" t="s">
        <v>1772</v>
      </c>
      <c r="CZ83" s="103">
        <v>8.07</v>
      </c>
      <c r="DA83" s="103">
        <v>3.5</v>
      </c>
      <c r="DB83" s="103">
        <v>27.5</v>
      </c>
      <c r="DC83" s="104">
        <f t="shared" si="42"/>
        <v>374.35</v>
      </c>
      <c r="DD83" s="279">
        <v>9.2200000000000006</v>
      </c>
      <c r="DE83" s="280">
        <v>3</v>
      </c>
      <c r="DF83" s="281">
        <v>26.9</v>
      </c>
      <c r="DG83" s="92">
        <f t="shared" si="43"/>
        <v>365.65</v>
      </c>
      <c r="DH83" s="284">
        <v>9.2799999999999994</v>
      </c>
      <c r="DI83" s="284">
        <v>3.5</v>
      </c>
      <c r="DJ83" s="284">
        <v>27</v>
      </c>
      <c r="DK83" s="96">
        <f t="shared" si="44"/>
        <v>367.1</v>
      </c>
      <c r="DL83" s="288">
        <v>9.19</v>
      </c>
      <c r="DM83" s="288">
        <v>3</v>
      </c>
      <c r="DN83" s="288">
        <v>26.9</v>
      </c>
      <c r="DO83" s="100">
        <f t="shared" si="45"/>
        <v>365.65</v>
      </c>
      <c r="DP83" s="282">
        <v>9.83</v>
      </c>
      <c r="DQ83" s="282">
        <v>4</v>
      </c>
      <c r="DR83" s="282">
        <v>27.8</v>
      </c>
      <c r="DS83" s="283">
        <f t="shared" si="46"/>
        <v>378.70000000000005</v>
      </c>
      <c r="DT83" s="33">
        <v>7.46</v>
      </c>
      <c r="DU83" s="103">
        <v>8.49</v>
      </c>
      <c r="DV83" s="103">
        <v>3.5</v>
      </c>
      <c r="DW83" s="103">
        <v>29</v>
      </c>
      <c r="DX83" s="104">
        <f t="shared" si="47"/>
        <v>396.1</v>
      </c>
      <c r="DY83" s="91">
        <v>8.27</v>
      </c>
      <c r="DZ83" s="91">
        <v>2</v>
      </c>
      <c r="EA83" s="91">
        <v>28.6</v>
      </c>
      <c r="EB83" s="104">
        <f t="shared" si="48"/>
        <v>390.30000000000007</v>
      </c>
      <c r="EC83" s="95">
        <v>8.9</v>
      </c>
      <c r="ED83" s="95">
        <v>3</v>
      </c>
      <c r="EE83" s="95">
        <v>28.5</v>
      </c>
      <c r="EF83" s="104">
        <f t="shared" si="49"/>
        <v>388.85</v>
      </c>
      <c r="EG83" s="326">
        <v>9.84</v>
      </c>
      <c r="EH83" s="326">
        <v>3</v>
      </c>
      <c r="EI83" s="326">
        <v>27.1</v>
      </c>
      <c r="EJ83" s="104">
        <f t="shared" si="50"/>
        <v>368.55000000000007</v>
      </c>
      <c r="EK83" s="329">
        <v>7.69</v>
      </c>
      <c r="EL83" s="103">
        <v>8.61</v>
      </c>
      <c r="EM83" s="103">
        <v>2.5</v>
      </c>
      <c r="EN83" s="103">
        <v>26.3</v>
      </c>
      <c r="EO83" s="104">
        <f t="shared" si="51"/>
        <v>356.95000000000005</v>
      </c>
      <c r="EP83" s="91">
        <v>8.57</v>
      </c>
      <c r="EQ83" s="91">
        <v>3</v>
      </c>
      <c r="ER83" s="91">
        <v>26.5</v>
      </c>
      <c r="ES83" s="104">
        <f t="shared" si="52"/>
        <v>359.85</v>
      </c>
      <c r="ET83" s="95">
        <v>8.58</v>
      </c>
      <c r="EU83" s="95">
        <v>3</v>
      </c>
      <c r="EV83" s="95">
        <v>27.1</v>
      </c>
      <c r="EW83" s="104">
        <f t="shared" si="53"/>
        <v>368.55000000000007</v>
      </c>
      <c r="EX83" s="324">
        <v>8.7899999999999991</v>
      </c>
      <c r="EY83" s="324">
        <v>3.5</v>
      </c>
      <c r="EZ83" s="324">
        <v>27</v>
      </c>
      <c r="FA83" s="104">
        <f t="shared" si="54"/>
        <v>367.1</v>
      </c>
      <c r="FB83" s="33">
        <v>8.8000000000000007</v>
      </c>
      <c r="FC83" s="330">
        <v>6.82</v>
      </c>
      <c r="FD83" s="324">
        <v>8.9700000000000006</v>
      </c>
    </row>
    <row r="84" spans="1:246">
      <c r="A84" s="39">
        <v>44658</v>
      </c>
      <c r="B84" s="34">
        <v>132</v>
      </c>
      <c r="C84" s="572" t="s">
        <v>167</v>
      </c>
      <c r="D84" s="660">
        <f>AVERAGE(Y14:Y59)</f>
        <v>8.8486046511627929</v>
      </c>
      <c r="E84" s="291">
        <f>AVERAGE(Z14:Z59)</f>
        <v>3.1546511627906977</v>
      </c>
      <c r="F84" s="291">
        <f>AVERAGE(AB14:AB59)</f>
        <v>354.05000000000024</v>
      </c>
      <c r="G84" s="291">
        <v>650.24</v>
      </c>
      <c r="H84" s="291">
        <f t="shared" si="55"/>
        <v>1.8365767546956633</v>
      </c>
      <c r="I84" s="291">
        <f t="shared" si="56"/>
        <v>0.30695216803937231</v>
      </c>
      <c r="J84" s="110">
        <v>8.61</v>
      </c>
      <c r="K84" s="592" t="s">
        <v>167</v>
      </c>
      <c r="L84" s="590">
        <f t="shared" si="57"/>
        <v>0.2386046511627935</v>
      </c>
      <c r="M84" s="95" t="s">
        <v>1773</v>
      </c>
      <c r="CZ84" s="103">
        <v>8.42</v>
      </c>
      <c r="DA84" s="103">
        <v>3</v>
      </c>
      <c r="DB84" s="103">
        <v>27.8</v>
      </c>
      <c r="DC84" s="104">
        <f t="shared" si="42"/>
        <v>378.70000000000005</v>
      </c>
      <c r="DD84" s="279">
        <v>8.76</v>
      </c>
      <c r="DE84" s="280">
        <v>3</v>
      </c>
      <c r="DF84" s="281">
        <v>26.9</v>
      </c>
      <c r="DG84" s="92">
        <f t="shared" si="43"/>
        <v>365.65</v>
      </c>
      <c r="DH84" s="284">
        <v>8.74</v>
      </c>
      <c r="DI84" s="284">
        <v>3.5</v>
      </c>
      <c r="DJ84" s="284">
        <v>27.1</v>
      </c>
      <c r="DK84" s="96">
        <f t="shared" si="44"/>
        <v>368.55000000000007</v>
      </c>
      <c r="DL84" s="288">
        <v>8.89</v>
      </c>
      <c r="DM84" s="288" t="s">
        <v>182</v>
      </c>
      <c r="DN84" s="288">
        <v>26.9</v>
      </c>
      <c r="DO84" s="100">
        <f t="shared" si="45"/>
        <v>365.65</v>
      </c>
      <c r="DP84" s="282">
        <v>9.6199999999999992</v>
      </c>
      <c r="DQ84" s="282">
        <v>3.5</v>
      </c>
      <c r="DR84" s="282">
        <v>28</v>
      </c>
      <c r="DS84" s="283">
        <f t="shared" si="46"/>
        <v>381.6</v>
      </c>
      <c r="DT84" s="33">
        <v>7.74</v>
      </c>
      <c r="DU84" s="103">
        <v>8.44</v>
      </c>
      <c r="DV84" s="103">
        <v>3</v>
      </c>
      <c r="DW84" s="103">
        <v>29</v>
      </c>
      <c r="DX84" s="104">
        <f t="shared" si="47"/>
        <v>396.1</v>
      </c>
      <c r="DY84" s="91">
        <v>8.23</v>
      </c>
      <c r="DZ84" s="91">
        <v>2.5</v>
      </c>
      <c r="EA84" s="91">
        <v>28.6</v>
      </c>
      <c r="EB84" s="104">
        <f t="shared" si="48"/>
        <v>390.30000000000007</v>
      </c>
      <c r="EC84" s="95">
        <v>8.15</v>
      </c>
      <c r="ED84" s="95">
        <v>3</v>
      </c>
      <c r="EE84" s="95">
        <v>28.6</v>
      </c>
      <c r="EF84" s="104">
        <f t="shared" si="49"/>
        <v>390.30000000000007</v>
      </c>
      <c r="EG84" s="326">
        <v>9.66</v>
      </c>
      <c r="EH84" s="326">
        <v>3</v>
      </c>
      <c r="EI84" s="326">
        <v>27</v>
      </c>
      <c r="EJ84" s="104">
        <f t="shared" si="50"/>
        <v>367.1</v>
      </c>
      <c r="EK84" s="329">
        <v>7.69</v>
      </c>
      <c r="EL84" s="103">
        <v>8.67</v>
      </c>
      <c r="EM84" s="103">
        <v>2.5</v>
      </c>
      <c r="EN84" s="103">
        <v>26</v>
      </c>
      <c r="EO84" s="104">
        <f t="shared" si="51"/>
        <v>352.6</v>
      </c>
      <c r="EP84" s="91">
        <v>8.61</v>
      </c>
      <c r="EQ84" s="91">
        <v>2.75</v>
      </c>
      <c r="ER84" s="91">
        <v>26.8</v>
      </c>
      <c r="ES84" s="104">
        <f t="shared" si="52"/>
        <v>364.20000000000005</v>
      </c>
      <c r="ET84" s="95">
        <v>8.64</v>
      </c>
      <c r="EU84" s="95">
        <v>3.5</v>
      </c>
      <c r="EV84" s="95">
        <v>27.2</v>
      </c>
      <c r="EW84" s="104">
        <f t="shared" si="53"/>
        <v>370</v>
      </c>
      <c r="EX84" s="324">
        <v>8.67</v>
      </c>
      <c r="EY84" s="324">
        <v>3.5</v>
      </c>
      <c r="EZ84" s="324">
        <v>26.9</v>
      </c>
      <c r="FA84" s="104">
        <f t="shared" si="54"/>
        <v>365.65</v>
      </c>
      <c r="FB84" s="33">
        <v>8.73</v>
      </c>
      <c r="FC84" s="330">
        <v>7.92</v>
      </c>
      <c r="FD84" s="324">
        <v>8.76</v>
      </c>
    </row>
    <row r="85" spans="1:246">
      <c r="A85" s="39">
        <v>44662</v>
      </c>
      <c r="B85" s="34">
        <v>132</v>
      </c>
      <c r="C85" s="572" t="s">
        <v>168</v>
      </c>
      <c r="D85" s="660">
        <f>AVERAGE(AC14:AC59)</f>
        <v>8.6929545454545423</v>
      </c>
      <c r="E85" s="291">
        <f>AVERAGE(AD14:AD59)</f>
        <v>2.8127906976744188</v>
      </c>
      <c r="F85" s="291">
        <f>AVERAGE(AF14:AF59)</f>
        <v>363.51125000000002</v>
      </c>
      <c r="G85" s="291">
        <v>765.41</v>
      </c>
      <c r="H85" s="291">
        <f t="shared" si="55"/>
        <v>2.1056019586739061</v>
      </c>
      <c r="I85" s="291">
        <f t="shared" si="56"/>
        <v>0.20543322314192225</v>
      </c>
      <c r="J85" s="110">
        <v>8.61</v>
      </c>
      <c r="K85" s="592" t="s">
        <v>168</v>
      </c>
      <c r="L85" s="590">
        <f t="shared" si="57"/>
        <v>8.2954545454542838E-2</v>
      </c>
      <c r="CZ85" s="103">
        <v>7.98</v>
      </c>
      <c r="DA85" s="103">
        <v>3.5</v>
      </c>
      <c r="DB85" s="103">
        <v>27.5</v>
      </c>
      <c r="DC85" s="104">
        <f t="shared" si="42"/>
        <v>374.35</v>
      </c>
      <c r="DD85" s="279">
        <v>8.66</v>
      </c>
      <c r="DE85" s="280">
        <v>3</v>
      </c>
      <c r="DF85" s="281">
        <v>26.9</v>
      </c>
      <c r="DG85" s="92">
        <f t="shared" si="43"/>
        <v>365.65</v>
      </c>
      <c r="DH85" s="284">
        <v>8.93</v>
      </c>
      <c r="DI85" s="284">
        <v>4</v>
      </c>
      <c r="DJ85" s="284">
        <v>27.3</v>
      </c>
      <c r="DK85" s="96">
        <f t="shared" si="44"/>
        <v>371.45000000000005</v>
      </c>
      <c r="DL85" s="288">
        <v>9.01</v>
      </c>
      <c r="DM85" s="288">
        <v>3.5</v>
      </c>
      <c r="DN85" s="288">
        <v>27.3</v>
      </c>
      <c r="DO85" s="100">
        <f t="shared" si="45"/>
        <v>371.45000000000005</v>
      </c>
      <c r="DP85" s="282">
        <v>9.7799999999999994</v>
      </c>
      <c r="DQ85" s="282">
        <v>3.5</v>
      </c>
      <c r="DR85" s="282">
        <v>27.1</v>
      </c>
      <c r="DS85" s="283">
        <f t="shared" si="46"/>
        <v>368.55000000000007</v>
      </c>
      <c r="DT85" s="33">
        <v>7.86</v>
      </c>
      <c r="DU85" s="103">
        <v>7.1</v>
      </c>
      <c r="DV85" s="103">
        <v>3.5</v>
      </c>
      <c r="DW85" s="103">
        <v>29</v>
      </c>
      <c r="DX85" s="104">
        <f t="shared" si="47"/>
        <v>396.1</v>
      </c>
      <c r="DY85" s="91">
        <v>7.58</v>
      </c>
      <c r="DZ85" s="91">
        <v>3.5</v>
      </c>
      <c r="EA85" s="91">
        <v>29</v>
      </c>
      <c r="EB85" s="104">
        <f t="shared" si="48"/>
        <v>396.1</v>
      </c>
      <c r="EC85" s="95">
        <v>7.8</v>
      </c>
      <c r="ED85" s="95">
        <v>3.5</v>
      </c>
      <c r="EE85" s="95">
        <v>28.8</v>
      </c>
      <c r="EF85" s="104">
        <f t="shared" si="49"/>
        <v>393.20000000000005</v>
      </c>
      <c r="EG85" s="326">
        <v>9.3800000000000008</v>
      </c>
      <c r="EH85" s="326">
        <v>3.5</v>
      </c>
      <c r="EI85" s="326">
        <v>27</v>
      </c>
      <c r="EJ85" s="104">
        <f t="shared" si="50"/>
        <v>367.1</v>
      </c>
      <c r="EK85" s="329">
        <v>7.5</v>
      </c>
      <c r="EL85" s="103">
        <v>8.7200000000000006</v>
      </c>
      <c r="EM85" s="103">
        <v>0.5</v>
      </c>
      <c r="EN85" s="103">
        <v>26</v>
      </c>
      <c r="EO85" s="104">
        <f t="shared" si="51"/>
        <v>352.6</v>
      </c>
      <c r="EP85" s="91">
        <v>8.56</v>
      </c>
      <c r="EQ85" s="91">
        <v>3.5</v>
      </c>
      <c r="ER85" s="91">
        <v>26</v>
      </c>
      <c r="ES85" s="104">
        <f t="shared" si="52"/>
        <v>352.6</v>
      </c>
      <c r="ET85" s="95">
        <v>8.59</v>
      </c>
      <c r="EU85" s="95">
        <v>3.5</v>
      </c>
      <c r="EV85" s="95">
        <v>27.5</v>
      </c>
      <c r="EW85" s="104">
        <f t="shared" si="53"/>
        <v>374.35</v>
      </c>
      <c r="EX85" s="324">
        <v>8.57</v>
      </c>
      <c r="EY85" s="324">
        <v>3.5</v>
      </c>
      <c r="EZ85" s="324">
        <v>27</v>
      </c>
      <c r="FA85" s="104">
        <f t="shared" si="54"/>
        <v>367.1</v>
      </c>
      <c r="FB85" s="33">
        <v>8.67</v>
      </c>
      <c r="FC85" s="330">
        <v>7</v>
      </c>
      <c r="FD85" s="324">
        <v>8.69</v>
      </c>
    </row>
    <row r="86" spans="1:246">
      <c r="A86" s="39">
        <v>44666</v>
      </c>
      <c r="B86" s="34">
        <v>132</v>
      </c>
      <c r="C86" s="572" t="s">
        <v>169</v>
      </c>
      <c r="D86" s="660">
        <f>AVERAGE(AG14:AG59)</f>
        <v>8.6747727272727264</v>
      </c>
      <c r="E86" s="291">
        <f>AVERAGE(AH14:AH59)</f>
        <v>2.8430232558139537</v>
      </c>
      <c r="F86" s="291">
        <f>AVERAGE(AJ14:AJ59)</f>
        <v>363.33000000000015</v>
      </c>
      <c r="G86" s="291">
        <v>765.4</v>
      </c>
      <c r="H86" s="291">
        <f t="shared" si="55"/>
        <v>2.1066248314204707</v>
      </c>
      <c r="I86" s="291">
        <f t="shared" si="56"/>
        <v>0.20504723342623743</v>
      </c>
      <c r="J86" s="110">
        <v>8.61</v>
      </c>
      <c r="K86" s="592" t="s">
        <v>169</v>
      </c>
      <c r="L86" s="590">
        <f t="shared" si="57"/>
        <v>6.4772727272726982E-2</v>
      </c>
      <c r="CZ86" s="103">
        <v>7.65</v>
      </c>
      <c r="DA86" s="103">
        <v>3.5</v>
      </c>
      <c r="DB86" s="103">
        <v>27.6</v>
      </c>
      <c r="DC86" s="104">
        <f t="shared" si="42"/>
        <v>375.80000000000007</v>
      </c>
      <c r="DD86" s="279">
        <v>8.7200000000000006</v>
      </c>
      <c r="DE86" s="280">
        <v>3</v>
      </c>
      <c r="DF86" s="281">
        <v>26.7</v>
      </c>
      <c r="DG86" s="92">
        <f t="shared" si="43"/>
        <v>362.75</v>
      </c>
      <c r="DH86" s="284">
        <v>8.81</v>
      </c>
      <c r="DI86" s="284">
        <v>3.5</v>
      </c>
      <c r="DJ86" s="284">
        <v>27.6</v>
      </c>
      <c r="DK86" s="96">
        <f t="shared" si="44"/>
        <v>375.80000000000007</v>
      </c>
      <c r="DL86" s="288">
        <v>8.86</v>
      </c>
      <c r="DM86" s="288">
        <v>3</v>
      </c>
      <c r="DN86" s="288">
        <v>27.1</v>
      </c>
      <c r="DO86" s="100">
        <f t="shared" si="45"/>
        <v>368.55000000000007</v>
      </c>
      <c r="DP86" s="282">
        <v>9.84</v>
      </c>
      <c r="DQ86" s="282">
        <v>3.5</v>
      </c>
      <c r="DR86" s="282">
        <v>27.1</v>
      </c>
      <c r="DS86" s="283">
        <f t="shared" si="46"/>
        <v>368.55000000000007</v>
      </c>
      <c r="DT86" s="33">
        <v>7.84</v>
      </c>
      <c r="DU86" s="103">
        <v>8.23</v>
      </c>
      <c r="DV86" s="103">
        <v>3.5</v>
      </c>
      <c r="DW86" s="103">
        <v>28</v>
      </c>
      <c r="DX86" s="104">
        <f t="shared" si="47"/>
        <v>381.6</v>
      </c>
      <c r="DY86" s="91">
        <v>8.08</v>
      </c>
      <c r="DZ86" s="91">
        <v>3.5</v>
      </c>
      <c r="EA86" s="91">
        <v>29</v>
      </c>
      <c r="EB86" s="104">
        <f t="shared" si="48"/>
        <v>396.1</v>
      </c>
      <c r="EC86" s="95">
        <v>8.0399999999999991</v>
      </c>
      <c r="ED86" s="95">
        <v>3.5</v>
      </c>
      <c r="EE86" s="95">
        <v>29</v>
      </c>
      <c r="EF86" s="104">
        <f t="shared" si="49"/>
        <v>396.1</v>
      </c>
      <c r="EG86" s="326">
        <v>9.64</v>
      </c>
      <c r="EH86" s="326">
        <v>3.5</v>
      </c>
      <c r="EI86" s="326">
        <v>26.9</v>
      </c>
      <c r="EJ86" s="104">
        <f t="shared" si="50"/>
        <v>365.65</v>
      </c>
      <c r="EK86" s="329">
        <v>7.73</v>
      </c>
      <c r="EL86" s="103">
        <v>8.67</v>
      </c>
      <c r="EM86" s="103">
        <v>3.5</v>
      </c>
      <c r="EN86" s="103">
        <v>26</v>
      </c>
      <c r="EO86" s="104">
        <f t="shared" si="51"/>
        <v>352.6</v>
      </c>
      <c r="EP86" s="91">
        <v>8.52</v>
      </c>
      <c r="EQ86" s="91">
        <v>3</v>
      </c>
      <c r="ER86" s="91">
        <v>26.8</v>
      </c>
      <c r="ES86" s="104">
        <f t="shared" si="52"/>
        <v>364.20000000000005</v>
      </c>
      <c r="ET86" s="95">
        <v>8.61</v>
      </c>
      <c r="EU86" s="95">
        <v>3.5</v>
      </c>
      <c r="EV86" s="95">
        <v>27.3</v>
      </c>
      <c r="EW86" s="104">
        <f t="shared" si="53"/>
        <v>371.45000000000005</v>
      </c>
      <c r="EX86" s="324">
        <v>8.6199999999999992</v>
      </c>
      <c r="EY86" s="324">
        <v>4</v>
      </c>
      <c r="EZ86" s="324">
        <v>26.8</v>
      </c>
      <c r="FA86" s="104">
        <f t="shared" si="54"/>
        <v>364.20000000000005</v>
      </c>
      <c r="FB86" s="33">
        <v>8.68</v>
      </c>
      <c r="FC86" s="330">
        <v>6.75</v>
      </c>
      <c r="FD86" s="324">
        <v>8.68</v>
      </c>
      <c r="FE86" s="709" t="s">
        <v>1593</v>
      </c>
      <c r="FF86" s="692"/>
      <c r="FG86" s="692"/>
      <c r="FH86" s="710"/>
      <c r="FI86" s="761" t="s">
        <v>1594</v>
      </c>
      <c r="FJ86" s="693"/>
      <c r="FK86" s="693"/>
      <c r="FL86" s="762"/>
      <c r="FM86" s="742" t="s">
        <v>1595</v>
      </c>
      <c r="FN86" s="694"/>
      <c r="FO86" s="694"/>
      <c r="FP86" s="743"/>
      <c r="FQ86" s="763" t="s">
        <v>1596</v>
      </c>
      <c r="FR86" s="764"/>
      <c r="FS86" s="764"/>
      <c r="FT86" s="765"/>
      <c r="FU86" s="766" t="s">
        <v>1597</v>
      </c>
      <c r="FV86" s="691"/>
      <c r="FW86" s="691"/>
      <c r="FX86" s="767"/>
      <c r="FY86" s="202" t="s">
        <v>1765</v>
      </c>
      <c r="FZ86" s="750" t="s">
        <v>1764</v>
      </c>
      <c r="GA86" s="751"/>
      <c r="GB86" s="751"/>
      <c r="GC86" s="752"/>
      <c r="GD86" s="753" t="s">
        <v>1599</v>
      </c>
      <c r="GE86" s="696"/>
      <c r="GF86" s="696"/>
      <c r="GG86" s="754"/>
      <c r="GH86" s="755" t="s">
        <v>1600</v>
      </c>
      <c r="GI86" s="756"/>
      <c r="GJ86" s="756"/>
      <c r="GK86" s="757"/>
      <c r="GL86" s="758" t="s">
        <v>1601</v>
      </c>
      <c r="GM86" s="759"/>
      <c r="GN86" s="759"/>
      <c r="GO86" s="760"/>
      <c r="GP86" s="706" t="s">
        <v>1766</v>
      </c>
      <c r="GQ86" s="707"/>
      <c r="GR86" s="707"/>
      <c r="GS86" s="708"/>
      <c r="GT86" s="202" t="s">
        <v>1767</v>
      </c>
      <c r="GU86" s="736" t="s">
        <v>1603</v>
      </c>
      <c r="GV86" s="737"/>
      <c r="GW86" s="737"/>
      <c r="GX86" s="738"/>
      <c r="GY86" s="739" t="s">
        <v>1604</v>
      </c>
      <c r="GZ86" s="740"/>
      <c r="HA86" s="740"/>
      <c r="HB86" s="741"/>
      <c r="HC86" s="742" t="s">
        <v>1605</v>
      </c>
      <c r="HD86" s="694"/>
      <c r="HE86" s="694"/>
      <c r="HF86" s="743"/>
      <c r="HG86" s="744" t="s">
        <v>1606</v>
      </c>
      <c r="HH86" s="745"/>
      <c r="HI86" s="745"/>
      <c r="HJ86" s="746"/>
      <c r="HK86" s="747">
        <v>70</v>
      </c>
      <c r="HL86" s="748"/>
      <c r="HM86" s="748"/>
      <c r="HN86" s="749"/>
      <c r="HO86" s="202" t="s">
        <v>1768</v>
      </c>
      <c r="HP86" s="721">
        <v>80</v>
      </c>
      <c r="HQ86" s="722"/>
      <c r="HR86" s="722"/>
      <c r="HS86" s="723"/>
      <c r="HT86" s="724">
        <v>901</v>
      </c>
      <c r="HU86" s="725"/>
      <c r="HV86" s="725"/>
      <c r="HW86" s="726"/>
      <c r="HX86" s="727">
        <v>902</v>
      </c>
      <c r="HY86" s="728"/>
      <c r="HZ86" s="728"/>
      <c r="IA86" s="729"/>
      <c r="IB86" s="730" t="s">
        <v>1607</v>
      </c>
      <c r="IC86" s="731"/>
      <c r="ID86" s="731"/>
      <c r="IE86" s="732"/>
      <c r="IF86" s="733" t="s">
        <v>1608</v>
      </c>
      <c r="IG86" s="734"/>
      <c r="IH86" s="734"/>
      <c r="II86" s="735"/>
      <c r="IJ86" s="248" t="s">
        <v>1769</v>
      </c>
      <c r="IK86" s="248" t="s">
        <v>1770</v>
      </c>
      <c r="IL86" s="248" t="s">
        <v>343</v>
      </c>
    </row>
    <row r="87" spans="1:246">
      <c r="A87" s="39">
        <v>44671</v>
      </c>
      <c r="B87" s="34">
        <v>133</v>
      </c>
      <c r="C87" s="572" t="s">
        <v>170</v>
      </c>
      <c r="D87" s="660">
        <f>AVERAGE(AK14:AK59)</f>
        <v>8.6395348837209305</v>
      </c>
      <c r="E87" s="291">
        <f>AVERAGE(AL14:AL59)</f>
        <v>2.8720930232558142</v>
      </c>
      <c r="F87" s="291">
        <f>AVERAGE(AN14:AN59)</f>
        <v>371.23250000000019</v>
      </c>
      <c r="G87" s="291">
        <v>765.18</v>
      </c>
      <c r="H87" s="291">
        <f t="shared" si="55"/>
        <v>2.061188069471287</v>
      </c>
      <c r="I87" s="291">
        <f t="shared" si="56"/>
        <v>0.22219318133158983</v>
      </c>
      <c r="J87" s="110">
        <v>8.61</v>
      </c>
      <c r="K87" s="592" t="s">
        <v>170</v>
      </c>
      <c r="L87" s="590">
        <f t="shared" si="57"/>
        <v>2.9534883720931049E-2</v>
      </c>
      <c r="CZ87" s="103">
        <v>7.8</v>
      </c>
      <c r="DA87" s="103">
        <v>3</v>
      </c>
      <c r="DB87" s="103">
        <v>27.8</v>
      </c>
      <c r="DC87" s="104">
        <f t="shared" si="42"/>
        <v>378.70000000000005</v>
      </c>
      <c r="DD87" s="279">
        <v>9.01</v>
      </c>
      <c r="DE87" s="280">
        <v>3.5</v>
      </c>
      <c r="DF87" s="281">
        <v>28.4</v>
      </c>
      <c r="DG87" s="92">
        <f t="shared" si="43"/>
        <v>387.4</v>
      </c>
      <c r="DH87" s="284">
        <v>8.9</v>
      </c>
      <c r="DI87" s="284">
        <v>3</v>
      </c>
      <c r="DJ87" s="284">
        <v>28.4</v>
      </c>
      <c r="DK87" s="96">
        <f t="shared" si="44"/>
        <v>387.4</v>
      </c>
      <c r="DL87" s="288">
        <v>8.98</v>
      </c>
      <c r="DM87" s="288">
        <v>3.5</v>
      </c>
      <c r="DN87" s="288">
        <v>27</v>
      </c>
      <c r="DO87" s="100">
        <f t="shared" si="45"/>
        <v>367.1</v>
      </c>
      <c r="DP87" s="282">
        <v>9.84</v>
      </c>
      <c r="DQ87" s="282">
        <v>3</v>
      </c>
      <c r="DR87" s="282">
        <v>27.4</v>
      </c>
      <c r="DS87" s="283">
        <f t="shared" si="46"/>
        <v>372.9</v>
      </c>
      <c r="DT87" s="33">
        <v>7.58</v>
      </c>
      <c r="DU87" s="103">
        <v>7.47</v>
      </c>
      <c r="DV87" s="103">
        <v>3</v>
      </c>
      <c r="DW87" s="103">
        <v>28</v>
      </c>
      <c r="DX87" s="104">
        <f t="shared" si="47"/>
        <v>381.6</v>
      </c>
      <c r="DY87" s="91">
        <v>7.47</v>
      </c>
      <c r="DZ87" s="91">
        <v>3.5</v>
      </c>
      <c r="EA87" s="91">
        <v>27.5</v>
      </c>
      <c r="EB87" s="104">
        <f t="shared" si="48"/>
        <v>374.35</v>
      </c>
      <c r="EC87" s="95">
        <v>7.95</v>
      </c>
      <c r="ED87" s="95">
        <v>3</v>
      </c>
      <c r="EE87" s="95">
        <v>28</v>
      </c>
      <c r="EF87" s="104">
        <f t="shared" si="49"/>
        <v>381.6</v>
      </c>
      <c r="EG87" s="326">
        <v>9.76</v>
      </c>
      <c r="EH87" s="326">
        <v>3.5</v>
      </c>
      <c r="EI87" s="326">
        <v>26.9</v>
      </c>
      <c r="EJ87" s="104">
        <f t="shared" si="50"/>
        <v>365.65</v>
      </c>
      <c r="EK87" s="329">
        <v>7.86</v>
      </c>
      <c r="EL87" s="103">
        <v>8.24</v>
      </c>
      <c r="EM87" s="103">
        <v>3</v>
      </c>
      <c r="EN87" s="103">
        <v>26</v>
      </c>
      <c r="EO87" s="104">
        <f t="shared" si="51"/>
        <v>352.6</v>
      </c>
      <c r="EP87" s="91">
        <v>8.8800000000000008</v>
      </c>
      <c r="EQ87" s="91">
        <v>3</v>
      </c>
      <c r="ER87" s="91">
        <v>26.6</v>
      </c>
      <c r="ES87" s="104">
        <f t="shared" si="52"/>
        <v>361.30000000000007</v>
      </c>
      <c r="ET87" s="95">
        <v>8.65</v>
      </c>
      <c r="EU87" s="95">
        <v>3.5</v>
      </c>
      <c r="EV87" s="95">
        <v>27.1</v>
      </c>
      <c r="EW87" s="104">
        <f t="shared" si="53"/>
        <v>368.55000000000007</v>
      </c>
      <c r="EX87" s="324">
        <v>8.68</v>
      </c>
      <c r="EY87" s="324">
        <v>3.5</v>
      </c>
      <c r="EZ87" s="324">
        <v>27.1</v>
      </c>
      <c r="FA87" s="104">
        <f t="shared" si="54"/>
        <v>368.55000000000007</v>
      </c>
      <c r="FB87" s="33">
        <v>8.74</v>
      </c>
      <c r="FC87" s="330">
        <v>7.81</v>
      </c>
      <c r="FD87" s="324">
        <v>8.8000000000000007</v>
      </c>
      <c r="FE87" s="244" t="s">
        <v>86</v>
      </c>
      <c r="FF87" s="103" t="s">
        <v>161</v>
      </c>
      <c r="FG87" s="103" t="s">
        <v>3</v>
      </c>
      <c r="FH87" s="103" t="s">
        <v>162</v>
      </c>
      <c r="FI87" s="544" t="s">
        <v>86</v>
      </c>
      <c r="FJ87" s="512" t="s">
        <v>161</v>
      </c>
      <c r="FK87" s="512" t="s">
        <v>3</v>
      </c>
      <c r="FL87" s="512" t="s">
        <v>162</v>
      </c>
      <c r="FM87" s="549" t="s">
        <v>86</v>
      </c>
      <c r="FN87" s="513" t="s">
        <v>161</v>
      </c>
      <c r="FO87" s="513" t="s">
        <v>3</v>
      </c>
      <c r="FP87" s="513" t="s">
        <v>162</v>
      </c>
      <c r="FQ87" s="557" t="s">
        <v>86</v>
      </c>
      <c r="FR87" s="514" t="s">
        <v>161</v>
      </c>
      <c r="FS87" s="514" t="s">
        <v>3</v>
      </c>
      <c r="FT87" s="514" t="s">
        <v>162</v>
      </c>
      <c r="FU87" s="556" t="s">
        <v>86</v>
      </c>
      <c r="FV87" s="515" t="s">
        <v>161</v>
      </c>
      <c r="FW87" s="515" t="s">
        <v>3</v>
      </c>
      <c r="FX87" s="515" t="s">
        <v>162</v>
      </c>
      <c r="FZ87" s="516" t="s">
        <v>86</v>
      </c>
      <c r="GA87" s="517" t="s">
        <v>161</v>
      </c>
      <c r="GB87" s="517" t="s">
        <v>3</v>
      </c>
      <c r="GC87" s="517" t="s">
        <v>162</v>
      </c>
      <c r="GD87" s="245" t="s">
        <v>86</v>
      </c>
      <c r="GE87" s="91" t="s">
        <v>161</v>
      </c>
      <c r="GF87" s="91" t="s">
        <v>3</v>
      </c>
      <c r="GG87" s="91" t="s">
        <v>162</v>
      </c>
      <c r="GH87" s="554" t="s">
        <v>86</v>
      </c>
      <c r="GI87" s="518" t="s">
        <v>161</v>
      </c>
      <c r="GJ87" s="518" t="s">
        <v>3</v>
      </c>
      <c r="GK87" s="518" t="s">
        <v>162</v>
      </c>
      <c r="GL87" s="553" t="s">
        <v>86</v>
      </c>
      <c r="GM87" s="520" t="s">
        <v>161</v>
      </c>
      <c r="GN87" s="520" t="s">
        <v>3</v>
      </c>
      <c r="GO87" s="520" t="s">
        <v>162</v>
      </c>
      <c r="GP87" s="552" t="s">
        <v>86</v>
      </c>
      <c r="GQ87" s="521" t="s">
        <v>161</v>
      </c>
      <c r="GR87" s="521" t="s">
        <v>3</v>
      </c>
      <c r="GS87" s="521" t="s">
        <v>162</v>
      </c>
      <c r="GU87" s="522" t="s">
        <v>86</v>
      </c>
      <c r="GV87" s="523" t="s">
        <v>161</v>
      </c>
      <c r="GW87" s="523" t="s">
        <v>3</v>
      </c>
      <c r="GX87" s="523" t="s">
        <v>162</v>
      </c>
      <c r="GY87" s="551" t="s">
        <v>86</v>
      </c>
      <c r="GZ87" s="524" t="s">
        <v>161</v>
      </c>
      <c r="HA87" s="524" t="s">
        <v>3</v>
      </c>
      <c r="HB87" s="524" t="s">
        <v>162</v>
      </c>
      <c r="HC87" s="549" t="s">
        <v>86</v>
      </c>
      <c r="HD87" s="513" t="s">
        <v>161</v>
      </c>
      <c r="HE87" s="513" t="s">
        <v>3</v>
      </c>
      <c r="HF87" s="513" t="s">
        <v>162</v>
      </c>
      <c r="HG87" s="548" t="s">
        <v>86</v>
      </c>
      <c r="HH87" s="525" t="s">
        <v>161</v>
      </c>
      <c r="HI87" s="525" t="s">
        <v>3</v>
      </c>
      <c r="HJ87" s="525" t="s">
        <v>162</v>
      </c>
      <c r="HK87" s="547" t="s">
        <v>86</v>
      </c>
      <c r="HL87" s="526" t="s">
        <v>161</v>
      </c>
      <c r="HM87" s="526" t="s">
        <v>3</v>
      </c>
      <c r="HN87" s="526" t="s">
        <v>162</v>
      </c>
      <c r="HP87" s="527" t="s">
        <v>86</v>
      </c>
      <c r="HQ87" s="528" t="s">
        <v>161</v>
      </c>
      <c r="HR87" s="528" t="s">
        <v>3</v>
      </c>
      <c r="HS87" s="538" t="s">
        <v>162</v>
      </c>
      <c r="HT87" s="545" t="s">
        <v>86</v>
      </c>
      <c r="HU87" s="529" t="s">
        <v>161</v>
      </c>
      <c r="HV87" s="529" t="s">
        <v>3</v>
      </c>
      <c r="HW87" s="537" t="s">
        <v>162</v>
      </c>
      <c r="HX87" s="543" t="s">
        <v>86</v>
      </c>
      <c r="HY87" s="530" t="s">
        <v>161</v>
      </c>
      <c r="HZ87" s="530" t="s">
        <v>3</v>
      </c>
      <c r="IA87" s="536" t="s">
        <v>162</v>
      </c>
      <c r="IB87" s="541" t="s">
        <v>86</v>
      </c>
      <c r="IC87" s="531" t="s">
        <v>161</v>
      </c>
      <c r="ID87" s="531" t="s">
        <v>3</v>
      </c>
      <c r="IE87" s="535" t="s">
        <v>162</v>
      </c>
      <c r="IF87" s="539" t="s">
        <v>86</v>
      </c>
      <c r="IG87" s="532" t="s">
        <v>161</v>
      </c>
      <c r="IH87" s="532" t="s">
        <v>3</v>
      </c>
      <c r="II87" s="534" t="s">
        <v>162</v>
      </c>
    </row>
    <row r="88" spans="1:246">
      <c r="A88" s="39">
        <v>44690</v>
      </c>
      <c r="B88" s="34">
        <v>139</v>
      </c>
      <c r="C88" s="572">
        <v>20</v>
      </c>
      <c r="D88" s="660">
        <f>AVERAGE(AO46:AO77)</f>
        <v>8.7347187500000008</v>
      </c>
      <c r="E88" s="291">
        <f>AVERAGE(AP46:AP77)</f>
        <v>3.1233333333333335</v>
      </c>
      <c r="F88" s="291">
        <f>AVERAGE(AR46:AR77)</f>
        <v>369.89259259259256</v>
      </c>
      <c r="G88" s="291">
        <v>765.09</v>
      </c>
      <c r="H88" s="291">
        <f t="shared" si="55"/>
        <v>2.0684112505131624</v>
      </c>
      <c r="I88" s="291">
        <f t="shared" si="56"/>
        <v>0.21946745263654244</v>
      </c>
      <c r="J88" s="110">
        <v>8.76</v>
      </c>
      <c r="K88" s="592">
        <v>20</v>
      </c>
      <c r="L88" s="590">
        <f t="shared" si="57"/>
        <v>-2.5281249999999034E-2</v>
      </c>
      <c r="CZ88" s="320"/>
      <c r="DA88" s="320"/>
      <c r="DB88" s="320"/>
      <c r="DC88" s="321"/>
      <c r="DD88" s="423"/>
      <c r="DE88" s="424"/>
      <c r="DF88" s="425"/>
      <c r="DG88" s="426"/>
      <c r="DH88" s="427"/>
      <c r="DI88" s="427"/>
      <c r="DJ88" s="427"/>
      <c r="DK88" s="428"/>
      <c r="DL88" s="427"/>
      <c r="DM88" s="427"/>
      <c r="DN88" s="427"/>
      <c r="DO88" s="321"/>
      <c r="DP88" s="320"/>
      <c r="DQ88" s="320"/>
      <c r="DR88" s="320"/>
      <c r="DS88" s="321"/>
      <c r="DT88" s="321"/>
      <c r="DU88" s="320"/>
      <c r="DV88" s="320"/>
      <c r="DW88" s="320"/>
      <c r="DX88" s="321"/>
      <c r="DY88" s="320"/>
      <c r="DZ88" s="320"/>
      <c r="EA88" s="320"/>
      <c r="EB88" s="321"/>
      <c r="EC88" s="320"/>
      <c r="ED88" s="320"/>
      <c r="EE88" s="320"/>
      <c r="EF88" s="321"/>
      <c r="EG88" s="320"/>
      <c r="EH88" s="320"/>
      <c r="EI88" s="320"/>
      <c r="EJ88" s="321"/>
      <c r="EK88" s="323"/>
      <c r="EL88" s="320"/>
      <c r="EM88" s="320"/>
      <c r="EN88" s="320"/>
      <c r="EO88" s="321"/>
      <c r="EP88" s="320"/>
      <c r="EQ88" s="320"/>
      <c r="ER88" s="320"/>
      <c r="ES88" s="321"/>
      <c r="ET88" s="320"/>
      <c r="EU88" s="320"/>
      <c r="EV88" s="320"/>
      <c r="EW88" s="321"/>
      <c r="EX88" s="320"/>
      <c r="EY88" s="320"/>
      <c r="EZ88" s="320"/>
      <c r="FA88" s="321"/>
      <c r="FB88" s="321"/>
      <c r="FC88" s="323"/>
      <c r="FD88" s="320"/>
      <c r="FE88" s="244">
        <v>9.4</v>
      </c>
      <c r="FF88" s="103">
        <v>2.5</v>
      </c>
      <c r="FG88" s="103">
        <v>28.7</v>
      </c>
      <c r="FH88" s="92">
        <f t="shared" ref="FH88:FH93" si="58">((FG88-1.5)*14.5)-2.65</f>
        <v>391.75</v>
      </c>
      <c r="FI88" s="544">
        <v>9.76</v>
      </c>
      <c r="FJ88" s="512">
        <v>3</v>
      </c>
      <c r="FK88" s="512">
        <v>27.6</v>
      </c>
      <c r="FL88" s="92">
        <f t="shared" ref="FL88:FL93" si="59">((FK88-1.5)*14.5)-2.65</f>
        <v>375.80000000000007</v>
      </c>
      <c r="FM88" s="550">
        <v>9.84</v>
      </c>
      <c r="FN88" s="282">
        <v>3</v>
      </c>
      <c r="FO88" s="282">
        <v>26.5</v>
      </c>
      <c r="FP88" s="92">
        <f t="shared" ref="FP88:FP93" si="60">((FO88-1.5)*14.5)-2.65</f>
        <v>359.85</v>
      </c>
      <c r="FQ88" s="557">
        <v>9.86</v>
      </c>
      <c r="FR88" s="514">
        <v>3</v>
      </c>
      <c r="FS88" s="514">
        <v>29</v>
      </c>
      <c r="FT88" s="92">
        <f t="shared" ref="FT88:FT93" si="61">((FS88-1.5)*14.5)-2.65</f>
        <v>396.1</v>
      </c>
      <c r="FU88" s="556">
        <v>9.99</v>
      </c>
      <c r="FV88" s="515">
        <v>3</v>
      </c>
      <c r="FW88" s="515">
        <v>28.5</v>
      </c>
      <c r="FX88" s="92">
        <f t="shared" ref="FX88:FX93" si="62">((FW88-1.5)*14.5)-2.65</f>
        <v>388.85</v>
      </c>
      <c r="FY88" s="202">
        <v>6.84</v>
      </c>
      <c r="FZ88" s="516">
        <v>9.14</v>
      </c>
      <c r="GA88" s="517">
        <v>2.5</v>
      </c>
      <c r="GB88" s="517">
        <v>27</v>
      </c>
      <c r="GC88" s="92">
        <f t="shared" ref="GC88:GC93" si="63">((GB88-1.5)*14.5)-2.65</f>
        <v>367.1</v>
      </c>
      <c r="GD88" s="245">
        <v>9.66</v>
      </c>
      <c r="GE88" s="91">
        <v>2.5</v>
      </c>
      <c r="GF88" s="91">
        <v>26.2</v>
      </c>
      <c r="GG88" s="92">
        <f t="shared" ref="GG88:GG93" si="64">((GF88-1.5)*14.5)-2.65</f>
        <v>355.5</v>
      </c>
      <c r="GH88" s="555">
        <v>9.69</v>
      </c>
      <c r="GI88" s="519">
        <v>3.5</v>
      </c>
      <c r="GJ88" s="519">
        <v>26.3</v>
      </c>
      <c r="GK88" s="92">
        <f t="shared" ref="GK88:GK93" si="65">((GJ88-1.5)*14.5)-2.65</f>
        <v>356.95000000000005</v>
      </c>
      <c r="GL88" s="553">
        <v>9.59</v>
      </c>
      <c r="GM88" s="520">
        <v>3</v>
      </c>
      <c r="GN88" s="520">
        <v>26.8</v>
      </c>
      <c r="GO88" s="92">
        <f t="shared" ref="GO88:GO93" si="66">((GN88-1.5)*14.5)-2.65</f>
        <v>364.20000000000005</v>
      </c>
      <c r="GP88" s="552">
        <v>9.93</v>
      </c>
      <c r="GQ88" s="521">
        <v>2.2000000000000002</v>
      </c>
      <c r="GR88" s="521">
        <v>29</v>
      </c>
      <c r="GS88" s="92">
        <f t="shared" ref="GS88:GS93" si="67">((GR88-1.5)*14.5)-2.65</f>
        <v>396.1</v>
      </c>
      <c r="GT88" s="202">
        <v>6.6</v>
      </c>
      <c r="GU88" s="522">
        <v>9.7200000000000006</v>
      </c>
      <c r="GV88" s="523">
        <v>3.5</v>
      </c>
      <c r="GW88" s="523">
        <v>28.6</v>
      </c>
      <c r="GX88" s="92">
        <f t="shared" ref="GX88:GX93" si="68">((GW88-1.5)*14.5)-2.65</f>
        <v>390.30000000000007</v>
      </c>
      <c r="GY88" s="551">
        <v>9.85</v>
      </c>
      <c r="GZ88" s="524">
        <v>3.5</v>
      </c>
      <c r="HA88" s="524">
        <v>28.4</v>
      </c>
      <c r="HB88" s="92">
        <f t="shared" ref="HB88:HB93" si="69">((HA88-1.5)*14.5)-2.65</f>
        <v>387.4</v>
      </c>
      <c r="HC88" s="550">
        <v>9.73</v>
      </c>
      <c r="HD88" s="282">
        <v>3.5</v>
      </c>
      <c r="HE88" s="282">
        <v>27</v>
      </c>
      <c r="HF88" s="92">
        <f t="shared" ref="HF88:HF93" si="70">((HE88-1.5)*14.5)-2.65</f>
        <v>367.1</v>
      </c>
      <c r="HG88" s="548">
        <v>9.8000000000000007</v>
      </c>
      <c r="HH88" s="525">
        <v>3</v>
      </c>
      <c r="HI88" s="525">
        <v>29</v>
      </c>
      <c r="HJ88" s="92">
        <f t="shared" ref="HJ88:HJ93" si="71">((HI88-1.5)*14.5)-2.65</f>
        <v>396.1</v>
      </c>
      <c r="HK88" s="547">
        <v>9.66</v>
      </c>
      <c r="HL88" s="526">
        <v>3</v>
      </c>
      <c r="HM88" s="526">
        <v>26</v>
      </c>
      <c r="HN88" s="92">
        <f t="shared" ref="HN88:HN93" si="72">((HM88-1.5)*14.5)-2.65</f>
        <v>352.6</v>
      </c>
      <c r="HO88" s="202">
        <v>7.64</v>
      </c>
      <c r="HP88" s="546">
        <v>9.7799999999999994</v>
      </c>
      <c r="HQ88" s="324">
        <v>3</v>
      </c>
      <c r="HR88" s="324">
        <v>27.8</v>
      </c>
      <c r="HS88" s="92">
        <f t="shared" ref="HS88:HS93" si="73">((HR88-1.5)*14.5)-2.65</f>
        <v>378.70000000000005</v>
      </c>
      <c r="HT88" s="244">
        <v>9.82</v>
      </c>
      <c r="HU88" s="103">
        <v>3</v>
      </c>
      <c r="HV88" s="103">
        <v>26.5</v>
      </c>
      <c r="HW88" s="92">
        <f t="shared" ref="HW88:HW93" si="74">((HV88-1.5)*14.5)-2.65</f>
        <v>359.85</v>
      </c>
      <c r="HX88" s="544">
        <v>9.76</v>
      </c>
      <c r="HY88" s="512">
        <v>2.5</v>
      </c>
      <c r="HZ88" s="512">
        <v>26.3</v>
      </c>
      <c r="IA88" s="92">
        <f t="shared" ref="IA88:IA93" si="75">((HZ88-1.5)*14.5)-2.65</f>
        <v>356.95000000000005</v>
      </c>
      <c r="IB88" s="542">
        <v>9.89</v>
      </c>
      <c r="IC88" s="86">
        <v>3</v>
      </c>
      <c r="ID88" s="86">
        <v>28</v>
      </c>
      <c r="IE88" s="92">
        <f t="shared" ref="IE88:IE93" si="76">((ID88-1.5)*14.5)-2.65</f>
        <v>381.6</v>
      </c>
      <c r="IF88" s="540">
        <v>9.9</v>
      </c>
      <c r="IG88" s="533">
        <v>2</v>
      </c>
      <c r="IH88" s="533">
        <v>29</v>
      </c>
      <c r="II88" s="92">
        <f t="shared" ref="II88:II93" si="77">((IH88-1.5)*14.5)-2.65</f>
        <v>396.1</v>
      </c>
      <c r="IJ88" s="248">
        <v>6.77</v>
      </c>
      <c r="IK88" s="248">
        <v>6.61</v>
      </c>
      <c r="IL88" s="248">
        <v>6.66</v>
      </c>
    </row>
    <row r="89" spans="1:246">
      <c r="A89" s="39">
        <v>44694</v>
      </c>
      <c r="B89" s="34">
        <v>140</v>
      </c>
      <c r="C89" s="573" t="s">
        <v>171</v>
      </c>
      <c r="D89" s="661">
        <f>AVERAGE(AT28:AT71)</f>
        <v>9.513372093023257</v>
      </c>
      <c r="E89" s="292">
        <f>AVERAGE(AU28:AU71)</f>
        <v>2.725609756097561</v>
      </c>
      <c r="F89" s="292">
        <f>AVERAGE(AW28:AW71)</f>
        <v>356.79324324324324</v>
      </c>
      <c r="G89" s="292">
        <v>650.08000000000004</v>
      </c>
      <c r="H89" s="292">
        <f t="shared" si="55"/>
        <v>1.8220075977078103</v>
      </c>
      <c r="I89" s="292">
        <f t="shared" si="56"/>
        <v>0.31244996312912821</v>
      </c>
      <c r="J89" s="367">
        <v>7.34</v>
      </c>
      <c r="K89" s="593" t="s">
        <v>171</v>
      </c>
      <c r="L89" s="590">
        <f t="shared" si="57"/>
        <v>2.1733720930232572</v>
      </c>
      <c r="M89" s="95" t="s">
        <v>1773</v>
      </c>
      <c r="FE89" s="244">
        <v>8.68</v>
      </c>
      <c r="FF89" s="103">
        <v>3</v>
      </c>
      <c r="FG89" s="103">
        <v>28.5</v>
      </c>
      <c r="FH89" s="92">
        <f t="shared" si="58"/>
        <v>388.85</v>
      </c>
      <c r="FI89" s="544">
        <v>8.74</v>
      </c>
      <c r="FJ89" s="512">
        <v>3.5</v>
      </c>
      <c r="FK89" s="512">
        <v>28.4</v>
      </c>
      <c r="FL89" s="92">
        <f t="shared" si="59"/>
        <v>387.4</v>
      </c>
      <c r="FM89" s="550">
        <v>8.76</v>
      </c>
      <c r="FN89" s="282">
        <v>3</v>
      </c>
      <c r="FO89" s="282">
        <v>27</v>
      </c>
      <c r="FP89" s="92">
        <f t="shared" si="60"/>
        <v>367.1</v>
      </c>
      <c r="FQ89" s="557">
        <v>8.98</v>
      </c>
      <c r="FR89" s="514">
        <v>2.5</v>
      </c>
      <c r="FS89" s="514">
        <v>29</v>
      </c>
      <c r="FT89" s="92">
        <f t="shared" si="61"/>
        <v>396.1</v>
      </c>
      <c r="FU89" s="556">
        <v>8.9600000000000009</v>
      </c>
      <c r="FV89" s="515">
        <v>3</v>
      </c>
      <c r="FW89" s="515">
        <v>28.5</v>
      </c>
      <c r="FX89" s="92">
        <f t="shared" si="62"/>
        <v>388.85</v>
      </c>
      <c r="FY89" s="202">
        <v>8.6999999999999993</v>
      </c>
      <c r="FZ89" s="516">
        <v>8.44</v>
      </c>
      <c r="GA89" s="517">
        <v>3</v>
      </c>
      <c r="GB89" s="517">
        <v>27</v>
      </c>
      <c r="GC89" s="92">
        <f t="shared" si="63"/>
        <v>367.1</v>
      </c>
      <c r="GD89" s="560">
        <v>9.01</v>
      </c>
      <c r="GE89" s="91">
        <v>3</v>
      </c>
      <c r="GF89" s="91">
        <v>26.3</v>
      </c>
      <c r="GG89" s="92">
        <f t="shared" si="64"/>
        <v>356.95000000000005</v>
      </c>
      <c r="GH89" s="555">
        <v>9.1999999999999993</v>
      </c>
      <c r="GI89" s="519">
        <v>3</v>
      </c>
      <c r="GJ89" s="519">
        <v>26.9</v>
      </c>
      <c r="GK89" s="92">
        <f t="shared" si="65"/>
        <v>365.65</v>
      </c>
      <c r="GL89" s="553">
        <v>9.16</v>
      </c>
      <c r="GM89" s="520">
        <v>3</v>
      </c>
      <c r="GN89" s="520">
        <v>26.8</v>
      </c>
      <c r="GO89" s="92">
        <f t="shared" si="66"/>
        <v>364.20000000000005</v>
      </c>
      <c r="GP89" s="552">
        <v>9.49</v>
      </c>
      <c r="GQ89" s="521">
        <v>2.5</v>
      </c>
      <c r="GR89" s="521">
        <v>29</v>
      </c>
      <c r="GS89" s="92">
        <f t="shared" si="67"/>
        <v>396.1</v>
      </c>
      <c r="GT89" s="202">
        <v>7.02</v>
      </c>
      <c r="GU89" s="522">
        <v>8.89</v>
      </c>
      <c r="GV89" s="523">
        <v>2.5</v>
      </c>
      <c r="GW89" s="523">
        <v>28.4</v>
      </c>
      <c r="GX89" s="92">
        <f t="shared" si="68"/>
        <v>387.4</v>
      </c>
      <c r="GY89" s="551">
        <v>9.16</v>
      </c>
      <c r="GZ89" s="524">
        <v>3.5</v>
      </c>
      <c r="HA89" s="524">
        <v>28.5</v>
      </c>
      <c r="HB89" s="92">
        <f t="shared" si="69"/>
        <v>388.85</v>
      </c>
      <c r="HC89" s="550">
        <v>9.1999999999999993</v>
      </c>
      <c r="HD89" s="282">
        <v>3.5</v>
      </c>
      <c r="HE89" s="282">
        <v>27</v>
      </c>
      <c r="HF89" s="92">
        <f t="shared" si="70"/>
        <v>367.1</v>
      </c>
      <c r="HG89" s="548">
        <v>9.18</v>
      </c>
      <c r="HH89" s="525">
        <v>3.5</v>
      </c>
      <c r="HI89" s="525">
        <v>29</v>
      </c>
      <c r="HJ89" s="92">
        <f t="shared" si="71"/>
        <v>396.1</v>
      </c>
      <c r="HK89" s="547">
        <v>9.51</v>
      </c>
      <c r="HL89" s="526">
        <v>3.5</v>
      </c>
      <c r="HM89" s="526">
        <v>26</v>
      </c>
      <c r="HN89" s="92">
        <f t="shared" si="72"/>
        <v>352.6</v>
      </c>
      <c r="HO89" s="202">
        <v>7.19</v>
      </c>
      <c r="HP89" s="546">
        <v>9.68</v>
      </c>
      <c r="HQ89" s="324">
        <v>3.5</v>
      </c>
      <c r="HR89" s="324">
        <v>28</v>
      </c>
      <c r="HS89" s="92">
        <f t="shared" si="73"/>
        <v>381.6</v>
      </c>
      <c r="HT89" s="244">
        <v>9.64</v>
      </c>
      <c r="HU89" s="103">
        <v>3</v>
      </c>
      <c r="HV89" s="103">
        <v>26</v>
      </c>
      <c r="HW89" s="92">
        <f t="shared" si="74"/>
        <v>352.6</v>
      </c>
      <c r="HX89" s="544">
        <v>9.58</v>
      </c>
      <c r="HY89" s="512">
        <v>3</v>
      </c>
      <c r="HZ89" s="512">
        <v>26.5</v>
      </c>
      <c r="IA89" s="92">
        <f t="shared" si="75"/>
        <v>359.85</v>
      </c>
      <c r="IB89" s="542">
        <v>9.93</v>
      </c>
      <c r="IC89" s="86">
        <v>2.75</v>
      </c>
      <c r="ID89" s="86">
        <v>28</v>
      </c>
      <c r="IE89" s="92">
        <f t="shared" si="76"/>
        <v>381.6</v>
      </c>
      <c r="IF89" s="540">
        <v>9.91</v>
      </c>
      <c r="IG89" s="533">
        <v>2.5</v>
      </c>
      <c r="IH89" s="533">
        <v>29</v>
      </c>
      <c r="II89" s="92">
        <f t="shared" si="77"/>
        <v>396.1</v>
      </c>
      <c r="IJ89" s="248">
        <v>7.8</v>
      </c>
      <c r="IK89" s="248">
        <v>7.36</v>
      </c>
      <c r="IL89" s="248">
        <v>7.59</v>
      </c>
    </row>
    <row r="90" spans="1:246">
      <c r="A90" s="39">
        <v>44697</v>
      </c>
      <c r="B90" s="34">
        <v>140</v>
      </c>
      <c r="C90" s="573" t="s">
        <v>172</v>
      </c>
      <c r="D90" s="661">
        <f>AVERAGE(AX28:AX71)</f>
        <v>9.4142325581395347</v>
      </c>
      <c r="E90" s="292">
        <f>AVERAGE(AY28:AY71)</f>
        <v>2.7621951219512195</v>
      </c>
      <c r="F90" s="292">
        <f>AVERAGE(BA28:BA71)</f>
        <v>363.92567567567579</v>
      </c>
      <c r="G90" s="292">
        <f>255.05+510.15</f>
        <v>765.2</v>
      </c>
      <c r="H90" s="292">
        <f t="shared" si="55"/>
        <v>2.1026271328048121</v>
      </c>
      <c r="I90" s="292">
        <f t="shared" si="56"/>
        <v>0.20655579894158038</v>
      </c>
      <c r="J90" s="367">
        <v>7.34</v>
      </c>
      <c r="K90" s="593" t="s">
        <v>172</v>
      </c>
      <c r="L90" s="590">
        <f t="shared" si="57"/>
        <v>2.0742325581395349</v>
      </c>
      <c r="CZ90" s="103">
        <f>STDEV(CZ76:CZ87)</f>
        <v>0.63836046504567701</v>
      </c>
      <c r="DD90" s="103">
        <f>STDEV(DD76:DD87)</f>
        <v>0.41907613939004046</v>
      </c>
      <c r="DH90" s="103">
        <f>STDEV(DH76:DH87)</f>
        <v>0.43806305758902159</v>
      </c>
      <c r="DL90" s="103">
        <f>STDEV(DL76:DL87)</f>
        <v>0.39221592692461293</v>
      </c>
      <c r="DP90" s="103">
        <f>STDEV(DP76:DP87)</f>
        <v>9.9555831754667243E-2</v>
      </c>
      <c r="DT90" s="103">
        <f>STDEV(DT76:DT87)</f>
        <v>0.51597110560396875</v>
      </c>
      <c r="DU90" s="103">
        <f>STDEV(DU78:DU87)</f>
        <v>0.6514159023064896</v>
      </c>
      <c r="DY90" s="103">
        <f>STDEV(DY77:DY87)</f>
        <v>0.51482035701786288</v>
      </c>
      <c r="EC90" s="103">
        <f>STDEV(EC77:EC87)</f>
        <v>0.50297003344677971</v>
      </c>
      <c r="EG90" s="103">
        <f>STDEV(EG77:EG87)</f>
        <v>0.15586007710880809</v>
      </c>
      <c r="EK90" s="103">
        <f>STDEV(EK77:EK87)</f>
        <v>0.46731060334642532</v>
      </c>
      <c r="EL90" s="669">
        <v>0.46218965000000001</v>
      </c>
      <c r="EP90" s="669">
        <v>0.46218965000000001</v>
      </c>
      <c r="ET90" s="669">
        <v>0.46218965000000001</v>
      </c>
      <c r="EX90" s="103">
        <f>STDEV(EX77:EX87)</f>
        <v>0.41473101907358995</v>
      </c>
      <c r="FB90" s="103">
        <f t="shared" ref="FB90:FC90" si="78">STDEV(FB77:FB87)</f>
        <v>0.11553983964613501</v>
      </c>
      <c r="FC90" s="103">
        <f t="shared" si="78"/>
        <v>0.58587370652726845</v>
      </c>
      <c r="FD90" s="103">
        <f>STDEV(FD77:FD87)</f>
        <v>0.46218965017325175</v>
      </c>
      <c r="FE90" s="244">
        <v>8.6199999999999992</v>
      </c>
      <c r="FF90" s="103">
        <v>3</v>
      </c>
      <c r="FG90" s="103">
        <v>28.2</v>
      </c>
      <c r="FH90" s="92">
        <f t="shared" si="58"/>
        <v>384.5</v>
      </c>
      <c r="FI90" s="544">
        <v>8.6199999999999992</v>
      </c>
      <c r="FJ90" s="512">
        <v>3</v>
      </c>
      <c r="FK90" s="512">
        <v>28.9</v>
      </c>
      <c r="FL90" s="92">
        <f t="shared" si="59"/>
        <v>394.65</v>
      </c>
      <c r="FM90" s="550">
        <v>8.75</v>
      </c>
      <c r="FN90" s="282">
        <v>3.5</v>
      </c>
      <c r="FO90" s="282">
        <v>26.9</v>
      </c>
      <c r="FP90" s="92">
        <f t="shared" si="60"/>
        <v>365.65</v>
      </c>
      <c r="FQ90" s="557">
        <v>8.91</v>
      </c>
      <c r="FR90" s="514">
        <v>3</v>
      </c>
      <c r="FS90" s="514">
        <v>29</v>
      </c>
      <c r="FT90" s="92">
        <f t="shared" si="61"/>
        <v>396.1</v>
      </c>
      <c r="FU90" s="556">
        <v>8.8800000000000008</v>
      </c>
      <c r="FV90" s="515">
        <v>3</v>
      </c>
      <c r="FW90" s="515">
        <v>28.2</v>
      </c>
      <c r="FX90" s="92">
        <f t="shared" si="62"/>
        <v>384.5</v>
      </c>
      <c r="FY90" s="202">
        <v>8.56</v>
      </c>
      <c r="FZ90" s="516">
        <v>8.2899999999999991</v>
      </c>
      <c r="GA90" s="517">
        <v>3</v>
      </c>
      <c r="GB90" s="517">
        <v>26.9</v>
      </c>
      <c r="GC90" s="92">
        <f t="shared" si="63"/>
        <v>365.65</v>
      </c>
      <c r="GD90" s="245">
        <v>8.99</v>
      </c>
      <c r="GE90" s="91">
        <v>3.5</v>
      </c>
      <c r="GF90" s="91">
        <v>26.1</v>
      </c>
      <c r="GG90" s="92">
        <f t="shared" si="64"/>
        <v>354.05000000000007</v>
      </c>
      <c r="GH90" s="555">
        <v>9.3000000000000007</v>
      </c>
      <c r="GI90" s="519">
        <v>3.5</v>
      </c>
      <c r="GJ90" s="519">
        <v>27.6</v>
      </c>
      <c r="GK90" s="92">
        <f t="shared" si="65"/>
        <v>375.80000000000007</v>
      </c>
      <c r="GL90" s="553">
        <v>9.31</v>
      </c>
      <c r="GM90" s="520">
        <v>3</v>
      </c>
      <c r="GN90" s="520">
        <v>26.7</v>
      </c>
      <c r="GO90" s="92">
        <f t="shared" si="66"/>
        <v>362.75</v>
      </c>
      <c r="GP90" s="552">
        <v>9.25</v>
      </c>
      <c r="GQ90" s="521">
        <v>2.2999999999999998</v>
      </c>
      <c r="GR90" s="521">
        <v>29</v>
      </c>
      <c r="GS90" s="92">
        <f t="shared" si="67"/>
        <v>396.1</v>
      </c>
      <c r="GT90" s="202">
        <v>7.4</v>
      </c>
      <c r="GU90" s="522">
        <v>8.99</v>
      </c>
      <c r="GV90" s="523">
        <v>2.75</v>
      </c>
      <c r="GW90" s="523">
        <v>28.8</v>
      </c>
      <c r="GX90" s="92">
        <f t="shared" si="68"/>
        <v>393.20000000000005</v>
      </c>
      <c r="GY90" s="551">
        <v>9.0399999999999991</v>
      </c>
      <c r="GZ90" s="524">
        <v>3.5</v>
      </c>
      <c r="HA90" s="524">
        <v>28.1</v>
      </c>
      <c r="HB90" s="92">
        <f t="shared" si="69"/>
        <v>383.05000000000007</v>
      </c>
      <c r="HC90" s="550">
        <v>9.02</v>
      </c>
      <c r="HD90" s="282">
        <v>3</v>
      </c>
      <c r="HE90" s="282">
        <v>27.2</v>
      </c>
      <c r="HF90" s="92">
        <f t="shared" si="70"/>
        <v>370</v>
      </c>
      <c r="HG90" s="548">
        <v>9.18</v>
      </c>
      <c r="HH90" s="525">
        <v>3</v>
      </c>
      <c r="HI90" s="525">
        <v>29</v>
      </c>
      <c r="HJ90" s="92">
        <f t="shared" si="71"/>
        <v>396.1</v>
      </c>
      <c r="HK90" s="547">
        <v>9.57</v>
      </c>
      <c r="HL90" s="526">
        <v>3</v>
      </c>
      <c r="HM90" s="526">
        <v>26</v>
      </c>
      <c r="HN90" s="92">
        <f t="shared" si="72"/>
        <v>352.6</v>
      </c>
      <c r="HO90" s="202">
        <v>6.9</v>
      </c>
      <c r="HP90" s="546">
        <v>9.66</v>
      </c>
      <c r="HQ90" s="324">
        <v>3.5</v>
      </c>
      <c r="HR90" s="324">
        <v>28</v>
      </c>
      <c r="HS90" s="92">
        <f t="shared" si="73"/>
        <v>381.6</v>
      </c>
      <c r="HT90" s="244">
        <v>9.57</v>
      </c>
      <c r="HU90" s="103">
        <v>3</v>
      </c>
      <c r="HV90" s="103">
        <v>26.7</v>
      </c>
      <c r="HW90" s="92">
        <f t="shared" si="74"/>
        <v>362.75</v>
      </c>
      <c r="HX90" s="544">
        <v>9.5299999999999994</v>
      </c>
      <c r="HY90" s="512">
        <v>2.5</v>
      </c>
      <c r="HZ90" s="512">
        <v>27</v>
      </c>
      <c r="IA90" s="92">
        <f t="shared" si="75"/>
        <v>367.1</v>
      </c>
      <c r="IB90" s="542">
        <v>9.8800000000000008</v>
      </c>
      <c r="IC90" s="86">
        <v>3</v>
      </c>
      <c r="ID90" s="86">
        <v>28</v>
      </c>
      <c r="IE90" s="92">
        <f t="shared" si="76"/>
        <v>381.6</v>
      </c>
      <c r="IF90" s="540">
        <v>9.6</v>
      </c>
      <c r="IG90" s="533">
        <v>3</v>
      </c>
      <c r="IH90" s="533">
        <v>29</v>
      </c>
      <c r="II90" s="92">
        <f t="shared" si="77"/>
        <v>396.1</v>
      </c>
      <c r="IJ90" s="248">
        <v>7.34</v>
      </c>
      <c r="IK90" s="248">
        <v>7.06</v>
      </c>
      <c r="IL90" s="248">
        <v>7.04</v>
      </c>
    </row>
    <row r="91" spans="1:246">
      <c r="A91" s="39">
        <v>44700</v>
      </c>
      <c r="B91" s="34">
        <v>140</v>
      </c>
      <c r="C91" s="573" t="s">
        <v>173</v>
      </c>
      <c r="D91" s="661">
        <f>AVERAGE(BB28:BB71)</f>
        <v>9.4413953488372115</v>
      </c>
      <c r="E91" s="292">
        <f>AVERAGE(BC28:BC71)</f>
        <v>3.1585365853658538</v>
      </c>
      <c r="F91" s="292">
        <f>AVERAGE(BE28:BE71)</f>
        <v>354.83378378378387</v>
      </c>
      <c r="G91" s="292">
        <f>255+510.03</f>
        <v>765.03</v>
      </c>
      <c r="H91" s="292">
        <f t="shared" si="55"/>
        <v>2.1560235664205161</v>
      </c>
      <c r="I91" s="292">
        <f t="shared" si="56"/>
        <v>0.18640620135074859</v>
      </c>
      <c r="J91" s="367">
        <v>7.34</v>
      </c>
      <c r="K91" s="593" t="s">
        <v>173</v>
      </c>
      <c r="L91" s="590">
        <f t="shared" si="57"/>
        <v>2.1013953488372117</v>
      </c>
      <c r="FE91" s="244">
        <v>8.65</v>
      </c>
      <c r="FF91" s="103">
        <v>3.5</v>
      </c>
      <c r="FG91" s="103">
        <v>28.2</v>
      </c>
      <c r="FH91" s="92">
        <f t="shared" si="58"/>
        <v>384.5</v>
      </c>
      <c r="FI91" s="544">
        <v>8.6</v>
      </c>
      <c r="FJ91" s="512">
        <v>3</v>
      </c>
      <c r="FK91" s="512">
        <v>29</v>
      </c>
      <c r="FL91" s="92">
        <f t="shared" si="59"/>
        <v>396.1</v>
      </c>
      <c r="FM91" s="550">
        <v>8.8000000000000007</v>
      </c>
      <c r="FN91" s="282">
        <v>3</v>
      </c>
      <c r="FO91" s="282">
        <v>27.6</v>
      </c>
      <c r="FP91" s="92">
        <f t="shared" si="60"/>
        <v>375.80000000000007</v>
      </c>
      <c r="FQ91" s="557">
        <v>8.9</v>
      </c>
      <c r="FR91" s="514">
        <v>2.5</v>
      </c>
      <c r="FS91" s="514">
        <v>29</v>
      </c>
      <c r="FT91" s="92">
        <f t="shared" si="61"/>
        <v>396.1</v>
      </c>
      <c r="FU91" s="556">
        <v>8.85</v>
      </c>
      <c r="FV91" s="515">
        <v>3</v>
      </c>
      <c r="FW91" s="515">
        <v>28.2</v>
      </c>
      <c r="FX91" s="92">
        <f t="shared" si="62"/>
        <v>384.5</v>
      </c>
      <c r="FY91" s="202">
        <v>8.6199999999999992</v>
      </c>
      <c r="FZ91" s="516">
        <v>8.3800000000000008</v>
      </c>
      <c r="GA91" s="517">
        <v>2.5</v>
      </c>
      <c r="GB91" s="517">
        <v>26.9</v>
      </c>
      <c r="GC91" s="92">
        <f t="shared" si="63"/>
        <v>365.65</v>
      </c>
      <c r="GD91" s="245">
        <v>9.15</v>
      </c>
      <c r="GE91" s="91">
        <v>3</v>
      </c>
      <c r="GF91" s="91">
        <v>26.4</v>
      </c>
      <c r="GG91" s="92">
        <f t="shared" si="64"/>
        <v>358.4</v>
      </c>
      <c r="GH91" s="555">
        <v>9.09</v>
      </c>
      <c r="GI91" s="519">
        <v>3</v>
      </c>
      <c r="GJ91" s="519">
        <v>27.8</v>
      </c>
      <c r="GK91" s="92">
        <f t="shared" si="65"/>
        <v>378.70000000000005</v>
      </c>
      <c r="GL91" s="553">
        <v>9.31</v>
      </c>
      <c r="GM91" s="520">
        <v>3</v>
      </c>
      <c r="GN91" s="520">
        <v>26.9</v>
      </c>
      <c r="GO91" s="92">
        <f t="shared" si="66"/>
        <v>365.65</v>
      </c>
      <c r="GP91" s="552">
        <v>9.3000000000000007</v>
      </c>
      <c r="GQ91" s="521">
        <v>2.5</v>
      </c>
      <c r="GR91" s="521">
        <v>29</v>
      </c>
      <c r="GS91" s="92">
        <f t="shared" si="67"/>
        <v>396.1</v>
      </c>
      <c r="GT91" s="202">
        <v>7.03</v>
      </c>
      <c r="GU91" s="522">
        <v>9.1300000000000008</v>
      </c>
      <c r="GV91" s="523">
        <v>3.5</v>
      </c>
      <c r="GW91" s="523">
        <v>28.4</v>
      </c>
      <c r="GX91" s="92">
        <f t="shared" si="68"/>
        <v>387.4</v>
      </c>
      <c r="GY91" s="551">
        <v>9.02</v>
      </c>
      <c r="GZ91" s="524">
        <v>3.5</v>
      </c>
      <c r="HA91" s="524">
        <v>29</v>
      </c>
      <c r="HB91" s="92">
        <f t="shared" si="69"/>
        <v>396.1</v>
      </c>
      <c r="HC91" s="550">
        <v>9.2200000000000006</v>
      </c>
      <c r="HD91" s="282">
        <v>3</v>
      </c>
      <c r="HE91" s="282">
        <v>29</v>
      </c>
      <c r="HF91" s="92">
        <f t="shared" si="70"/>
        <v>396.1</v>
      </c>
      <c r="HG91" s="548">
        <v>9.1</v>
      </c>
      <c r="HH91" s="525">
        <v>3</v>
      </c>
      <c r="HI91" s="525">
        <v>29</v>
      </c>
      <c r="HJ91" s="92">
        <f t="shared" si="71"/>
        <v>396.1</v>
      </c>
      <c r="HK91" s="547">
        <v>9.61</v>
      </c>
      <c r="HL91" s="526">
        <v>3</v>
      </c>
      <c r="HM91" s="526">
        <v>25.6</v>
      </c>
      <c r="HN91" s="92">
        <f t="shared" si="72"/>
        <v>346.80000000000007</v>
      </c>
      <c r="HO91" s="202">
        <v>7.58</v>
      </c>
      <c r="HP91" s="546">
        <v>9.7899999999999991</v>
      </c>
      <c r="HQ91" s="324">
        <v>2.25</v>
      </c>
      <c r="HR91" s="324">
        <v>28</v>
      </c>
      <c r="HS91" s="92">
        <f t="shared" si="73"/>
        <v>381.6</v>
      </c>
      <c r="HT91" s="244">
        <v>9.67</v>
      </c>
      <c r="HU91" s="103">
        <v>3</v>
      </c>
      <c r="HV91" s="103">
        <v>26.4</v>
      </c>
      <c r="HW91" s="92">
        <f t="shared" si="74"/>
        <v>358.4</v>
      </c>
      <c r="HX91" s="544">
        <v>9.57</v>
      </c>
      <c r="HY91" s="512">
        <v>2.5</v>
      </c>
      <c r="HZ91" s="512">
        <v>26.9</v>
      </c>
      <c r="IA91" s="92">
        <f t="shared" si="75"/>
        <v>365.65</v>
      </c>
      <c r="IB91" s="542">
        <v>9.84</v>
      </c>
      <c r="IC91" s="86">
        <v>3</v>
      </c>
      <c r="ID91" s="86">
        <v>28.5</v>
      </c>
      <c r="IE91" s="92">
        <f t="shared" si="76"/>
        <v>388.85</v>
      </c>
      <c r="IF91" s="540">
        <v>9.7100000000000009</v>
      </c>
      <c r="IG91" s="533">
        <v>2.5</v>
      </c>
      <c r="IH91" s="533">
        <v>28</v>
      </c>
      <c r="II91" s="92">
        <f t="shared" si="77"/>
        <v>381.6</v>
      </c>
      <c r="IJ91" s="248">
        <v>7.61</v>
      </c>
      <c r="IK91" s="248">
        <v>7.24</v>
      </c>
      <c r="IL91" s="248">
        <v>7.46</v>
      </c>
    </row>
    <row r="92" spans="1:246">
      <c r="A92" s="39">
        <v>44704</v>
      </c>
      <c r="B92" s="34">
        <v>141</v>
      </c>
      <c r="C92" s="573" t="s">
        <v>174</v>
      </c>
      <c r="D92" s="661">
        <f>AVERAGE(BF28:BF71)</f>
        <v>9.40744186046512</v>
      </c>
      <c r="E92" s="292">
        <f>AVERAGE(BG28:BG71)</f>
        <v>3.1097560975609757</v>
      </c>
      <c r="F92" s="292">
        <f>AVERAGE(BI28:BI71)</f>
        <v>370.3135135135135</v>
      </c>
      <c r="G92" s="292">
        <f>255.15+510.02</f>
        <v>765.17</v>
      </c>
      <c r="H92" s="292">
        <f t="shared" si="55"/>
        <v>2.0662762013195537</v>
      </c>
      <c r="I92" s="292">
        <f t="shared" si="56"/>
        <v>0.22027313157752693</v>
      </c>
      <c r="J92" s="367">
        <v>7.34</v>
      </c>
      <c r="K92" s="593" t="s">
        <v>174</v>
      </c>
      <c r="L92" s="590">
        <f t="shared" si="57"/>
        <v>2.0674418604651201</v>
      </c>
      <c r="FE92" s="244">
        <v>8.64</v>
      </c>
      <c r="FF92" s="103">
        <v>3.5</v>
      </c>
      <c r="FG92" s="103">
        <v>29</v>
      </c>
      <c r="FH92" s="92">
        <f t="shared" si="58"/>
        <v>396.1</v>
      </c>
      <c r="FI92" s="544">
        <v>8.64</v>
      </c>
      <c r="FJ92" s="512">
        <v>3</v>
      </c>
      <c r="FK92" s="512">
        <v>29</v>
      </c>
      <c r="FL92" s="92">
        <f t="shared" si="59"/>
        <v>396.1</v>
      </c>
      <c r="FM92" s="550">
        <v>8.7200000000000006</v>
      </c>
      <c r="FN92" s="282">
        <v>3.5</v>
      </c>
      <c r="FO92" s="282">
        <v>28.5</v>
      </c>
      <c r="FP92" s="92">
        <f t="shared" si="60"/>
        <v>388.85</v>
      </c>
      <c r="FQ92" s="557">
        <v>8.8800000000000008</v>
      </c>
      <c r="FR92" s="514">
        <v>2.5</v>
      </c>
      <c r="FS92" s="514">
        <v>29</v>
      </c>
      <c r="FT92" s="92">
        <f t="shared" si="61"/>
        <v>396.1</v>
      </c>
      <c r="FU92" s="556">
        <v>8.8800000000000008</v>
      </c>
      <c r="FV92" s="515">
        <v>2.5</v>
      </c>
      <c r="FW92" s="515">
        <v>28.5</v>
      </c>
      <c r="FX92" s="92">
        <f t="shared" si="62"/>
        <v>388.85</v>
      </c>
      <c r="FY92" s="202">
        <v>8.7200000000000006</v>
      </c>
      <c r="FZ92" s="516">
        <v>8.24</v>
      </c>
      <c r="GA92" s="517">
        <v>3</v>
      </c>
      <c r="GB92" s="517">
        <v>26.9</v>
      </c>
      <c r="GC92" s="92">
        <f t="shared" si="63"/>
        <v>365.65</v>
      </c>
      <c r="GD92" s="245">
        <v>8.86</v>
      </c>
      <c r="GE92" s="91">
        <v>3</v>
      </c>
      <c r="GF92" s="91">
        <v>26.5</v>
      </c>
      <c r="GG92" s="92">
        <f t="shared" si="64"/>
        <v>359.85</v>
      </c>
      <c r="GH92" s="555">
        <v>8.77</v>
      </c>
      <c r="GI92" s="519">
        <v>3</v>
      </c>
      <c r="GJ92" s="519">
        <v>27.7</v>
      </c>
      <c r="GK92" s="92">
        <f t="shared" si="65"/>
        <v>377.25</v>
      </c>
      <c r="GL92" s="553">
        <v>9.33</v>
      </c>
      <c r="GM92" s="520">
        <v>3</v>
      </c>
      <c r="GN92" s="520">
        <v>27.4</v>
      </c>
      <c r="GO92" s="92">
        <f t="shared" si="66"/>
        <v>372.9</v>
      </c>
      <c r="GP92" s="552">
        <v>9.2799999999999994</v>
      </c>
      <c r="GQ92" s="521">
        <v>2.5</v>
      </c>
      <c r="GR92" s="521">
        <v>29</v>
      </c>
      <c r="GS92" s="92">
        <f t="shared" si="67"/>
        <v>396.1</v>
      </c>
      <c r="GT92" s="202">
        <v>7</v>
      </c>
      <c r="GU92" s="522">
        <v>9.08</v>
      </c>
      <c r="GV92" s="523">
        <v>3</v>
      </c>
      <c r="GW92" s="523">
        <v>29</v>
      </c>
      <c r="GX92" s="92">
        <f t="shared" si="68"/>
        <v>396.1</v>
      </c>
      <c r="GY92" s="551">
        <v>8.81</v>
      </c>
      <c r="GZ92" s="524">
        <v>3</v>
      </c>
      <c r="HA92" s="524">
        <v>28.5</v>
      </c>
      <c r="HB92" s="92">
        <f t="shared" si="69"/>
        <v>388.85</v>
      </c>
      <c r="HC92" s="550">
        <v>9.15</v>
      </c>
      <c r="HD92" s="282">
        <v>3</v>
      </c>
      <c r="HE92" s="282">
        <v>29</v>
      </c>
      <c r="HF92" s="92">
        <f t="shared" si="70"/>
        <v>396.1</v>
      </c>
      <c r="HG92" s="548">
        <v>9.15</v>
      </c>
      <c r="HH92" s="525">
        <v>3</v>
      </c>
      <c r="HI92" s="525">
        <v>29</v>
      </c>
      <c r="HJ92" s="92">
        <f t="shared" si="71"/>
        <v>396.1</v>
      </c>
      <c r="HK92" s="547">
        <v>9.56</v>
      </c>
      <c r="HL92" s="526">
        <v>3</v>
      </c>
      <c r="HM92" s="526">
        <v>25.6</v>
      </c>
      <c r="HN92" s="92">
        <f t="shared" si="72"/>
        <v>346.80000000000007</v>
      </c>
      <c r="HO92" s="202">
        <v>6.89</v>
      </c>
      <c r="HP92" s="546">
        <v>9.82</v>
      </c>
      <c r="HQ92" s="324">
        <v>3</v>
      </c>
      <c r="HR92" s="324">
        <v>29</v>
      </c>
      <c r="HS92" s="92">
        <f t="shared" si="73"/>
        <v>396.1</v>
      </c>
      <c r="HT92" s="244">
        <v>9.7100000000000009</v>
      </c>
      <c r="HU92" s="103">
        <v>3.5</v>
      </c>
      <c r="HV92" s="103">
        <v>26.7</v>
      </c>
      <c r="HW92" s="92">
        <f t="shared" si="74"/>
        <v>362.75</v>
      </c>
      <c r="HX92" s="544">
        <v>9.66</v>
      </c>
      <c r="HY92" s="512">
        <v>2.5</v>
      </c>
      <c r="HZ92" s="512">
        <v>27</v>
      </c>
      <c r="IA92" s="92">
        <f t="shared" si="75"/>
        <v>367.1</v>
      </c>
      <c r="IB92" s="542">
        <v>9.85</v>
      </c>
      <c r="IC92" s="86">
        <v>3</v>
      </c>
      <c r="ID92" s="86">
        <v>29</v>
      </c>
      <c r="IE92" s="92">
        <f t="shared" si="76"/>
        <v>396.1</v>
      </c>
      <c r="IF92" s="540">
        <v>9.82</v>
      </c>
      <c r="IG92" s="533">
        <v>2.5</v>
      </c>
      <c r="IH92" s="533">
        <v>29</v>
      </c>
      <c r="II92" s="92">
        <f t="shared" si="77"/>
        <v>396.1</v>
      </c>
      <c r="IJ92" s="248">
        <v>7.16</v>
      </c>
      <c r="IK92" s="248">
        <v>7.2</v>
      </c>
      <c r="IL92" s="248">
        <v>7.13</v>
      </c>
    </row>
    <row r="93" spans="1:246">
      <c r="A93" s="39">
        <v>44706</v>
      </c>
      <c r="B93" s="34">
        <v>141</v>
      </c>
      <c r="C93" s="573">
        <v>30</v>
      </c>
      <c r="D93" s="661">
        <f>AVERAGE(BJ46:BJ77)</f>
        <v>9.9428125000000005</v>
      </c>
      <c r="E93" s="292">
        <f>AVERAGE(BK46:BK77)</f>
        <v>3.15</v>
      </c>
      <c r="F93" s="292">
        <f>AVERAGE(BM46:BM77)</f>
        <v>369.08703703703696</v>
      </c>
      <c r="G93" s="292">
        <v>765.62</v>
      </c>
      <c r="H93" s="292">
        <f t="shared" si="55"/>
        <v>2.0743616631628599</v>
      </c>
      <c r="I93" s="292">
        <f t="shared" si="56"/>
        <v>0.21722201390080753</v>
      </c>
      <c r="J93" s="367">
        <v>6.89</v>
      </c>
      <c r="K93" s="593">
        <v>30</v>
      </c>
      <c r="L93" s="590">
        <f t="shared" si="57"/>
        <v>3.0528125000000008</v>
      </c>
      <c r="FE93" s="244">
        <v>8.74</v>
      </c>
      <c r="FF93" s="103">
        <v>2.75</v>
      </c>
      <c r="FG93" s="103">
        <v>29</v>
      </c>
      <c r="FH93" s="92">
        <f t="shared" si="58"/>
        <v>396.1</v>
      </c>
      <c r="FI93" s="544">
        <v>8.69</v>
      </c>
      <c r="FJ93" s="512">
        <v>3</v>
      </c>
      <c r="FK93" s="512">
        <v>29</v>
      </c>
      <c r="FL93" s="92">
        <f t="shared" si="59"/>
        <v>396.1</v>
      </c>
      <c r="FM93" s="550">
        <v>8.7799999999999994</v>
      </c>
      <c r="FN93" s="282">
        <v>3</v>
      </c>
      <c r="FO93" s="282">
        <v>29</v>
      </c>
      <c r="FP93" s="92">
        <f t="shared" si="60"/>
        <v>396.1</v>
      </c>
      <c r="FQ93" s="557">
        <v>8.92</v>
      </c>
      <c r="FR93" s="514">
        <v>3</v>
      </c>
      <c r="FS93" s="514">
        <v>29</v>
      </c>
      <c r="FT93" s="92">
        <f t="shared" si="61"/>
        <v>396.1</v>
      </c>
      <c r="FU93" s="556">
        <v>8.82</v>
      </c>
      <c r="FV93" s="515">
        <v>3</v>
      </c>
      <c r="FW93" s="515">
        <v>28.4</v>
      </c>
      <c r="FX93" s="92">
        <f t="shared" si="62"/>
        <v>387.4</v>
      </c>
      <c r="FY93" s="202">
        <v>8.67</v>
      </c>
      <c r="FZ93" s="516">
        <v>8.4700000000000006</v>
      </c>
      <c r="GA93" s="517">
        <v>3</v>
      </c>
      <c r="GB93" s="517">
        <v>26.9</v>
      </c>
      <c r="GC93" s="92">
        <f t="shared" si="63"/>
        <v>365.65</v>
      </c>
      <c r="GD93" s="245">
        <v>8.4</v>
      </c>
      <c r="GE93" s="91">
        <v>3</v>
      </c>
      <c r="GF93" s="91">
        <v>26.4</v>
      </c>
      <c r="GG93" s="92">
        <f t="shared" si="64"/>
        <v>358.4</v>
      </c>
      <c r="GH93" s="555">
        <v>8.27</v>
      </c>
      <c r="GI93" s="519">
        <v>3.5</v>
      </c>
      <c r="GJ93" s="519">
        <v>27.6</v>
      </c>
      <c r="GK93" s="92">
        <f t="shared" si="65"/>
        <v>375.80000000000007</v>
      </c>
      <c r="GL93" s="553">
        <v>8.6999999999999993</v>
      </c>
      <c r="GM93" s="520">
        <v>3</v>
      </c>
      <c r="GN93" s="520">
        <v>27.4</v>
      </c>
      <c r="GO93" s="92">
        <f t="shared" si="66"/>
        <v>372.9</v>
      </c>
      <c r="GP93" s="552">
        <v>9.18</v>
      </c>
      <c r="GQ93" s="521">
        <v>3</v>
      </c>
      <c r="GR93" s="521">
        <v>29</v>
      </c>
      <c r="GS93" s="92">
        <f t="shared" si="67"/>
        <v>396.1</v>
      </c>
      <c r="GT93" s="202">
        <v>7.06</v>
      </c>
      <c r="GU93" s="522">
        <v>9.06</v>
      </c>
      <c r="GV93" s="523">
        <v>3</v>
      </c>
      <c r="GW93" s="523">
        <v>29</v>
      </c>
      <c r="GX93" s="92">
        <f t="shared" si="68"/>
        <v>396.1</v>
      </c>
      <c r="GY93" s="551">
        <v>8.67</v>
      </c>
      <c r="GZ93" s="524">
        <v>3.5</v>
      </c>
      <c r="HA93" s="524">
        <v>28.3</v>
      </c>
      <c r="HB93" s="92">
        <f t="shared" si="69"/>
        <v>385.95000000000005</v>
      </c>
      <c r="HC93" s="550">
        <v>9.02</v>
      </c>
      <c r="HD93" s="282">
        <v>4</v>
      </c>
      <c r="HE93" s="282">
        <v>29</v>
      </c>
      <c r="HF93" s="92">
        <f t="shared" si="70"/>
        <v>396.1</v>
      </c>
      <c r="HG93" s="548">
        <v>9.09</v>
      </c>
      <c r="HH93" s="525">
        <v>3</v>
      </c>
      <c r="HI93" s="525">
        <v>29</v>
      </c>
      <c r="HJ93" s="92">
        <f t="shared" si="71"/>
        <v>396.1</v>
      </c>
      <c r="HK93" s="547">
        <v>9.65</v>
      </c>
      <c r="HL93" s="526">
        <v>3.5</v>
      </c>
      <c r="HM93" s="526">
        <v>25.6</v>
      </c>
      <c r="HN93" s="92">
        <f t="shared" si="72"/>
        <v>346.80000000000007</v>
      </c>
      <c r="HO93" s="202">
        <v>6.9</v>
      </c>
      <c r="HP93" s="546">
        <v>9.7799999999999994</v>
      </c>
      <c r="HQ93" s="324">
        <v>3</v>
      </c>
      <c r="HR93" s="324">
        <v>28.4</v>
      </c>
      <c r="HS93" s="92">
        <f t="shared" si="73"/>
        <v>387.4</v>
      </c>
      <c r="HT93" s="244">
        <v>9.74</v>
      </c>
      <c r="HU93" s="103">
        <v>3</v>
      </c>
      <c r="HV93" s="103">
        <v>26.5</v>
      </c>
      <c r="HW93" s="92">
        <f t="shared" si="74"/>
        <v>359.85</v>
      </c>
      <c r="HX93" s="544">
        <v>9.6999999999999993</v>
      </c>
      <c r="HY93" s="512">
        <v>2.5</v>
      </c>
      <c r="HZ93" s="512">
        <v>26.9</v>
      </c>
      <c r="IA93" s="92">
        <f t="shared" si="75"/>
        <v>365.65</v>
      </c>
      <c r="IB93" s="542">
        <v>9.8699999999999992</v>
      </c>
      <c r="IC93" s="86">
        <v>3</v>
      </c>
      <c r="ID93" s="86">
        <v>29</v>
      </c>
      <c r="IE93" s="92">
        <f t="shared" si="76"/>
        <v>396.1</v>
      </c>
      <c r="IF93" s="540">
        <v>9.83</v>
      </c>
      <c r="IG93" s="533">
        <v>2.5</v>
      </c>
      <c r="IH93" s="533">
        <v>29</v>
      </c>
      <c r="II93" s="92">
        <f t="shared" si="77"/>
        <v>396.1</v>
      </c>
      <c r="IJ93" s="248">
        <v>7.61</v>
      </c>
      <c r="IK93" s="248">
        <v>7.32</v>
      </c>
      <c r="IL93" s="248">
        <v>7.21</v>
      </c>
    </row>
    <row r="94" spans="1:246">
      <c r="A94" s="39">
        <v>44712</v>
      </c>
      <c r="B94" s="34">
        <v>141</v>
      </c>
      <c r="C94" s="574" t="s">
        <v>997</v>
      </c>
      <c r="D94" s="662">
        <f>AVERAGE(BQ65:BQ77)</f>
        <v>4.6673076923076922</v>
      </c>
      <c r="E94" s="293">
        <f>AVERAGE(BR65:BR77)</f>
        <v>2.0961538461538463</v>
      </c>
      <c r="F94" s="293">
        <f>AVERAGE(BT65:BT77)</f>
        <v>366.13333333333344</v>
      </c>
      <c r="G94" s="293">
        <v>650.24</v>
      </c>
      <c r="H94" s="293">
        <f t="shared" si="55"/>
        <v>1.7759650400582661</v>
      </c>
      <c r="I94" s="293">
        <f t="shared" si="56"/>
        <v>0.32982451318555994</v>
      </c>
      <c r="J94" s="243">
        <v>3.92</v>
      </c>
      <c r="K94" s="594" t="s">
        <v>997</v>
      </c>
      <c r="L94" s="590">
        <f t="shared" si="57"/>
        <v>0.74730769230769223</v>
      </c>
      <c r="M94" s="95" t="s">
        <v>1774</v>
      </c>
      <c r="FE94" s="244">
        <v>8.74</v>
      </c>
      <c r="FF94" s="103">
        <v>3</v>
      </c>
      <c r="FI94" s="544">
        <v>8.6</v>
      </c>
      <c r="FJ94" s="512">
        <v>3.5</v>
      </c>
      <c r="FM94" s="550">
        <v>8.69</v>
      </c>
      <c r="FN94" s="282">
        <v>3.5</v>
      </c>
      <c r="FQ94" s="557">
        <v>8.7899999999999991</v>
      </c>
      <c r="FR94" s="514">
        <v>3</v>
      </c>
      <c r="FU94" s="556">
        <v>8.76</v>
      </c>
      <c r="FV94" s="515">
        <v>3</v>
      </c>
      <c r="FY94" s="202">
        <v>8.8000000000000007</v>
      </c>
      <c r="FZ94" s="516">
        <v>8.0399999999999991</v>
      </c>
      <c r="GA94" s="517">
        <v>3</v>
      </c>
      <c r="GD94" s="245">
        <v>8.65</v>
      </c>
      <c r="GE94" s="91">
        <v>3</v>
      </c>
      <c r="GH94" s="555">
        <v>8.33</v>
      </c>
      <c r="GI94" s="519">
        <v>3</v>
      </c>
      <c r="GL94" s="553">
        <v>8.83</v>
      </c>
      <c r="GM94" s="520">
        <v>3.75</v>
      </c>
      <c r="GP94" s="552">
        <v>9.2100000000000009</v>
      </c>
      <c r="GQ94" s="521">
        <v>2</v>
      </c>
      <c r="GT94" s="202">
        <v>6.83</v>
      </c>
      <c r="GU94" s="522">
        <v>8.89</v>
      </c>
      <c r="GV94" s="523">
        <v>3.5</v>
      </c>
      <c r="GY94" s="551">
        <v>8.25</v>
      </c>
      <c r="GZ94" s="524">
        <v>1</v>
      </c>
      <c r="HC94" s="550">
        <v>8.9600000000000009</v>
      </c>
      <c r="HD94" s="282">
        <v>3.5</v>
      </c>
      <c r="HG94" s="548">
        <v>9.0299999999999994</v>
      </c>
      <c r="HH94" s="525">
        <v>3</v>
      </c>
      <c r="HK94" s="547">
        <v>9.56</v>
      </c>
      <c r="HL94" s="526">
        <v>3.5</v>
      </c>
      <c r="HO94" s="202">
        <v>7.06</v>
      </c>
      <c r="HP94" s="546">
        <v>9.7799999999999994</v>
      </c>
      <c r="HQ94" s="324">
        <v>3</v>
      </c>
      <c r="HT94" s="244">
        <v>9.7799999999999994</v>
      </c>
      <c r="HU94" s="103">
        <v>3</v>
      </c>
      <c r="HX94" s="544">
        <v>9.65</v>
      </c>
      <c r="HY94" s="512">
        <v>3</v>
      </c>
      <c r="IB94" s="542">
        <v>9.7899999999999991</v>
      </c>
      <c r="IC94" s="86">
        <v>3.5</v>
      </c>
      <c r="IF94" s="540">
        <v>9.7200000000000006</v>
      </c>
      <c r="IG94" s="533">
        <v>2.5</v>
      </c>
      <c r="IJ94" s="248">
        <v>7.57</v>
      </c>
      <c r="IK94" s="248">
        <v>7.26</v>
      </c>
      <c r="IL94" s="248">
        <v>7.45</v>
      </c>
    </row>
    <row r="95" spans="1:246">
      <c r="C95" s="574" t="s">
        <v>998</v>
      </c>
      <c r="D95" s="662">
        <f>AVERAGE(BU65:BU77)</f>
        <v>7.902916666666667</v>
      </c>
      <c r="E95" s="293">
        <f>AVERAGE(BV65:BV77)</f>
        <v>3.1923076923076925</v>
      </c>
      <c r="F95" s="293">
        <f>AVERAGE(BX65:BX77)</f>
        <v>378.7</v>
      </c>
      <c r="G95" s="293">
        <f>510.65+255.46</f>
        <v>766.11</v>
      </c>
      <c r="H95" s="293">
        <f t="shared" si="55"/>
        <v>2.0229997359387379</v>
      </c>
      <c r="I95" s="293">
        <f t="shared" si="56"/>
        <v>0.2366038732306649</v>
      </c>
      <c r="J95" s="243">
        <v>3.92</v>
      </c>
      <c r="K95" s="594" t="s">
        <v>998</v>
      </c>
      <c r="L95" s="590">
        <f t="shared" si="57"/>
        <v>3.9829166666666671</v>
      </c>
      <c r="FE95" s="322"/>
      <c r="FF95" s="320"/>
      <c r="FG95" s="320"/>
      <c r="FH95" s="320"/>
      <c r="FI95" s="322"/>
      <c r="FJ95" s="320"/>
      <c r="FK95" s="320"/>
      <c r="FL95" s="320"/>
      <c r="FM95" s="322"/>
      <c r="FN95" s="320"/>
      <c r="FO95" s="320"/>
      <c r="FP95" s="320"/>
      <c r="FQ95" s="322"/>
      <c r="FR95" s="320"/>
      <c r="FS95" s="320"/>
      <c r="FT95" s="320"/>
      <c r="FU95" s="322"/>
      <c r="FV95" s="320"/>
      <c r="FW95" s="320"/>
      <c r="FX95" s="320"/>
      <c r="FY95" s="322"/>
      <c r="FZ95" s="322"/>
      <c r="GA95" s="320"/>
      <c r="GB95" s="320"/>
      <c r="GC95" s="320"/>
      <c r="GD95" s="322"/>
      <c r="GE95" s="320"/>
      <c r="GF95" s="320"/>
      <c r="GG95" s="320"/>
      <c r="GH95" s="322"/>
      <c r="GI95" s="320"/>
      <c r="GJ95" s="320"/>
      <c r="GK95" s="320"/>
      <c r="GL95" s="322"/>
      <c r="GM95" s="320"/>
      <c r="GN95" s="320"/>
      <c r="GO95" s="320"/>
      <c r="GP95" s="322"/>
      <c r="GQ95" s="320"/>
      <c r="GR95" s="320"/>
      <c r="GS95" s="320"/>
      <c r="GT95" s="322"/>
      <c r="GU95" s="322"/>
      <c r="GV95" s="320"/>
      <c r="GW95" s="320"/>
      <c r="GX95" s="320"/>
      <c r="GY95" s="322"/>
      <c r="GZ95" s="320"/>
      <c r="HA95" s="320"/>
      <c r="HB95" s="320"/>
      <c r="HC95" s="322"/>
      <c r="HD95" s="320"/>
      <c r="HE95" s="320"/>
      <c r="HF95" s="320"/>
      <c r="HG95" s="322"/>
      <c r="HH95" s="320"/>
      <c r="HI95" s="320"/>
      <c r="HJ95" s="320"/>
      <c r="HK95" s="322"/>
      <c r="HL95" s="320"/>
      <c r="HM95" s="320"/>
      <c r="HN95" s="320"/>
      <c r="HO95" s="322"/>
      <c r="HP95" s="322"/>
      <c r="HQ95" s="320"/>
      <c r="HR95" s="320"/>
      <c r="HS95" s="320"/>
      <c r="HT95" s="322"/>
      <c r="HU95" s="320"/>
      <c r="HV95" s="320"/>
      <c r="HW95" s="320"/>
      <c r="HX95" s="322"/>
      <c r="HY95" s="320"/>
      <c r="HZ95" s="320"/>
      <c r="IA95" s="320"/>
      <c r="IB95" s="322"/>
      <c r="IC95" s="320"/>
      <c r="ID95" s="320"/>
      <c r="IE95" s="320"/>
      <c r="IF95" s="322"/>
      <c r="IG95" s="320"/>
      <c r="IH95" s="320"/>
      <c r="II95" s="320"/>
      <c r="IJ95" s="323"/>
      <c r="IK95" s="323"/>
      <c r="IL95" s="323"/>
    </row>
    <row r="96" spans="1:246">
      <c r="C96" s="574" t="s">
        <v>999</v>
      </c>
      <c r="D96" s="662">
        <f>AVERAGE(BY65:BY77)</f>
        <v>8.0649999999999995</v>
      </c>
      <c r="E96" s="293">
        <f>AVERAGE(BZ65:BZ77)</f>
        <v>3.0576923076923075</v>
      </c>
      <c r="F96" s="293">
        <f>AVERAGE(CB65:CB77)</f>
        <v>379.42500000000001</v>
      </c>
      <c r="G96" s="293">
        <f>510.07+255.05</f>
        <v>765.12</v>
      </c>
      <c r="H96" s="293">
        <f t="shared" si="55"/>
        <v>2.0165250049416881</v>
      </c>
      <c r="I96" s="293">
        <f t="shared" si="56"/>
        <v>0.2390471679465328</v>
      </c>
      <c r="J96" s="243">
        <v>3.92</v>
      </c>
      <c r="K96" s="594" t="s">
        <v>999</v>
      </c>
      <c r="L96" s="590">
        <f t="shared" si="57"/>
        <v>4.1449999999999996</v>
      </c>
      <c r="IJ96" s="248">
        <f>AVERAGE(IJ88:IJ94)</f>
        <v>7.4085714285714284</v>
      </c>
      <c r="IK96" s="248">
        <f>AVERAGE(IK88:IK94)</f>
        <v>7.15</v>
      </c>
      <c r="IL96" s="248">
        <f>AVERAGE(IL88:IL94)</f>
        <v>7.2200000000000006</v>
      </c>
    </row>
    <row r="97" spans="3:246">
      <c r="C97" s="574">
        <v>40</v>
      </c>
      <c r="D97" s="662">
        <f>AVERAGE(CC65:CC77)</f>
        <v>9.4012307692307697</v>
      </c>
      <c r="E97" s="293">
        <f>AVERAGE(CD65:CD77)</f>
        <v>2.8846153846153846</v>
      </c>
      <c r="F97" s="293">
        <f>AVERAGE(CF65:CF77)</f>
        <v>367.70416666666665</v>
      </c>
      <c r="G97" s="293">
        <f>510.15+255.04</f>
        <v>765.18999999999994</v>
      </c>
      <c r="H97" s="293">
        <f t="shared" si="55"/>
        <v>2.0809935523348706</v>
      </c>
      <c r="I97" s="293">
        <f t="shared" si="56"/>
        <v>0.21471941421325635</v>
      </c>
      <c r="J97" s="243">
        <v>6.61</v>
      </c>
      <c r="K97" s="594">
        <v>40</v>
      </c>
      <c r="L97" s="590">
        <f t="shared" si="57"/>
        <v>2.7912307692307694</v>
      </c>
      <c r="FE97" s="244">
        <f>STDEV(FE88:FE94)</f>
        <v>0.27679285705069373</v>
      </c>
      <c r="FI97" s="244">
        <f>STDEV(FI88:FI94)</f>
        <v>0.42326958650149066</v>
      </c>
      <c r="FM97" s="244">
        <f>STDEV(FM88:FM94)</f>
        <v>0.41359630651385748</v>
      </c>
      <c r="FQ97" s="244">
        <f>STDEV(FQ88:FQ94)</f>
        <v>0.36850405438100398</v>
      </c>
      <c r="FU97" s="244">
        <f>STDEV(FU88:FU94)</f>
        <v>0.432087954009366</v>
      </c>
      <c r="FY97" s="244">
        <f>STDEV(FY89:FY94)</f>
        <v>8.3046171896522122E-2</v>
      </c>
      <c r="FZ97" s="244">
        <f>STDEV(FZ88:FZ94)</f>
        <v>0.34546724743109775</v>
      </c>
      <c r="GD97" s="244">
        <f>STDEV(GD88:GD94)</f>
        <v>0.39774363602702678</v>
      </c>
      <c r="GH97" s="244">
        <f>STDEV(GH88:GH94)</f>
        <v>0.52144031297934756</v>
      </c>
      <c r="GL97" s="244">
        <f>STDEV(GL88:GL94)</f>
        <v>0.31026102681758932</v>
      </c>
      <c r="GP97" s="244">
        <f>STDEV(GP88:GP94)</f>
        <v>0.26354723079012382</v>
      </c>
      <c r="GT97" s="244">
        <f>STDEV(GT88:GT94)</f>
        <v>0.24265397664359933</v>
      </c>
      <c r="GU97" s="244">
        <f>STDEV(GU88:GU94)</f>
        <v>0.28492271299591476</v>
      </c>
      <c r="GY97" s="244">
        <f>STDEV(GY88:GY94)</f>
        <v>0.49191559477307922</v>
      </c>
      <c r="HC97" s="244">
        <f>STDEV(HC88:HC94)</f>
        <v>0.25973429646834245</v>
      </c>
      <c r="HG97" s="244">
        <f>STDEV(HG88:HG94)</f>
        <v>0.26200690648839631</v>
      </c>
      <c r="HK97" s="244">
        <f>STDEV(HK88:HK94)</f>
        <v>5.398412465054625E-2</v>
      </c>
      <c r="HO97" s="244">
        <f>STDEV(HO88:HO94)</f>
        <v>0.32289612069813517</v>
      </c>
      <c r="HP97" s="244">
        <f>STDEV(HP88:HP94)</f>
        <v>6.0513674172906949E-2</v>
      </c>
      <c r="HT97" s="244">
        <f>STDEV(HT88:HT94)</f>
        <v>8.5412165967372999E-2</v>
      </c>
      <c r="HX97" s="244">
        <f>STDEV(HX88:HX94)</f>
        <v>8.0593039992533408E-2</v>
      </c>
      <c r="IB97" s="244">
        <f>STDEV(IB88:IB94)</f>
        <v>4.391550328268428E-2</v>
      </c>
      <c r="IF97" s="244">
        <f>STDEV(IF88:IF94)</f>
        <v>0.11267314717907771</v>
      </c>
      <c r="IJ97" s="244">
        <f>STDEV(IJ88:IJ94)</f>
        <v>0.34992516206700419</v>
      </c>
      <c r="IK97" s="244">
        <f>STDEV(IK88:IK94)</f>
        <v>0.25670995305986871</v>
      </c>
      <c r="IL97" s="244">
        <f>STDEV(IL88:IL94)</f>
        <v>0.31664912232101106</v>
      </c>
    </row>
    <row r="98" spans="3:246">
      <c r="C98" s="575" t="s">
        <v>1001</v>
      </c>
      <c r="D98" s="663">
        <f>AVERAGE(CH65:CH77)</f>
        <v>9.8501538461538463</v>
      </c>
      <c r="E98" s="294">
        <f>AVERAGE(CI65:CI77)</f>
        <v>3</v>
      </c>
      <c r="F98" s="294">
        <f>AVERAGE(CK65:CK77)</f>
        <v>367.70416666666665</v>
      </c>
      <c r="G98" s="294">
        <v>650.02</v>
      </c>
      <c r="H98" s="294">
        <f t="shared" si="55"/>
        <v>1.7677798048703102</v>
      </c>
      <c r="I98" s="294">
        <f t="shared" si="56"/>
        <v>0.33291328118101504</v>
      </c>
      <c r="J98" s="250">
        <v>9.82</v>
      </c>
      <c r="K98" s="595" t="s">
        <v>1001</v>
      </c>
      <c r="L98" s="590">
        <f t="shared" si="57"/>
        <v>3.0153846153845976E-2</v>
      </c>
      <c r="M98" s="95" t="s">
        <v>1775</v>
      </c>
    </row>
    <row r="99" spans="3:246">
      <c r="C99" s="575" t="s">
        <v>1002</v>
      </c>
      <c r="D99" s="663">
        <f>AVERAGE(CL65:CL77)</f>
        <v>9.9771538461538469</v>
      </c>
      <c r="E99" s="294">
        <f>AVERAGE(CM65:CM77)</f>
        <v>3.2692307692307692</v>
      </c>
      <c r="F99" s="294">
        <f>AVERAGE(CO65:CO77)</f>
        <v>367.94583333333338</v>
      </c>
      <c r="G99" s="294">
        <f>510.12+255.05</f>
        <v>765.17000000000007</v>
      </c>
      <c r="H99" s="294">
        <f t="shared" si="55"/>
        <v>2.0795724008289262</v>
      </c>
      <c r="I99" s="294">
        <f t="shared" si="56"/>
        <v>0.21525569780040521</v>
      </c>
      <c r="J99" s="250">
        <v>9.82</v>
      </c>
      <c r="K99" s="595" t="s">
        <v>1002</v>
      </c>
      <c r="L99" s="590">
        <f t="shared" si="57"/>
        <v>0.15715384615384664</v>
      </c>
    </row>
    <row r="100" spans="3:246">
      <c r="C100" s="575" t="s">
        <v>1003</v>
      </c>
      <c r="D100" s="663">
        <f>AVERAGE(CP65:CP77)</f>
        <v>9.9483076923076919</v>
      </c>
      <c r="E100" s="294">
        <f>AVERAGE(CQ65:CQ77)</f>
        <v>3.3846153846153846</v>
      </c>
      <c r="F100" s="294">
        <f>AVERAGE(CS65:CS77)</f>
        <v>367.58333333333331</v>
      </c>
      <c r="G100" s="294">
        <f>510.12+255.27</f>
        <v>765.39</v>
      </c>
      <c r="H100" s="294">
        <f t="shared" si="55"/>
        <v>2.0822217184311946</v>
      </c>
      <c r="I100" s="294">
        <f t="shared" si="56"/>
        <v>0.21425595530898311</v>
      </c>
      <c r="J100" s="250">
        <v>9.82</v>
      </c>
      <c r="K100" s="595" t="s">
        <v>1003</v>
      </c>
      <c r="L100" s="590">
        <f t="shared" si="57"/>
        <v>0.12830769230769157</v>
      </c>
    </row>
    <row r="101" spans="3:246">
      <c r="C101" s="575">
        <v>50</v>
      </c>
      <c r="D101" s="663">
        <f>AVERAGE(CT65:CT77)</f>
        <v>9.4863076923076921</v>
      </c>
      <c r="E101" s="294">
        <f>AVERAGE(CU65:CU77)</f>
        <v>2.5769230769230771</v>
      </c>
      <c r="F101" s="294">
        <f>AVERAGE(CW65:CW77)</f>
        <v>368.42916666666662</v>
      </c>
      <c r="G101" s="294">
        <f>510.15+255.12</f>
        <v>765.27</v>
      </c>
      <c r="H101" s="294">
        <f t="shared" si="55"/>
        <v>2.0771156825712769</v>
      </c>
      <c r="I101" s="294">
        <f t="shared" si="56"/>
        <v>0.21618276129385772</v>
      </c>
      <c r="J101" s="250">
        <v>6.61</v>
      </c>
      <c r="K101" s="595">
        <v>50</v>
      </c>
      <c r="L101" s="590">
        <f t="shared" si="57"/>
        <v>2.8763076923076918</v>
      </c>
    </row>
    <row r="102" spans="3:246">
      <c r="C102" s="576" t="s">
        <v>1302</v>
      </c>
      <c r="D102" s="664">
        <f>AVERAGE(CZ76:CZ87)</f>
        <v>8.2605833333333329</v>
      </c>
      <c r="E102" s="295">
        <f>AVERAGE(DA76:DA87)</f>
        <v>3.3125</v>
      </c>
      <c r="F102" s="295">
        <f>AVERAGE(DC76:DC87)</f>
        <v>380.99583333333322</v>
      </c>
      <c r="G102" s="295">
        <f>481.09+19.53+71.52+78</f>
        <v>650.14</v>
      </c>
      <c r="H102" s="295">
        <f t="shared" si="55"/>
        <v>1.7064228611424015</v>
      </c>
      <c r="I102" s="295">
        <f t="shared" si="56"/>
        <v>0.35606684485192397</v>
      </c>
      <c r="J102" s="283">
        <f>AVERAGE(DT76:DT87)</f>
        <v>7.1680000000000001</v>
      </c>
      <c r="K102" s="596" t="s">
        <v>1302</v>
      </c>
      <c r="L102" s="590">
        <f t="shared" si="57"/>
        <v>1.0925833333333328</v>
      </c>
    </row>
    <row r="103" spans="3:246">
      <c r="C103" s="576" t="s">
        <v>1301</v>
      </c>
      <c r="D103" s="664">
        <f>AVERAGE(DD76:DD87)</f>
        <v>9.3145833333333332</v>
      </c>
      <c r="E103" s="295">
        <f>AVERAGE(DE76:DE87)</f>
        <v>2.9375</v>
      </c>
      <c r="F103" s="295">
        <f>AVERAGE(DG76:DG87)</f>
        <v>368.30833333333334</v>
      </c>
      <c r="G103" s="295">
        <f>72+6.09+8.48+66.04+5.52+7.78+18.19+1.5+2.16+198.02+16.56+23.21+246.18+20.79+28.71</f>
        <v>721.23</v>
      </c>
      <c r="H103" s="295">
        <f t="shared" si="55"/>
        <v>1.9582234088286536</v>
      </c>
      <c r="I103" s="295">
        <f t="shared" si="56"/>
        <v>0.26104777025333825</v>
      </c>
      <c r="J103" s="283">
        <v>7.1680000000000001</v>
      </c>
      <c r="K103" s="596" t="s">
        <v>1301</v>
      </c>
      <c r="L103" s="590">
        <f t="shared" si="57"/>
        <v>2.1465833333333331</v>
      </c>
    </row>
    <row r="104" spans="3:246">
      <c r="C104" s="576" t="s">
        <v>1300</v>
      </c>
      <c r="D104" s="664">
        <f>AVERAGE(DH76:DH87)</f>
        <v>9.4008333333333329</v>
      </c>
      <c r="E104" s="295">
        <f>AVERAGE(DI76:DI87)</f>
        <v>3.5</v>
      </c>
      <c r="F104" s="295">
        <f>AVERAGE(DK76:DK87)</f>
        <v>372.41666666666669</v>
      </c>
      <c r="G104" s="295">
        <f>86.4+79.21+21.62+237.62+295.29</f>
        <v>720.1400000000001</v>
      </c>
      <c r="H104" s="295">
        <f t="shared" si="55"/>
        <v>1.9336943387782504</v>
      </c>
      <c r="I104" s="295">
        <f t="shared" si="56"/>
        <v>0.27030402310254698</v>
      </c>
      <c r="J104" s="283">
        <v>7.1680000000000001</v>
      </c>
      <c r="K104" s="596" t="s">
        <v>1300</v>
      </c>
      <c r="L104" s="590">
        <f t="shared" si="57"/>
        <v>2.2328333333333328</v>
      </c>
    </row>
    <row r="105" spans="3:246">
      <c r="C105" s="576" t="s">
        <v>1304</v>
      </c>
      <c r="D105" s="664">
        <f>AVERAGE(DL76:DL87)</f>
        <v>9.4083333333333332</v>
      </c>
      <c r="E105" s="295">
        <f>AVERAGE(DM77:DM87)</f>
        <v>2.95</v>
      </c>
      <c r="F105" s="295">
        <f>AVERAGE(DO76:DO87)</f>
        <v>344.02083333333343</v>
      </c>
      <c r="G105" s="295">
        <f>86.4+79.25+21.65+237.6+295.3</f>
        <v>720.2</v>
      </c>
      <c r="H105" s="295">
        <f t="shared" si="55"/>
        <v>2.0934778659238171</v>
      </c>
      <c r="I105" s="295">
        <f t="shared" si="56"/>
        <v>0.21000835248157845</v>
      </c>
      <c r="J105" s="283">
        <v>7.1680000000000001</v>
      </c>
      <c r="K105" s="596" t="s">
        <v>1304</v>
      </c>
      <c r="L105" s="590">
        <f t="shared" si="57"/>
        <v>2.2403333333333331</v>
      </c>
    </row>
    <row r="106" spans="3:246">
      <c r="C106" s="576">
        <v>60</v>
      </c>
      <c r="D106" s="664">
        <f>AVERAGE(DP76:DP87)</f>
        <v>9.7275000000000009</v>
      </c>
      <c r="E106" s="295">
        <f>AVERAGE(DQ77:DQ87)</f>
        <v>3.3909090909090907</v>
      </c>
      <c r="F106" s="295">
        <f>AVERAGE(DS76:DS87)</f>
        <v>375.92083333333335</v>
      </c>
      <c r="G106" s="295">
        <f>86.39+79.2+21.63+237.66+295.23</f>
        <v>720.11</v>
      </c>
      <c r="H106" s="295">
        <f t="shared" si="55"/>
        <v>1.9155894969020515</v>
      </c>
      <c r="I106" s="295">
        <f t="shared" si="56"/>
        <v>0.27713603890488625</v>
      </c>
      <c r="J106" s="283">
        <f>AVERAGE(FC77:FC87)</f>
        <v>7.1779999999999999</v>
      </c>
      <c r="K106" s="596">
        <v>60</v>
      </c>
      <c r="L106" s="590">
        <f t="shared" si="57"/>
        <v>2.549500000000001</v>
      </c>
    </row>
    <row r="107" spans="3:246">
      <c r="C107" s="577" t="s">
        <v>1405</v>
      </c>
      <c r="D107" s="665">
        <f>AVERAGE(DU77:DU87)</f>
        <v>7.7029090909090909</v>
      </c>
      <c r="E107" s="429">
        <f>AVERAGE(DV78:DV87)</f>
        <v>3.1749999999999998</v>
      </c>
      <c r="F107" s="429">
        <f>AVERAGE(DX78:DX87)</f>
        <v>375.36499999999995</v>
      </c>
      <c r="G107" s="429">
        <v>650.24</v>
      </c>
      <c r="H107" s="429">
        <f t="shared" ref="H107:H114" si="79">G107/F107</f>
        <v>1.7322872404193255</v>
      </c>
      <c r="I107" s="429">
        <f t="shared" ref="I107:I114" si="80">1-(H107/2.65)</f>
        <v>0.34630670172855638</v>
      </c>
      <c r="J107" s="430">
        <f>AVERAGE(EK77:EK87)</f>
        <v>7.53</v>
      </c>
      <c r="K107" s="597" t="s">
        <v>1405</v>
      </c>
      <c r="L107" s="590">
        <f t="shared" si="57"/>
        <v>0.17290909090909068</v>
      </c>
      <c r="M107" s="95" t="s">
        <v>1775</v>
      </c>
    </row>
    <row r="108" spans="3:246">
      <c r="C108" s="577" t="s">
        <v>1406</v>
      </c>
      <c r="D108" s="665">
        <f>AVERAGE(DY77:DY87)</f>
        <v>8.3520000000000003</v>
      </c>
      <c r="E108" s="429">
        <f>AVERAGE(DZ78:DZ87)</f>
        <v>3.05</v>
      </c>
      <c r="F108" s="429">
        <f>AVERAGE(EB78:EB87)</f>
        <v>385.37</v>
      </c>
      <c r="G108" s="429">
        <v>766.11</v>
      </c>
      <c r="H108" s="429">
        <f t="shared" si="79"/>
        <v>1.9879855723071334</v>
      </c>
      <c r="I108" s="429">
        <f t="shared" si="80"/>
        <v>0.24981676516711948</v>
      </c>
      <c r="J108" s="430">
        <v>7.53</v>
      </c>
      <c r="K108" s="597" t="s">
        <v>1406</v>
      </c>
      <c r="L108" s="590">
        <f t="shared" si="57"/>
        <v>0.82200000000000006</v>
      </c>
    </row>
    <row r="109" spans="3:246">
      <c r="C109" s="577" t="s">
        <v>1407</v>
      </c>
      <c r="D109" s="665">
        <f>AVERAGE(EC77:EC87)</f>
        <v>8.5553636363636354</v>
      </c>
      <c r="E109" s="429">
        <f>AVERAGE(ED78:ED87)</f>
        <v>3.1</v>
      </c>
      <c r="F109" s="429">
        <f>AVERAGE(EF78:EF87)</f>
        <v>385.66</v>
      </c>
      <c r="G109" s="429">
        <v>765.12</v>
      </c>
      <c r="H109" s="429">
        <f t="shared" si="79"/>
        <v>1.9839236633303945</v>
      </c>
      <c r="I109" s="429">
        <f t="shared" si="80"/>
        <v>0.25134956100739825</v>
      </c>
      <c r="J109" s="430">
        <v>7.53</v>
      </c>
      <c r="K109" s="597" t="s">
        <v>1407</v>
      </c>
      <c r="L109" s="590">
        <f t="shared" si="57"/>
        <v>1.0253636363636351</v>
      </c>
    </row>
    <row r="110" spans="3:246">
      <c r="C110" s="577" t="s">
        <v>1408</v>
      </c>
      <c r="D110" s="665">
        <f>AVERAGE(EG77:EG87)</f>
        <v>9.6698181818181812</v>
      </c>
      <c r="E110" s="429">
        <f>AVERAGE(EH78:EH87)</f>
        <v>3.15</v>
      </c>
      <c r="F110" s="429">
        <f>AVERAGE(EJ78:EJ87)</f>
        <v>363.76500000000004</v>
      </c>
      <c r="G110" s="429">
        <v>765.18999999999994</v>
      </c>
      <c r="H110" s="429">
        <f t="shared" si="79"/>
        <v>2.1035283768366937</v>
      </c>
      <c r="I110" s="429">
        <f t="shared" si="80"/>
        <v>0.20621570685407786</v>
      </c>
      <c r="J110" s="430">
        <f>AVERAGE(FC77:FC87)</f>
        <v>7.1779999999999999</v>
      </c>
      <c r="K110" s="597" t="s">
        <v>1408</v>
      </c>
      <c r="L110" s="590">
        <f t="shared" si="57"/>
        <v>2.4918181818181813</v>
      </c>
    </row>
    <row r="111" spans="3:246">
      <c r="C111" s="578" t="s">
        <v>1409</v>
      </c>
      <c r="D111" s="345">
        <f>AVERAGE(EL77:EL87)</f>
        <v>8.7080909090909078</v>
      </c>
      <c r="E111" s="431">
        <f>AVERAGE(EM78:EM87)</f>
        <v>2.6</v>
      </c>
      <c r="F111" s="431">
        <f>AVERAGE(EO78:EO87)</f>
        <v>357.67500000000001</v>
      </c>
      <c r="G111" s="431">
        <v>650.02</v>
      </c>
      <c r="H111" s="431">
        <f t="shared" si="79"/>
        <v>1.8173481512546306</v>
      </c>
      <c r="I111" s="431">
        <f t="shared" si="80"/>
        <v>0.31420824480957332</v>
      </c>
      <c r="J111" s="432">
        <f>AVERAGE(FB77:FB87)</f>
        <v>8.6983636363636361</v>
      </c>
      <c r="K111" s="598" t="s">
        <v>1409</v>
      </c>
      <c r="L111" s="590">
        <f t="shared" si="57"/>
        <v>9.7272727272716963E-3</v>
      </c>
    </row>
    <row r="112" spans="3:246">
      <c r="C112" s="578" t="s">
        <v>1410</v>
      </c>
      <c r="D112" s="345">
        <f>AVERAGE(EP77:EP87)</f>
        <v>8.7044545454545439</v>
      </c>
      <c r="E112" s="431">
        <f>AVERAGE(EQ78:EQ87)</f>
        <v>3.0249999999999999</v>
      </c>
      <c r="F112" s="431">
        <f>AVERAGE(ES78:ES87)</f>
        <v>357.96500000000003</v>
      </c>
      <c r="G112" s="431">
        <v>765.17000000000007</v>
      </c>
      <c r="H112" s="431">
        <f t="shared" si="79"/>
        <v>2.1375553475898483</v>
      </c>
      <c r="I112" s="431">
        <f t="shared" si="80"/>
        <v>0.19337534053213268</v>
      </c>
      <c r="J112" s="432">
        <v>8.6983636363636361</v>
      </c>
      <c r="K112" s="598" t="s">
        <v>1410</v>
      </c>
      <c r="L112" s="590">
        <f t="shared" si="57"/>
        <v>6.0909090909078145E-3</v>
      </c>
    </row>
    <row r="113" spans="3:14">
      <c r="C113" s="578" t="s">
        <v>1411</v>
      </c>
      <c r="D113" s="345">
        <f>AVERAGE(ET77:ET87)</f>
        <v>8.6776363636363651</v>
      </c>
      <c r="E113" s="431">
        <f>AVERAGE(EU78:EU87)</f>
        <v>3.2250000000000001</v>
      </c>
      <c r="F113" s="431">
        <f>AVERAGE(EW78:EW87)</f>
        <v>366.95500000000004</v>
      </c>
      <c r="G113" s="431">
        <v>765.39</v>
      </c>
      <c r="H113" s="431">
        <f t="shared" si="79"/>
        <v>2.0857870856099519</v>
      </c>
      <c r="I113" s="431">
        <f t="shared" si="80"/>
        <v>0.21291053373209357</v>
      </c>
      <c r="J113" s="432">
        <v>8.6983636363636361</v>
      </c>
      <c r="K113" s="598" t="s">
        <v>1411</v>
      </c>
      <c r="L113" s="590">
        <f t="shared" si="57"/>
        <v>-2.0727272727270929E-2</v>
      </c>
    </row>
    <row r="114" spans="3:14">
      <c r="C114" s="578" t="s">
        <v>1412</v>
      </c>
      <c r="D114" s="345">
        <f>AVERAGE(EX77:EX87)</f>
        <v>8.992727272727274</v>
      </c>
      <c r="E114" s="431">
        <f>AVERAGE(EY78:EY87)</f>
        <v>3.4</v>
      </c>
      <c r="F114" s="431">
        <f>AVERAGE(FA78:FA87)</f>
        <v>363.04000000000008</v>
      </c>
      <c r="G114" s="431">
        <v>765.27</v>
      </c>
      <c r="H114" s="431">
        <f t="shared" si="79"/>
        <v>2.1079495372410748</v>
      </c>
      <c r="I114" s="431">
        <f t="shared" si="80"/>
        <v>0.20454734443733025</v>
      </c>
      <c r="J114" s="432">
        <f>AVERAGE(FD77:FD87)</f>
        <v>9.0934545454545468</v>
      </c>
      <c r="K114" s="598" t="s">
        <v>1412</v>
      </c>
      <c r="L114" s="590">
        <f t="shared" si="57"/>
        <v>-0.10072727272727278</v>
      </c>
    </row>
    <row r="115" spans="3:14">
      <c r="C115" s="579" t="s">
        <v>1764</v>
      </c>
      <c r="D115" s="666">
        <f>AVERAGE(FZ88:FZ94)</f>
        <v>8.4285714285714288</v>
      </c>
      <c r="E115" s="561">
        <f>AVERAGE(GA88:GA94)</f>
        <v>2.8571428571428572</v>
      </c>
      <c r="F115" s="561">
        <f>AVERAGE(GC88:GC93)</f>
        <v>366.13333333333338</v>
      </c>
      <c r="G115" s="558">
        <v>650.16999999999996</v>
      </c>
      <c r="H115" s="561">
        <f t="shared" ref="H115:H134" si="81">G115/F115</f>
        <v>1.7757738528769116</v>
      </c>
      <c r="I115" s="561">
        <f t="shared" ref="I115:I134" si="82">1-(H115/2.65)</f>
        <v>0.32989665929173151</v>
      </c>
      <c r="J115" s="562">
        <f>AVERAGE(GT88:GT94)</f>
        <v>6.9914285714285711</v>
      </c>
      <c r="K115" s="599" t="s">
        <v>1764</v>
      </c>
      <c r="L115" s="590">
        <f t="shared" si="57"/>
        <v>1.4371428571428577</v>
      </c>
    </row>
    <row r="116" spans="3:14">
      <c r="C116" s="579" t="s">
        <v>1599</v>
      </c>
      <c r="D116" s="666">
        <f>AVERAGE(GD88:GD94)</f>
        <v>8.9599999999999991</v>
      </c>
      <c r="E116" s="561">
        <f>AVERAGE(GE88:GE94)</f>
        <v>3</v>
      </c>
      <c r="F116" s="561">
        <f>AVERAGE(GG88:GG93)</f>
        <v>357.19166666666666</v>
      </c>
      <c r="G116" s="558">
        <v>720.23</v>
      </c>
      <c r="H116" s="561">
        <f t="shared" si="81"/>
        <v>2.0163684296479483</v>
      </c>
      <c r="I116" s="561">
        <f t="shared" si="82"/>
        <v>0.23910625296303833</v>
      </c>
      <c r="J116" s="562">
        <f>AVERAGE(GT88:GT94)</f>
        <v>6.9914285714285711</v>
      </c>
      <c r="K116" s="599" t="s">
        <v>1599</v>
      </c>
      <c r="L116" s="590">
        <f t="shared" si="57"/>
        <v>1.968571428571428</v>
      </c>
    </row>
    <row r="117" spans="3:14">
      <c r="C117" s="579" t="s">
        <v>1600</v>
      </c>
      <c r="D117" s="666">
        <f>AVERAGE(GH88:GH94)</f>
        <v>8.9499999999999993</v>
      </c>
      <c r="E117" s="561">
        <f>AVERAGE(GI88:GI94)</f>
        <v>3.2142857142857144</v>
      </c>
      <c r="F117" s="561">
        <f>AVERAGE(GK88:GK93)</f>
        <v>371.69166666666666</v>
      </c>
      <c r="G117" s="558">
        <v>720.43</v>
      </c>
      <c r="H117" s="561">
        <f t="shared" si="81"/>
        <v>1.9382463063022666</v>
      </c>
      <c r="I117" s="561">
        <f t="shared" si="82"/>
        <v>0.2685862995085786</v>
      </c>
      <c r="J117" s="562">
        <v>6.9914285714285711</v>
      </c>
      <c r="K117" s="599" t="s">
        <v>1600</v>
      </c>
      <c r="L117" s="590">
        <f t="shared" si="57"/>
        <v>1.9585714285714282</v>
      </c>
      <c r="N117" s="337">
        <f>AVERAGE(D116:D118)</f>
        <v>9.0285714285714267</v>
      </c>
    </row>
    <row r="118" spans="3:14">
      <c r="C118" s="579" t="s">
        <v>1601</v>
      </c>
      <c r="D118" s="666">
        <f>AVERAGE(GL88:GL94)</f>
        <v>9.175714285714287</v>
      </c>
      <c r="E118" s="561">
        <f>AVERAGE(GM88:GM94)</f>
        <v>3.1071428571428572</v>
      </c>
      <c r="F118" s="561">
        <f>AVERAGE(GO88:GO93)</f>
        <v>367.10000000000008</v>
      </c>
      <c r="G118" s="558">
        <v>720.04</v>
      </c>
      <c r="H118" s="561">
        <f t="shared" si="81"/>
        <v>1.9614274039771173</v>
      </c>
      <c r="I118" s="561">
        <f t="shared" si="82"/>
        <v>0.2598387154803331</v>
      </c>
      <c r="J118" s="562">
        <v>6.9914285714285711</v>
      </c>
      <c r="K118" s="599" t="s">
        <v>1601</v>
      </c>
      <c r="L118" s="590">
        <f t="shared" si="57"/>
        <v>2.1842857142857159</v>
      </c>
    </row>
    <row r="119" spans="3:14">
      <c r="C119" s="579">
        <v>70</v>
      </c>
      <c r="D119" s="666">
        <f>AVERAGE(HK88:HK94)</f>
        <v>9.588571428571429</v>
      </c>
      <c r="E119" s="561">
        <f>AVERAGE(HL88:HL94)</f>
        <v>3.2142857142857144</v>
      </c>
      <c r="F119" s="561">
        <f>AVERAGE(HN88:HN93)</f>
        <v>349.7000000000001</v>
      </c>
      <c r="G119" s="558">
        <v>720.12</v>
      </c>
      <c r="H119" s="561">
        <f t="shared" si="81"/>
        <v>2.0592507863883323</v>
      </c>
      <c r="I119" s="561">
        <f t="shared" si="82"/>
        <v>0.2229242315515727</v>
      </c>
      <c r="J119" s="562">
        <f>AVERAGE(IJ88:IJ94)</f>
        <v>7.4085714285714284</v>
      </c>
      <c r="K119" s="599">
        <v>70</v>
      </c>
      <c r="L119" s="590">
        <f t="shared" si="57"/>
        <v>2.1800000000000006</v>
      </c>
    </row>
    <row r="120" spans="3:14">
      <c r="C120" s="580" t="s">
        <v>1766</v>
      </c>
      <c r="D120" s="667">
        <f>AVERAGE(GP88:GP94)</f>
        <v>9.3771428571428572</v>
      </c>
      <c r="E120" s="563">
        <f>AVERAGE(GQ88:GQ94)</f>
        <v>2.4285714285714284</v>
      </c>
      <c r="F120" s="563">
        <f>AVERAGE(GS88:GS93)</f>
        <v>396.09999999999997</v>
      </c>
      <c r="G120" s="521">
        <v>600</v>
      </c>
      <c r="H120" s="563">
        <f t="shared" si="81"/>
        <v>1.5147689977278467</v>
      </c>
      <c r="I120" s="563">
        <f t="shared" si="82"/>
        <v>0.42838905746118994</v>
      </c>
      <c r="J120" s="564">
        <f>AVERAGE(GT88:GT94)</f>
        <v>6.9914285714285711</v>
      </c>
      <c r="K120" s="600" t="s">
        <v>1766</v>
      </c>
      <c r="L120" s="590">
        <f t="shared" si="57"/>
        <v>2.3857142857142861</v>
      </c>
    </row>
    <row r="121" spans="3:14">
      <c r="C121" s="580" t="s">
        <v>1603</v>
      </c>
      <c r="D121" s="667">
        <f>AVERAGE(GU88:GU94)</f>
        <v>9.1085714285714285</v>
      </c>
      <c r="E121" s="563">
        <f>AVERAGE(GV88:GV94)</f>
        <v>3.1071428571428572</v>
      </c>
      <c r="F121" s="563">
        <f>AVERAGE(GX88:GX93)</f>
        <v>391.75</v>
      </c>
      <c r="G121" s="521">
        <v>600.19000000000005</v>
      </c>
      <c r="H121" s="563">
        <f t="shared" si="81"/>
        <v>1.5320740268028081</v>
      </c>
      <c r="I121" s="563">
        <f t="shared" si="82"/>
        <v>0.42185885781026111</v>
      </c>
      <c r="J121" s="564">
        <f>AVERAGE(HO88:HO94)</f>
        <v>7.1657142857142864</v>
      </c>
      <c r="K121" s="600" t="s">
        <v>1603</v>
      </c>
      <c r="L121" s="590">
        <f t="shared" si="57"/>
        <v>1.9428571428571422</v>
      </c>
    </row>
    <row r="122" spans="3:14">
      <c r="C122" s="580" t="s">
        <v>1604</v>
      </c>
      <c r="D122" s="667">
        <f>AVERAGE(GY88:GY94)</f>
        <v>8.9714285714285715</v>
      </c>
      <c r="E122" s="563">
        <f>AVERAGE(GZ88:GZ94)</f>
        <v>3.0714285714285716</v>
      </c>
      <c r="F122" s="563">
        <f>AVERAGE(HB88:HB93)</f>
        <v>388.36666666666662</v>
      </c>
      <c r="G122" s="521">
        <v>599.96</v>
      </c>
      <c r="H122" s="563">
        <f t="shared" si="81"/>
        <v>1.544828770062656</v>
      </c>
      <c r="I122" s="563">
        <f t="shared" si="82"/>
        <v>0.4170457471461676</v>
      </c>
      <c r="J122" s="564">
        <v>7.1657142857142864</v>
      </c>
      <c r="K122" s="600" t="s">
        <v>1604</v>
      </c>
      <c r="L122" s="590">
        <f t="shared" si="57"/>
        <v>1.8057142857142852</v>
      </c>
    </row>
    <row r="123" spans="3:14">
      <c r="C123" s="580">
        <v>80</v>
      </c>
      <c r="D123" s="667">
        <f>AVERAGE(HP88:HP94)</f>
        <v>9.7557142857142853</v>
      </c>
      <c r="E123" s="563">
        <f>AVERAGE(HQ88:HQ94)</f>
        <v>3.0357142857142856</v>
      </c>
      <c r="F123" s="563">
        <f>AVERAGE(HS88:HS93)</f>
        <v>384.5</v>
      </c>
      <c r="G123" s="521">
        <v>600.15</v>
      </c>
      <c r="H123" s="563">
        <f t="shared" si="81"/>
        <v>1.5608582574772432</v>
      </c>
      <c r="I123" s="563">
        <f t="shared" si="82"/>
        <v>0.41099688397085166</v>
      </c>
      <c r="J123" s="564">
        <f>AVERAGE(IJ88:IJ94)</f>
        <v>7.4085714285714284</v>
      </c>
      <c r="K123" s="600">
        <v>80</v>
      </c>
      <c r="L123" s="590">
        <f t="shared" si="57"/>
        <v>2.347142857142857</v>
      </c>
    </row>
    <row r="124" spans="3:14">
      <c r="C124" s="581" t="s">
        <v>1593</v>
      </c>
      <c r="D124" s="342">
        <f>AVERAGE(FE88:FE94)</f>
        <v>8.781428571428572</v>
      </c>
      <c r="E124" s="565">
        <f>AVERAGE(FF88:FF94)</f>
        <v>3.0357142857142856</v>
      </c>
      <c r="F124" s="565">
        <f>AVERAGE(FH88:FH93)</f>
        <v>390.29999999999995</v>
      </c>
      <c r="G124" s="103">
        <v>555.42999999999995</v>
      </c>
      <c r="H124" s="565">
        <f t="shared" si="81"/>
        <v>1.4230848065590571</v>
      </c>
      <c r="I124" s="565">
        <f t="shared" si="82"/>
        <v>0.46298686544941237</v>
      </c>
      <c r="J124" s="566">
        <f>AVERAGE(FY88:FY94)</f>
        <v>8.4157142857142855</v>
      </c>
      <c r="K124" s="601" t="s">
        <v>1593</v>
      </c>
      <c r="L124" s="590">
        <f t="shared" si="57"/>
        <v>0.36571428571428655</v>
      </c>
    </row>
    <row r="125" spans="3:14">
      <c r="C125" s="581" t="s">
        <v>1594</v>
      </c>
      <c r="D125" s="342">
        <f>AVERAGE(FI88:FI94)</f>
        <v>8.8071428571428569</v>
      </c>
      <c r="E125" s="565">
        <f>AVERAGE(FJ88:FJ94)</f>
        <v>3.1428571428571428</v>
      </c>
      <c r="F125" s="565">
        <f>AVERAGE(FL88:FL93)</f>
        <v>391.02499999999992</v>
      </c>
      <c r="G125" s="103">
        <v>550.32000000000005</v>
      </c>
      <c r="H125" s="565">
        <f t="shared" si="81"/>
        <v>1.4073780448820412</v>
      </c>
      <c r="I125" s="565">
        <f t="shared" si="82"/>
        <v>0.46891394532753161</v>
      </c>
      <c r="J125" s="566">
        <v>8.4157142857142855</v>
      </c>
      <c r="K125" s="601" t="s">
        <v>1594</v>
      </c>
      <c r="L125" s="590">
        <f t="shared" si="57"/>
        <v>0.39142857142857146</v>
      </c>
      <c r="N125" s="337">
        <f>AVERAGE(D124:D126)</f>
        <v>8.831428571428571</v>
      </c>
    </row>
    <row r="126" spans="3:14">
      <c r="C126" s="581" t="s">
        <v>1595</v>
      </c>
      <c r="D126" s="342">
        <f>AVERAGE(FM88:FM94)</f>
        <v>8.9057142857142857</v>
      </c>
      <c r="E126" s="565">
        <f>AVERAGE(FN88:FN94)</f>
        <v>3.2142857142857144</v>
      </c>
      <c r="F126" s="565">
        <f>AVERAGE(FP88:FP93)</f>
        <v>375.55833333333334</v>
      </c>
      <c r="G126" s="103">
        <f>66.08+60.41+16.47+87.98+16.47+121.12+181.51</f>
        <v>550.04</v>
      </c>
      <c r="H126" s="565">
        <f t="shared" si="81"/>
        <v>1.4645927175094857</v>
      </c>
      <c r="I126" s="565">
        <f t="shared" si="82"/>
        <v>0.44732350282660915</v>
      </c>
      <c r="J126" s="566">
        <v>8.4157142857142855</v>
      </c>
      <c r="K126" s="601" t="s">
        <v>1595</v>
      </c>
      <c r="L126" s="590">
        <f t="shared" si="57"/>
        <v>0.49000000000000021</v>
      </c>
      <c r="N126" s="337">
        <f>AVERAGE(D127:D128)</f>
        <v>9.2021428571428565</v>
      </c>
    </row>
    <row r="127" spans="3:14">
      <c r="C127" s="581" t="s">
        <v>1605</v>
      </c>
      <c r="D127" s="342">
        <f>AVERAGE(HC88:HC94)</f>
        <v>9.1857142857142868</v>
      </c>
      <c r="E127" s="565">
        <f>AVERAGE(HD88:HD94)</f>
        <v>3.3571428571428572</v>
      </c>
      <c r="F127" s="565">
        <f>AVERAGE(HF88:HF93)</f>
        <v>382.08333333333331</v>
      </c>
      <c r="G127" s="103">
        <f>65.97+60.52+16.49+87.93+16.62+121.07+180.99</f>
        <v>549.59</v>
      </c>
      <c r="H127" s="565">
        <f t="shared" si="81"/>
        <v>1.438403489640131</v>
      </c>
      <c r="I127" s="565">
        <f t="shared" si="82"/>
        <v>0.45720623032447882</v>
      </c>
      <c r="J127" s="566">
        <f>AVERAGE(HO88:HO94)</f>
        <v>7.1657142857142864</v>
      </c>
      <c r="K127" s="601" t="s">
        <v>1605</v>
      </c>
      <c r="L127" s="590">
        <f t="shared" si="57"/>
        <v>2.0200000000000005</v>
      </c>
    </row>
    <row r="128" spans="3:14">
      <c r="C128" s="581" t="s">
        <v>1606</v>
      </c>
      <c r="D128" s="342">
        <f>AVERAGE(HG88:HG94)</f>
        <v>9.218571428571428</v>
      </c>
      <c r="E128" s="565">
        <f>AVERAGE(HH88:HH94)</f>
        <v>3.0714285714285716</v>
      </c>
      <c r="F128" s="565">
        <f>AVERAGE(HJ88:HJ93)</f>
        <v>396.09999999999997</v>
      </c>
      <c r="G128" s="103">
        <f>66.01+60.5+16.5+87.95+16.52+121.06+190.95</f>
        <v>559.49</v>
      </c>
      <c r="H128" s="565">
        <f t="shared" si="81"/>
        <v>1.4124968442312549</v>
      </c>
      <c r="I128" s="565">
        <f t="shared" si="82"/>
        <v>0.46698232293160191</v>
      </c>
      <c r="J128" s="566">
        <v>7.1657142857142864</v>
      </c>
      <c r="K128" s="601" t="s">
        <v>1606</v>
      </c>
      <c r="L128" s="590">
        <f t="shared" si="57"/>
        <v>2.0528571428571416</v>
      </c>
    </row>
    <row r="129" spans="3:12">
      <c r="C129" s="581">
        <v>901</v>
      </c>
      <c r="D129" s="342">
        <f>AVERAGE(HT88:HT94)</f>
        <v>9.7042857142857155</v>
      </c>
      <c r="E129" s="565">
        <f>AVERAGE(HU88:HU94)</f>
        <v>3.0714285714285716</v>
      </c>
      <c r="F129" s="565">
        <f>AVERAGE(HW88:HW93)</f>
        <v>359.36666666666662</v>
      </c>
      <c r="G129" s="103">
        <f>66.14+60.59+16.55+88.29+16.66+121+181.27</f>
        <v>550.5</v>
      </c>
      <c r="H129" s="565">
        <f t="shared" si="81"/>
        <v>1.5318616083851222</v>
      </c>
      <c r="I129" s="565">
        <f t="shared" si="82"/>
        <v>0.42193901570372749</v>
      </c>
      <c r="J129" s="566">
        <f>AVERAGE(IL88:IL94)</f>
        <v>7.2200000000000006</v>
      </c>
      <c r="K129" s="601">
        <v>901</v>
      </c>
      <c r="L129" s="590">
        <f t="shared" si="57"/>
        <v>2.4842857142857149</v>
      </c>
    </row>
    <row r="130" spans="3:12">
      <c r="C130" s="581">
        <v>902</v>
      </c>
      <c r="D130" s="342">
        <f>AVERAGE(HX88:HX94)</f>
        <v>9.6357142857142861</v>
      </c>
      <c r="E130" s="565">
        <f>AVERAGE(HY88:HY94)</f>
        <v>2.6428571428571428</v>
      </c>
      <c r="F130" s="565">
        <f>AVERAGE(IA88:IA93)</f>
        <v>363.7166666666667</v>
      </c>
      <c r="G130" s="103">
        <f>66+60.69+16.57+88.08+16.48+120.95+181.5</f>
        <v>550.27</v>
      </c>
      <c r="H130" s="565">
        <f t="shared" si="81"/>
        <v>1.5129083993951333</v>
      </c>
      <c r="I130" s="565">
        <f t="shared" si="82"/>
        <v>0.42909117003957231</v>
      </c>
      <c r="J130" s="566">
        <v>7.2200000000000006</v>
      </c>
      <c r="K130" s="601">
        <v>902</v>
      </c>
      <c r="L130" s="590">
        <f t="shared" si="57"/>
        <v>2.4157142857142855</v>
      </c>
    </row>
    <row r="131" spans="3:12">
      <c r="C131" s="582" t="s">
        <v>1596</v>
      </c>
      <c r="D131" s="668">
        <f>AVERAGE(FQ88:FQ94)</f>
        <v>9.0342857142857138</v>
      </c>
      <c r="E131" s="567">
        <f>AVERAGE(FR88:FR94)</f>
        <v>2.7857142857142856</v>
      </c>
      <c r="F131" s="567">
        <f>AVERAGE(FT88:FT93)</f>
        <v>396.09999999999997</v>
      </c>
      <c r="G131" s="559">
        <f>66.06+60.41+16.52+88.04+16.51+297.15+5.7</f>
        <v>550.3900000000001</v>
      </c>
      <c r="H131" s="567">
        <f t="shared" si="81"/>
        <v>1.389522847765716</v>
      </c>
      <c r="I131" s="567">
        <f t="shared" si="82"/>
        <v>0.47565175556010719</v>
      </c>
      <c r="J131" s="568">
        <v>8.4157142857142855</v>
      </c>
      <c r="K131" s="602" t="s">
        <v>1596</v>
      </c>
      <c r="L131" s="590">
        <f t="shared" si="57"/>
        <v>0.61857142857142833</v>
      </c>
    </row>
    <row r="132" spans="3:12">
      <c r="C132" s="582" t="s">
        <v>1597</v>
      </c>
      <c r="D132" s="668">
        <f>AVERAGE(FU88:FU94)</f>
        <v>9.0200000000000014</v>
      </c>
      <c r="E132" s="567">
        <f>AVERAGE(FV88:FV94)</f>
        <v>2.9285714285714284</v>
      </c>
      <c r="F132" s="567">
        <f>AVERAGE(FX88:FX93)</f>
        <v>387.15833333333336</v>
      </c>
      <c r="G132" s="559">
        <v>533.91</v>
      </c>
      <c r="H132" s="567">
        <f t="shared" si="81"/>
        <v>1.3790481930304137</v>
      </c>
      <c r="I132" s="567">
        <f t="shared" si="82"/>
        <v>0.47960445546022124</v>
      </c>
      <c r="J132" s="568">
        <v>8.4157142857142855</v>
      </c>
      <c r="K132" s="602" t="s">
        <v>1597</v>
      </c>
      <c r="L132" s="590">
        <f t="shared" si="57"/>
        <v>0.60428571428571587</v>
      </c>
    </row>
    <row r="133" spans="3:12">
      <c r="C133" s="582" t="s">
        <v>1607</v>
      </c>
      <c r="D133" s="668">
        <f>AVERAGE(IB88:IB94)</f>
        <v>9.8642857142857157</v>
      </c>
      <c r="E133" s="567">
        <f>AVERAGE(IC88:IC94)</f>
        <v>3.0357142857142856</v>
      </c>
      <c r="F133" s="567">
        <f>AVERAGE(IE88:IE93)</f>
        <v>387.64166666666665</v>
      </c>
      <c r="G133" s="559">
        <f>63.62+58.68+16.05+84.74+15.98+286.3+5.32</f>
        <v>530.69000000000005</v>
      </c>
      <c r="H133" s="567">
        <f t="shared" si="81"/>
        <v>1.3690220779499969</v>
      </c>
      <c r="I133" s="567">
        <f t="shared" si="82"/>
        <v>0.48338789511320868</v>
      </c>
      <c r="J133" s="568">
        <v>7.2200000000000006</v>
      </c>
      <c r="K133" s="602" t="s">
        <v>1607</v>
      </c>
      <c r="L133" s="590">
        <f t="shared" si="57"/>
        <v>2.644285714285715</v>
      </c>
    </row>
    <row r="134" spans="3:12">
      <c r="C134" s="582" t="s">
        <v>1608</v>
      </c>
      <c r="D134" s="668">
        <f>AVERAGE(IF88:IF94)</f>
        <v>9.7842857142857156</v>
      </c>
      <c r="E134" s="567">
        <f>AVERAGE(IG88:IG94)</f>
        <v>2.5</v>
      </c>
      <c r="F134" s="567">
        <f>AVERAGE(II88:II93)</f>
        <v>393.68333333333334</v>
      </c>
      <c r="G134" s="559">
        <f>63.66+58.29+16.02+84.79+15.92+286.42+5.33</f>
        <v>530.43000000000006</v>
      </c>
      <c r="H134" s="567">
        <f t="shared" si="81"/>
        <v>1.3473519326023455</v>
      </c>
      <c r="I134" s="567">
        <f t="shared" si="82"/>
        <v>0.49156530845194502</v>
      </c>
      <c r="J134" s="568">
        <f>AVERAGE(IK88:IK94)</f>
        <v>7.15</v>
      </c>
      <c r="K134" s="602" t="s">
        <v>1608</v>
      </c>
      <c r="L134" s="590">
        <f t="shared" si="57"/>
        <v>2.6342857142857152</v>
      </c>
    </row>
  </sheetData>
  <mergeCells count="61">
    <mergeCell ref="EP1:ES1"/>
    <mergeCell ref="ET1:EW1"/>
    <mergeCell ref="EX1:FA1"/>
    <mergeCell ref="DU1:DX1"/>
    <mergeCell ref="DY1:EB1"/>
    <mergeCell ref="EC1:EF1"/>
    <mergeCell ref="EG1:EJ1"/>
    <mergeCell ref="EL1:EO1"/>
    <mergeCell ref="DP1:DS1"/>
    <mergeCell ref="BU1:BX1"/>
    <mergeCell ref="BQ1:BT1"/>
    <mergeCell ref="CZ1:DC1"/>
    <mergeCell ref="DD1:DG1"/>
    <mergeCell ref="DH1:DK1"/>
    <mergeCell ref="DL1:DO1"/>
    <mergeCell ref="CT1:CW1"/>
    <mergeCell ref="CP1:CS1"/>
    <mergeCell ref="CL1:CO1"/>
    <mergeCell ref="CH1:CK1"/>
    <mergeCell ref="CC1:CF1"/>
    <mergeCell ref="BY1:CB1"/>
    <mergeCell ref="FE1:FH1"/>
    <mergeCell ref="FI1:FL1"/>
    <mergeCell ref="FM1:FP1"/>
    <mergeCell ref="FQ1:FT1"/>
    <mergeCell ref="FU1:FX1"/>
    <mergeCell ref="FZ1:GC1"/>
    <mergeCell ref="GD1:GG1"/>
    <mergeCell ref="GH1:GK1"/>
    <mergeCell ref="GL1:GO1"/>
    <mergeCell ref="GP1:GS1"/>
    <mergeCell ref="GU1:GX1"/>
    <mergeCell ref="GY1:HB1"/>
    <mergeCell ref="HC1:HF1"/>
    <mergeCell ref="HG1:HJ1"/>
    <mergeCell ref="HK1:HN1"/>
    <mergeCell ref="HP1:HS1"/>
    <mergeCell ref="HT1:HW1"/>
    <mergeCell ref="HX1:IA1"/>
    <mergeCell ref="IB1:IE1"/>
    <mergeCell ref="IF1:II1"/>
    <mergeCell ref="FE86:FH86"/>
    <mergeCell ref="FI86:FL86"/>
    <mergeCell ref="FM86:FP86"/>
    <mergeCell ref="FQ86:FT86"/>
    <mergeCell ref="FU86:FX86"/>
    <mergeCell ref="FZ86:GC86"/>
    <mergeCell ref="GD86:GG86"/>
    <mergeCell ref="GH86:GK86"/>
    <mergeCell ref="GL86:GO86"/>
    <mergeCell ref="GP86:GS86"/>
    <mergeCell ref="GU86:GX86"/>
    <mergeCell ref="GY86:HB86"/>
    <mergeCell ref="HC86:HF86"/>
    <mergeCell ref="HG86:HJ86"/>
    <mergeCell ref="HK86:HN86"/>
    <mergeCell ref="HP86:HS86"/>
    <mergeCell ref="HT86:HW86"/>
    <mergeCell ref="HX86:IA86"/>
    <mergeCell ref="IB86:IE86"/>
    <mergeCell ref="IF86:II8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41F29-157A-C24A-89FE-0C608311E01E}">
  <dimension ref="B2:AN77"/>
  <sheetViews>
    <sheetView workbookViewId="0">
      <selection activeCell="F35" sqref="F35"/>
    </sheetView>
  </sheetViews>
  <sheetFormatPr defaultColWidth="10.6640625" defaultRowHeight="15.5"/>
  <cols>
    <col min="24" max="24" width="32" customWidth="1"/>
  </cols>
  <sheetData>
    <row r="2" spans="2:40" ht="16" thickBot="1"/>
    <row r="3" spans="2:40" ht="16" thickTop="1">
      <c r="B3" s="569" t="s">
        <v>1305</v>
      </c>
      <c r="C3" s="569" t="s">
        <v>86</v>
      </c>
      <c r="D3" s="569" t="s">
        <v>161</v>
      </c>
      <c r="E3" s="569" t="s">
        <v>1306</v>
      </c>
      <c r="F3" s="569" t="s">
        <v>1307</v>
      </c>
      <c r="G3" s="569" t="s">
        <v>1308</v>
      </c>
      <c r="H3" s="569" t="s">
        <v>1309</v>
      </c>
      <c r="I3" s="570" t="s">
        <v>1442</v>
      </c>
      <c r="K3" t="s">
        <v>1771</v>
      </c>
      <c r="M3" t="s">
        <v>1823</v>
      </c>
      <c r="T3" s="12"/>
      <c r="AF3" t="s">
        <v>1868</v>
      </c>
      <c r="AM3" t="s">
        <v>1869</v>
      </c>
    </row>
    <row r="4" spans="2:40">
      <c r="B4" s="571">
        <v>10</v>
      </c>
      <c r="C4" s="290">
        <v>9.7109259259259275</v>
      </c>
      <c r="D4" s="290">
        <v>3.1452830188679242</v>
      </c>
      <c r="E4" s="290">
        <v>370.55100000000004</v>
      </c>
      <c r="F4" s="290">
        <v>750.04</v>
      </c>
      <c r="G4" s="290">
        <v>2.0241208362681515</v>
      </c>
      <c r="H4" s="290">
        <v>0.23618081650258427</v>
      </c>
      <c r="I4" s="366">
        <v>7.12</v>
      </c>
      <c r="J4">
        <v>10</v>
      </c>
      <c r="K4" s="12">
        <v>2.5909259259259274</v>
      </c>
      <c r="M4" t="s">
        <v>1824</v>
      </c>
      <c r="N4" s="688" t="s">
        <v>1816</v>
      </c>
      <c r="O4" s="688"/>
      <c r="P4" s="688"/>
      <c r="Q4" s="688" t="s">
        <v>1817</v>
      </c>
      <c r="R4" s="688"/>
      <c r="S4" s="688"/>
      <c r="T4" t="s">
        <v>1820</v>
      </c>
      <c r="V4" t="s">
        <v>1831</v>
      </c>
      <c r="AA4" s="12"/>
      <c r="AG4" s="12">
        <v>9.9999999999999645E-2</v>
      </c>
      <c r="AH4">
        <v>0.15000000000000036</v>
      </c>
      <c r="AI4">
        <v>6.0999999999999783</v>
      </c>
      <c r="AJ4">
        <v>9.0000000000000213</v>
      </c>
      <c r="AK4" s="305">
        <v>0.25</v>
      </c>
      <c r="AL4" s="305">
        <v>0.15000000000000036</v>
      </c>
      <c r="AM4">
        <v>0.1</v>
      </c>
      <c r="AN4">
        <v>0.15</v>
      </c>
    </row>
    <row r="5" spans="2:40">
      <c r="B5" s="571" t="s">
        <v>163</v>
      </c>
      <c r="C5" s="290">
        <v>9.5061481481481476</v>
      </c>
      <c r="D5" s="290">
        <v>2.6547169811320752</v>
      </c>
      <c r="E5" s="290">
        <v>359.37596153846164</v>
      </c>
      <c r="F5" s="290">
        <v>761.15</v>
      </c>
      <c r="G5" s="290">
        <v>2.1179769418677132</v>
      </c>
      <c r="H5" s="290">
        <v>0.20076341816312704</v>
      </c>
      <c r="I5" s="366">
        <v>7.27</v>
      </c>
      <c r="J5" t="s">
        <v>163</v>
      </c>
      <c r="K5" s="12">
        <v>2.236148148148148</v>
      </c>
      <c r="M5" t="s">
        <v>1305</v>
      </c>
      <c r="N5" t="s">
        <v>1814</v>
      </c>
      <c r="O5" t="s">
        <v>1815</v>
      </c>
      <c r="P5" s="657" t="s">
        <v>1842</v>
      </c>
      <c r="Q5" t="s">
        <v>1814</v>
      </c>
      <c r="R5" t="s">
        <v>1815</v>
      </c>
      <c r="S5" s="657" t="s">
        <v>1842</v>
      </c>
      <c r="T5" t="s">
        <v>1818</v>
      </c>
      <c r="U5" t="s">
        <v>1819</v>
      </c>
      <c r="V5" t="s">
        <v>1818</v>
      </c>
      <c r="W5" t="s">
        <v>1819</v>
      </c>
      <c r="AA5" t="s">
        <v>1872</v>
      </c>
      <c r="AI5">
        <v>9.9983609244385818E-2</v>
      </c>
      <c r="AJ5">
        <v>0.1499750041659727</v>
      </c>
    </row>
    <row r="6" spans="2:40">
      <c r="B6" s="571" t="s">
        <v>164</v>
      </c>
      <c r="C6" s="290">
        <v>9.4517777777777798</v>
      </c>
      <c r="D6" s="290">
        <v>2.560754716981132</v>
      </c>
      <c r="E6" s="290">
        <v>371.30499999999995</v>
      </c>
      <c r="F6" s="290">
        <v>778.39</v>
      </c>
      <c r="G6" s="290">
        <v>2.0963628284025266</v>
      </c>
      <c r="H6" s="290">
        <v>0.20891968739527289</v>
      </c>
      <c r="I6" s="366">
        <v>7.27</v>
      </c>
      <c r="J6" t="s">
        <v>164</v>
      </c>
      <c r="K6" s="12">
        <v>2.1817777777777803</v>
      </c>
      <c r="M6" t="s">
        <v>184</v>
      </c>
      <c r="N6" s="77">
        <v>230.78333333333336</v>
      </c>
      <c r="O6" s="77">
        <v>29.999999999999979</v>
      </c>
      <c r="P6" s="77">
        <f>O6+((N6/61)*60)</f>
        <v>257</v>
      </c>
      <c r="Q6" s="77">
        <v>232.01785714285714</v>
      </c>
      <c r="R6" s="77">
        <v>19.499999999999989</v>
      </c>
      <c r="S6" s="77">
        <f t="shared" ref="S6:S12" si="0">R6+((Q6/61)*60)</f>
        <v>247.71428571428569</v>
      </c>
      <c r="T6" s="77">
        <v>-1.2345238095237789</v>
      </c>
      <c r="U6" s="77">
        <v>10.499999999999989</v>
      </c>
      <c r="V6" s="305">
        <f>T6/61</f>
        <v>-2.0238095238094736E-2</v>
      </c>
      <c r="W6" s="305">
        <f>U6/60</f>
        <v>0.17499999999999982</v>
      </c>
      <c r="X6" t="s">
        <v>1840</v>
      </c>
      <c r="AA6" s="305">
        <f>V6+W6</f>
        <v>0.1547619047619051</v>
      </c>
      <c r="AB6" t="s">
        <v>945</v>
      </c>
      <c r="AJ6">
        <v>0.24995861341035852</v>
      </c>
    </row>
    <row r="7" spans="2:40">
      <c r="B7" s="571" t="s">
        <v>165</v>
      </c>
      <c r="C7" s="290">
        <v>9.499981481481484</v>
      </c>
      <c r="D7" s="290">
        <v>2.70188679245283</v>
      </c>
      <c r="E7" s="290">
        <v>368.23100000000005</v>
      </c>
      <c r="F7" s="290">
        <v>760.39</v>
      </c>
      <c r="G7" s="290">
        <v>2.0649809494583562</v>
      </c>
      <c r="H7" s="290">
        <v>0.22076190586477118</v>
      </c>
      <c r="I7" s="366">
        <v>7.27</v>
      </c>
      <c r="J7" t="s">
        <v>165</v>
      </c>
      <c r="K7" s="12">
        <v>2.2299814814814845</v>
      </c>
      <c r="M7" t="s">
        <v>168</v>
      </c>
      <c r="N7" s="77">
        <v>235.86666666666676</v>
      </c>
      <c r="O7" s="77">
        <v>23.599999999999962</v>
      </c>
      <c r="P7" s="77">
        <f t="shared" ref="P7:P12" si="1">O7+((N7/61)*60)</f>
        <v>255.60000000000005</v>
      </c>
      <c r="Q7" s="77">
        <v>232.01785714285714</v>
      </c>
      <c r="R7" s="77">
        <v>19.499999999999989</v>
      </c>
      <c r="S7" s="77">
        <f t="shared" si="0"/>
        <v>247.71428571428569</v>
      </c>
      <c r="T7" s="77">
        <v>3.8488095238096207</v>
      </c>
      <c r="U7" s="77">
        <v>4.099999999999973</v>
      </c>
      <c r="V7" s="305">
        <f t="shared" ref="V7:V11" si="2">T7/61</f>
        <v>6.3095238095239689E-2</v>
      </c>
      <c r="W7" s="305">
        <f t="shared" ref="W7:W11" si="3">U7/60</f>
        <v>6.8333333333332885E-2</v>
      </c>
      <c r="X7" s="780" t="s">
        <v>1849</v>
      </c>
      <c r="AA7" s="305">
        <f t="shared" ref="AA7:AA12" si="4">V7+W7</f>
        <v>0.13142857142857256</v>
      </c>
      <c r="AB7" t="s">
        <v>168</v>
      </c>
      <c r="AJ7">
        <v>15.000016390755615</v>
      </c>
    </row>
    <row r="8" spans="2:40">
      <c r="B8" s="571" t="s">
        <v>166</v>
      </c>
      <c r="C8" s="290">
        <v>9.5585185185185182</v>
      </c>
      <c r="D8" s="290">
        <v>2.7330188679245282</v>
      </c>
      <c r="E8" s="290">
        <v>360.37199999999996</v>
      </c>
      <c r="F8" s="290">
        <v>650.69000000000005</v>
      </c>
      <c r="G8" s="290">
        <v>1.8056064289123466</v>
      </c>
      <c r="H8" s="290">
        <v>0.31863908342930314</v>
      </c>
      <c r="I8" s="366">
        <v>7.27</v>
      </c>
      <c r="J8" t="s">
        <v>166</v>
      </c>
      <c r="K8" s="12">
        <v>2.2885185185185186</v>
      </c>
      <c r="L8" t="s">
        <v>1772</v>
      </c>
      <c r="M8" t="s">
        <v>169</v>
      </c>
      <c r="N8" s="77">
        <v>238.10333333333332</v>
      </c>
      <c r="O8" s="77">
        <v>22.800000000000008</v>
      </c>
      <c r="P8" s="77">
        <f t="shared" si="1"/>
        <v>257</v>
      </c>
      <c r="Q8" s="77">
        <v>232.01785714285714</v>
      </c>
      <c r="R8" s="77">
        <v>19.499999999999989</v>
      </c>
      <c r="S8" s="77">
        <f t="shared" si="0"/>
        <v>247.71428571428569</v>
      </c>
      <c r="T8" s="77">
        <v>6.0854761904761858</v>
      </c>
      <c r="U8" s="77">
        <v>3.3000000000000185</v>
      </c>
      <c r="V8" s="305">
        <f t="shared" si="2"/>
        <v>9.9761904761904691E-2</v>
      </c>
      <c r="W8" s="305">
        <f t="shared" si="3"/>
        <v>5.5000000000000306E-2</v>
      </c>
      <c r="X8" s="780"/>
      <c r="AA8" s="305">
        <f t="shared" si="4"/>
        <v>0.15476190476190499</v>
      </c>
      <c r="AB8" t="s">
        <v>169</v>
      </c>
    </row>
    <row r="9" spans="2:40">
      <c r="B9" s="572" t="s">
        <v>167</v>
      </c>
      <c r="C9" s="291">
        <v>8.8486046511627929</v>
      </c>
      <c r="D9" s="291">
        <v>3.1546511627906977</v>
      </c>
      <c r="E9" s="291">
        <v>354.05000000000024</v>
      </c>
      <c r="F9" s="291">
        <v>650.24</v>
      </c>
      <c r="G9" s="291">
        <v>1.8365767546956633</v>
      </c>
      <c r="H9" s="291">
        <v>0.30695216803937231</v>
      </c>
      <c r="I9" s="110">
        <v>8.61</v>
      </c>
      <c r="J9" t="s">
        <v>167</v>
      </c>
      <c r="K9" s="12">
        <v>0.2386046511627935</v>
      </c>
      <c r="L9" t="s">
        <v>1773</v>
      </c>
      <c r="M9" t="s">
        <v>170</v>
      </c>
      <c r="N9" s="77">
        <v>234.85000000000005</v>
      </c>
      <c r="O9" s="77">
        <v>25.399999999999952</v>
      </c>
      <c r="P9" s="77">
        <f t="shared" si="1"/>
        <v>256.40000000000003</v>
      </c>
      <c r="Q9" s="77">
        <v>232.01785714285714</v>
      </c>
      <c r="R9" s="77">
        <v>19.499999999999989</v>
      </c>
      <c r="S9" s="77">
        <f t="shared" si="0"/>
        <v>247.71428571428569</v>
      </c>
      <c r="T9" s="77">
        <v>2.8321428571429124</v>
      </c>
      <c r="U9" s="77">
        <v>5.8999999999999631</v>
      </c>
      <c r="V9" s="305">
        <f t="shared" si="2"/>
        <v>4.6428571428572332E-2</v>
      </c>
      <c r="W9" s="305">
        <f t="shared" si="3"/>
        <v>9.8333333333332718E-2</v>
      </c>
      <c r="X9" s="780"/>
      <c r="AA9" s="305">
        <f t="shared" si="4"/>
        <v>0.14476190476190504</v>
      </c>
      <c r="AB9" t="s">
        <v>170</v>
      </c>
    </row>
    <row r="10" spans="2:40">
      <c r="B10" s="572" t="s">
        <v>168</v>
      </c>
      <c r="C10" s="291">
        <v>8.6929545454545423</v>
      </c>
      <c r="D10" s="291">
        <v>2.8127906976744188</v>
      </c>
      <c r="E10" s="291">
        <v>363.51125000000002</v>
      </c>
      <c r="F10" s="291">
        <v>765.41</v>
      </c>
      <c r="G10" s="291">
        <v>2.1056019586739061</v>
      </c>
      <c r="H10" s="291">
        <v>0.20543322314192225</v>
      </c>
      <c r="I10" s="110">
        <v>8.61</v>
      </c>
      <c r="J10" t="s">
        <v>168</v>
      </c>
      <c r="K10" s="12">
        <v>8.2954545454542838E-2</v>
      </c>
      <c r="M10" t="s">
        <v>263</v>
      </c>
      <c r="N10" s="77">
        <v>204</v>
      </c>
      <c r="O10" s="77">
        <v>24</v>
      </c>
      <c r="P10" s="77">
        <f t="shared" si="1"/>
        <v>224.65573770491804</v>
      </c>
      <c r="Q10" s="77">
        <v>236</v>
      </c>
      <c r="R10" s="77">
        <v>24</v>
      </c>
      <c r="S10" s="77">
        <f t="shared" si="0"/>
        <v>256.13114754098359</v>
      </c>
      <c r="T10" s="77">
        <f>N10-Q10</f>
        <v>-32</v>
      </c>
      <c r="U10" s="77">
        <f>O10-R10</f>
        <v>0</v>
      </c>
      <c r="V10" s="305">
        <f t="shared" ref="V10" si="5">T10/61</f>
        <v>-0.52459016393442626</v>
      </c>
      <c r="W10" s="305">
        <f t="shared" ref="W10" si="6">U10/60</f>
        <v>0</v>
      </c>
      <c r="X10" t="s">
        <v>1871</v>
      </c>
      <c r="AA10" s="305">
        <f t="shared" si="4"/>
        <v>-0.52459016393442626</v>
      </c>
      <c r="AB10">
        <v>20</v>
      </c>
      <c r="AC10" t="s">
        <v>1874</v>
      </c>
    </row>
    <row r="11" spans="2:40">
      <c r="B11" s="572" t="s">
        <v>169</v>
      </c>
      <c r="C11" s="291">
        <v>8.6747727272727264</v>
      </c>
      <c r="D11" s="291">
        <v>2.8430232558139537</v>
      </c>
      <c r="E11" s="291">
        <v>363.33000000000015</v>
      </c>
      <c r="F11" s="291">
        <v>765.4</v>
      </c>
      <c r="G11" s="291">
        <v>2.1066248314204707</v>
      </c>
      <c r="H11" s="291">
        <v>0.20504723342623743</v>
      </c>
      <c r="I11" s="110">
        <v>8.61</v>
      </c>
      <c r="J11" t="s">
        <v>169</v>
      </c>
      <c r="K11" s="12">
        <v>6.4772727272726982E-2</v>
      </c>
      <c r="M11" t="s">
        <v>1811</v>
      </c>
      <c r="N11" s="77">
        <v>197.97272727272721</v>
      </c>
      <c r="O11" s="77">
        <v>52.363636363636331</v>
      </c>
      <c r="P11" s="77">
        <f t="shared" si="1"/>
        <v>247.09090909090901</v>
      </c>
      <c r="Q11" s="77">
        <v>226.80909090909097</v>
      </c>
      <c r="R11" s="77">
        <v>53.999999999999979</v>
      </c>
      <c r="S11" s="77">
        <f t="shared" si="0"/>
        <v>277.09090909090912</v>
      </c>
      <c r="T11" s="77">
        <v>-28.836363636363757</v>
      </c>
      <c r="U11" s="77">
        <v>-1.6363636363636473</v>
      </c>
      <c r="V11" s="305">
        <f t="shared" si="2"/>
        <v>-0.47272727272727472</v>
      </c>
      <c r="W11" s="305">
        <f t="shared" si="3"/>
        <v>-2.7272727272727455E-2</v>
      </c>
      <c r="X11" t="s">
        <v>1829</v>
      </c>
      <c r="AA11" s="305">
        <f t="shared" si="4"/>
        <v>-0.50000000000000222</v>
      </c>
      <c r="AB11" t="s">
        <v>1412</v>
      </c>
    </row>
    <row r="12" spans="2:40">
      <c r="B12" s="572" t="s">
        <v>170</v>
      </c>
      <c r="C12" s="291">
        <v>8.6395348837209305</v>
      </c>
      <c r="D12" s="291">
        <v>2.8720930232558142</v>
      </c>
      <c r="E12" s="291">
        <v>371.23250000000019</v>
      </c>
      <c r="F12" s="291">
        <v>765.18</v>
      </c>
      <c r="G12" s="291">
        <v>2.061188069471287</v>
      </c>
      <c r="H12" s="291">
        <v>0.22219318133158983</v>
      </c>
      <c r="I12" s="110">
        <v>8.61</v>
      </c>
      <c r="J12" t="s">
        <v>170</v>
      </c>
      <c r="K12" s="12">
        <v>2.9534883720931049E-2</v>
      </c>
      <c r="M12" t="s">
        <v>301</v>
      </c>
      <c r="N12" s="77">
        <v>6.1</v>
      </c>
      <c r="O12" s="77">
        <v>9</v>
      </c>
      <c r="P12" s="77">
        <f t="shared" si="1"/>
        <v>15</v>
      </c>
      <c r="Q12" s="77">
        <v>0</v>
      </c>
      <c r="R12" s="77">
        <v>0</v>
      </c>
      <c r="S12" s="77">
        <f t="shared" si="0"/>
        <v>0</v>
      </c>
      <c r="T12" s="77">
        <f>N12-Q12</f>
        <v>6.1</v>
      </c>
      <c r="U12" s="77">
        <f>O12-R12</f>
        <v>9</v>
      </c>
      <c r="V12" s="305">
        <f>(N12/61)-0</f>
        <v>9.9999999999999992E-2</v>
      </c>
      <c r="W12" s="305">
        <f>(O12/60)-0</f>
        <v>0.15</v>
      </c>
      <c r="X12" t="s">
        <v>1870</v>
      </c>
      <c r="AA12" s="305">
        <f t="shared" si="4"/>
        <v>0.25</v>
      </c>
      <c r="AB12">
        <v>10</v>
      </c>
    </row>
    <row r="13" spans="2:40">
      <c r="B13" s="572">
        <v>20</v>
      </c>
      <c r="C13" s="291">
        <v>8.7347187500000008</v>
      </c>
      <c r="D13" s="291">
        <v>3.1233333333333335</v>
      </c>
      <c r="E13" s="291">
        <v>369.89259259259256</v>
      </c>
      <c r="F13" s="291">
        <v>765.09</v>
      </c>
      <c r="G13" s="291">
        <v>2.0684112505131624</v>
      </c>
      <c r="H13" s="291">
        <v>0.21946745263654244</v>
      </c>
      <c r="I13" s="110">
        <v>8.76</v>
      </c>
      <c r="J13">
        <v>20</v>
      </c>
      <c r="K13" s="12">
        <v>-2.5281249999999034E-2</v>
      </c>
    </row>
    <row r="14" spans="2:40">
      <c r="B14" s="573" t="s">
        <v>171</v>
      </c>
      <c r="C14" s="292">
        <v>9.513372093023257</v>
      </c>
      <c r="D14" s="292">
        <v>2.725609756097561</v>
      </c>
      <c r="E14" s="292">
        <v>356.79324324324324</v>
      </c>
      <c r="F14" s="292">
        <v>650.08000000000004</v>
      </c>
      <c r="G14" s="292">
        <v>1.8220075977078103</v>
      </c>
      <c r="H14" s="292">
        <v>0.31244996312912821</v>
      </c>
      <c r="I14" s="367">
        <v>7.34</v>
      </c>
      <c r="J14" t="s">
        <v>171</v>
      </c>
      <c r="K14" s="12">
        <v>2.1733720930232572</v>
      </c>
      <c r="L14" t="s">
        <v>1773</v>
      </c>
    </row>
    <row r="15" spans="2:40">
      <c r="B15" s="573" t="s">
        <v>172</v>
      </c>
      <c r="C15" s="292">
        <v>9.4142325581395347</v>
      </c>
      <c r="D15" s="292">
        <v>2.7621951219512195</v>
      </c>
      <c r="E15" s="292">
        <v>363.92567567567579</v>
      </c>
      <c r="F15" s="292">
        <v>765.2</v>
      </c>
      <c r="G15" s="292">
        <v>2.1026271328048121</v>
      </c>
      <c r="H15" s="292">
        <v>0.20655579894158038</v>
      </c>
      <c r="I15" s="367">
        <v>7.34</v>
      </c>
      <c r="J15" t="s">
        <v>172</v>
      </c>
      <c r="K15" s="12">
        <v>2.0742325581395349</v>
      </c>
    </row>
    <row r="16" spans="2:40">
      <c r="B16" s="573" t="s">
        <v>173</v>
      </c>
      <c r="C16" s="292">
        <v>9.3251162790697713</v>
      </c>
      <c r="D16" s="292">
        <v>3.1585365853658538</v>
      </c>
      <c r="E16" s="292">
        <v>354.83378378378387</v>
      </c>
      <c r="F16" s="292">
        <v>765.03</v>
      </c>
      <c r="G16" s="292">
        <v>2.1560235664205161</v>
      </c>
      <c r="H16" s="292">
        <v>0.18640620135074859</v>
      </c>
      <c r="I16" s="367">
        <v>7.34</v>
      </c>
      <c r="J16" t="s">
        <v>173</v>
      </c>
      <c r="K16" s="12">
        <v>1.9851162790697714</v>
      </c>
      <c r="M16" t="s">
        <v>1825</v>
      </c>
      <c r="N16" s="688" t="s">
        <v>1816</v>
      </c>
      <c r="O16" s="688"/>
      <c r="P16" s="688"/>
      <c r="Q16" s="688" t="s">
        <v>1817</v>
      </c>
      <c r="R16" s="688"/>
      <c r="S16" s="688"/>
      <c r="T16" t="s">
        <v>1820</v>
      </c>
      <c r="V16" t="s">
        <v>1831</v>
      </c>
      <c r="AA16" s="12"/>
    </row>
    <row r="17" spans="2:39">
      <c r="B17" s="573" t="s">
        <v>174</v>
      </c>
      <c r="C17" s="292">
        <v>9.40744186046512</v>
      </c>
      <c r="D17" s="292">
        <v>3.1097560975609757</v>
      </c>
      <c r="E17" s="292">
        <v>370.3135135135135</v>
      </c>
      <c r="F17" s="292">
        <v>765.17</v>
      </c>
      <c r="G17" s="292">
        <v>2.0662762013195537</v>
      </c>
      <c r="H17" s="292">
        <v>0.22027313157752693</v>
      </c>
      <c r="I17" s="367">
        <v>7.34</v>
      </c>
      <c r="J17" t="s">
        <v>174</v>
      </c>
      <c r="K17" s="12">
        <v>2.0674418604651201</v>
      </c>
      <c r="M17" t="s">
        <v>1305</v>
      </c>
      <c r="N17" t="s">
        <v>1814</v>
      </c>
      <c r="O17" t="s">
        <v>1815</v>
      </c>
      <c r="P17" s="657" t="s">
        <v>1842</v>
      </c>
      <c r="Q17" t="s">
        <v>1814</v>
      </c>
      <c r="R17" t="s">
        <v>1815</v>
      </c>
      <c r="S17" s="657" t="s">
        <v>1842</v>
      </c>
      <c r="T17" t="s">
        <v>1818</v>
      </c>
      <c r="U17" t="s">
        <v>1819</v>
      </c>
      <c r="V17" t="s">
        <v>1818</v>
      </c>
      <c r="W17" t="s">
        <v>1819</v>
      </c>
      <c r="AA17" t="s">
        <v>1872</v>
      </c>
    </row>
    <row r="18" spans="2:39">
      <c r="B18" s="573">
        <v>30</v>
      </c>
      <c r="C18" s="292">
        <v>9.9428125000000005</v>
      </c>
      <c r="D18" s="292">
        <v>3.15</v>
      </c>
      <c r="E18" s="292">
        <v>369.08703703703696</v>
      </c>
      <c r="F18" s="292">
        <v>765.62</v>
      </c>
      <c r="G18" s="292">
        <v>2.0743616631628599</v>
      </c>
      <c r="H18" s="292">
        <v>0.21722201390080753</v>
      </c>
      <c r="I18" s="367">
        <v>6.89</v>
      </c>
      <c r="J18">
        <v>30</v>
      </c>
      <c r="K18" s="12">
        <v>3.0528125000000008</v>
      </c>
      <c r="M18" t="s">
        <v>184</v>
      </c>
      <c r="N18" s="77">
        <v>235.05333333333328</v>
      </c>
      <c r="O18" s="77">
        <v>20.000000000000011</v>
      </c>
      <c r="P18" s="77">
        <f t="shared" ref="P18:P24" si="7">O18+((N18/61)*60)</f>
        <v>251.19999999999996</v>
      </c>
      <c r="Q18" s="77">
        <v>248.47333333333324</v>
      </c>
      <c r="R18" s="77">
        <v>10.800000000000011</v>
      </c>
      <c r="S18" s="77">
        <f t="shared" ref="S18:S24" si="8">R18+((Q18/61)*60)</f>
        <v>255.1999999999999</v>
      </c>
      <c r="T18" s="77">
        <v>-13.419999999999959</v>
      </c>
      <c r="U18" s="77">
        <v>9.1999999999999993</v>
      </c>
      <c r="V18" s="305">
        <f t="shared" ref="V18:V21" si="9">T18/61</f>
        <v>-0.21999999999999933</v>
      </c>
      <c r="W18" s="305">
        <f t="shared" ref="W18:W21" si="10">U18/60</f>
        <v>0.15333333333333332</v>
      </c>
      <c r="X18" t="s">
        <v>1839</v>
      </c>
      <c r="AA18" s="305">
        <f>V18+W18</f>
        <v>-6.6666666666666013E-2</v>
      </c>
      <c r="AB18" t="s">
        <v>945</v>
      </c>
    </row>
    <row r="19" spans="2:39">
      <c r="B19" s="574" t="s">
        <v>997</v>
      </c>
      <c r="C19" s="293">
        <v>4.6673076923076922</v>
      </c>
      <c r="D19" s="293">
        <v>2.0961538461538463</v>
      </c>
      <c r="E19" s="293">
        <v>366.13333333333344</v>
      </c>
      <c r="F19" s="293">
        <v>650.24</v>
      </c>
      <c r="G19" s="293">
        <v>1.7759650400582661</v>
      </c>
      <c r="H19" s="293">
        <v>0.32982451318555994</v>
      </c>
      <c r="I19" s="243">
        <v>3.92</v>
      </c>
      <c r="J19" t="s">
        <v>997</v>
      </c>
      <c r="K19" s="12">
        <v>0.74730769230769223</v>
      </c>
      <c r="L19" t="s">
        <v>1774</v>
      </c>
      <c r="M19" t="s">
        <v>168</v>
      </c>
      <c r="N19" s="77">
        <v>246.03333333333339</v>
      </c>
      <c r="O19" s="77">
        <v>14.799999999999995</v>
      </c>
      <c r="P19" s="77">
        <f t="shared" si="7"/>
        <v>256.80000000000007</v>
      </c>
      <c r="Q19" s="77">
        <v>248.47333333333324</v>
      </c>
      <c r="R19" s="77">
        <v>10.800000000000011</v>
      </c>
      <c r="S19" s="77">
        <f t="shared" si="8"/>
        <v>255.1999999999999</v>
      </c>
      <c r="T19" s="77">
        <v>-2.4399999999998556</v>
      </c>
      <c r="U19" s="77">
        <v>3.999999999999984</v>
      </c>
      <c r="V19" s="305">
        <f t="shared" si="9"/>
        <v>-3.9999999999997635E-2</v>
      </c>
      <c r="W19" s="305">
        <f t="shared" si="10"/>
        <v>6.6666666666666402E-2</v>
      </c>
      <c r="X19" s="704" t="s">
        <v>1851</v>
      </c>
      <c r="AA19" s="305">
        <f t="shared" ref="AA19:AA24" si="11">V19+W19</f>
        <v>2.6666666666668767E-2</v>
      </c>
      <c r="AB19" t="s">
        <v>168</v>
      </c>
    </row>
    <row r="20" spans="2:39">
      <c r="B20" s="574" t="s">
        <v>998</v>
      </c>
      <c r="C20" s="293">
        <v>7.902916666666667</v>
      </c>
      <c r="D20" s="293">
        <v>3.1923076923076925</v>
      </c>
      <c r="E20" s="293">
        <v>378.7</v>
      </c>
      <c r="F20" s="293">
        <v>766.11</v>
      </c>
      <c r="G20" s="293">
        <v>2.0229997359387379</v>
      </c>
      <c r="H20" s="293">
        <v>0.2366038732306649</v>
      </c>
      <c r="I20" s="243">
        <v>3.92</v>
      </c>
      <c r="J20" t="s">
        <v>998</v>
      </c>
      <c r="K20" s="12">
        <v>3.9829166666666671</v>
      </c>
      <c r="M20" t="s">
        <v>169</v>
      </c>
      <c r="N20" s="77">
        <v>241.96666666666658</v>
      </c>
      <c r="O20" s="77">
        <v>13.599999999999994</v>
      </c>
      <c r="P20" s="77">
        <f t="shared" si="7"/>
        <v>251.59999999999991</v>
      </c>
      <c r="Q20" s="77">
        <v>248.47333333333324</v>
      </c>
      <c r="R20" s="77">
        <v>10.800000000000011</v>
      </c>
      <c r="S20" s="77">
        <f t="shared" si="8"/>
        <v>255.1999999999999</v>
      </c>
      <c r="T20" s="77">
        <v>-6.5066666666666606</v>
      </c>
      <c r="U20" s="77">
        <v>2.7999999999999829</v>
      </c>
      <c r="V20" s="305">
        <f t="shared" si="9"/>
        <v>-0.10666666666666656</v>
      </c>
      <c r="W20" s="305">
        <f t="shared" si="10"/>
        <v>4.6666666666666384E-2</v>
      </c>
      <c r="X20" s="704"/>
      <c r="Z20" t="s">
        <v>1852</v>
      </c>
      <c r="AA20" s="305">
        <f t="shared" si="11"/>
        <v>-6.0000000000000178E-2</v>
      </c>
      <c r="AB20" t="s">
        <v>169</v>
      </c>
      <c r="AE20" t="s">
        <v>1826</v>
      </c>
      <c r="AF20" t="s">
        <v>1816</v>
      </c>
      <c r="AH20" t="s">
        <v>1817</v>
      </c>
      <c r="AI20" s="12"/>
      <c r="AJ20" t="s">
        <v>1820</v>
      </c>
      <c r="AL20" t="s">
        <v>1831</v>
      </c>
    </row>
    <row r="21" spans="2:39">
      <c r="B21" s="574" t="s">
        <v>999</v>
      </c>
      <c r="C21" s="293">
        <v>8.0649999999999995</v>
      </c>
      <c r="D21" s="293">
        <v>3.0576923076923075</v>
      </c>
      <c r="E21" s="293">
        <v>379.42500000000001</v>
      </c>
      <c r="F21" s="293">
        <v>765.12</v>
      </c>
      <c r="G21" s="293">
        <v>2.0165250049416881</v>
      </c>
      <c r="H21" s="293">
        <v>0.2390471679465328</v>
      </c>
      <c r="I21" s="243">
        <v>3.92</v>
      </c>
      <c r="J21" t="s">
        <v>999</v>
      </c>
      <c r="K21" s="12">
        <v>4.1449999999999996</v>
      </c>
      <c r="M21" t="s">
        <v>170</v>
      </c>
      <c r="N21" s="77">
        <v>227.32666666666665</v>
      </c>
      <c r="O21" s="77">
        <v>18.800000000000011</v>
      </c>
      <c r="P21" s="77">
        <f t="shared" si="7"/>
        <v>242.4</v>
      </c>
      <c r="Q21" s="77">
        <v>248.47333333333324</v>
      </c>
      <c r="R21" s="77">
        <v>10.800000000000011</v>
      </c>
      <c r="S21" s="77">
        <f t="shared" si="8"/>
        <v>255.1999999999999</v>
      </c>
      <c r="T21" s="77">
        <v>-21.14666666666659</v>
      </c>
      <c r="U21" s="77">
        <v>8</v>
      </c>
      <c r="V21" s="305">
        <f t="shared" si="9"/>
        <v>-0.3466666666666654</v>
      </c>
      <c r="W21" s="305">
        <f t="shared" si="10"/>
        <v>0.13333333333333333</v>
      </c>
      <c r="X21" s="704"/>
      <c r="AA21" s="305">
        <f t="shared" si="11"/>
        <v>-0.21333333333333207</v>
      </c>
      <c r="AB21" t="s">
        <v>170</v>
      </c>
      <c r="AE21" t="s">
        <v>1305</v>
      </c>
      <c r="AF21" t="s">
        <v>1814</v>
      </c>
      <c r="AG21" t="s">
        <v>1815</v>
      </c>
      <c r="AH21" t="s">
        <v>1814</v>
      </c>
      <c r="AI21" t="s">
        <v>1815</v>
      </c>
      <c r="AJ21" t="s">
        <v>1818</v>
      </c>
      <c r="AK21" t="s">
        <v>1819</v>
      </c>
      <c r="AL21" t="s">
        <v>1818</v>
      </c>
      <c r="AM21" t="s">
        <v>1819</v>
      </c>
    </row>
    <row r="22" spans="2:39">
      <c r="B22" s="574">
        <v>40</v>
      </c>
      <c r="C22" s="293">
        <v>9.4012307692307697</v>
      </c>
      <c r="D22" s="293">
        <v>2.8846153846153846</v>
      </c>
      <c r="E22" s="293">
        <v>367.70416666666665</v>
      </c>
      <c r="F22" s="293">
        <v>765.18999999999994</v>
      </c>
      <c r="G22" s="293">
        <v>2.0809935523348706</v>
      </c>
      <c r="H22" s="293">
        <v>0.21471941421325635</v>
      </c>
      <c r="I22" s="243">
        <v>6.61</v>
      </c>
      <c r="J22">
        <v>40</v>
      </c>
      <c r="K22" s="12">
        <v>2.7912307692307694</v>
      </c>
      <c r="M22" t="s">
        <v>1827</v>
      </c>
      <c r="N22" s="77">
        <v>221.63333333333352</v>
      </c>
      <c r="O22" s="77">
        <v>9.9999999999998206</v>
      </c>
      <c r="P22" s="77">
        <f t="shared" si="7"/>
        <v>228</v>
      </c>
      <c r="Q22" s="77">
        <v>264.3333333333336</v>
      </c>
      <c r="R22" s="77">
        <v>15.999999999999835</v>
      </c>
      <c r="S22" s="77">
        <f t="shared" si="8"/>
        <v>276.00000000000006</v>
      </c>
      <c r="T22" s="77">
        <v>-42.700000000000074</v>
      </c>
      <c r="U22" s="77">
        <v>-6.0000000000000142</v>
      </c>
      <c r="V22" s="305">
        <v>-0.70000000000000118</v>
      </c>
      <c r="W22" s="305">
        <v>-0.10000000000000024</v>
      </c>
      <c r="X22" t="s">
        <v>1830</v>
      </c>
      <c r="AA22" s="305">
        <f t="shared" si="11"/>
        <v>-0.80000000000000138</v>
      </c>
      <c r="AB22" t="s">
        <v>1873</v>
      </c>
    </row>
    <row r="23" spans="2:39">
      <c r="B23" s="575" t="s">
        <v>1001</v>
      </c>
      <c r="C23" s="294">
        <v>9.8501538461538463</v>
      </c>
      <c r="D23" s="294">
        <v>3</v>
      </c>
      <c r="E23" s="294">
        <v>367.70416666666665</v>
      </c>
      <c r="F23" s="294">
        <v>650.02</v>
      </c>
      <c r="G23" s="294">
        <v>1.7677798048703102</v>
      </c>
      <c r="H23" s="294">
        <v>0.33291328118101504</v>
      </c>
      <c r="I23" s="250">
        <v>9.82</v>
      </c>
      <c r="J23" t="s">
        <v>1001</v>
      </c>
      <c r="K23" s="12">
        <v>3.0153846153845976E-2</v>
      </c>
      <c r="L23" t="s">
        <v>1775</v>
      </c>
      <c r="M23" t="s">
        <v>1410</v>
      </c>
      <c r="N23" s="77">
        <v>278.56666666666655</v>
      </c>
      <c r="O23" s="77">
        <v>7.0000000000000284</v>
      </c>
      <c r="P23" s="77">
        <f t="shared" si="7"/>
        <v>280.99999999999989</v>
      </c>
      <c r="Q23" s="77">
        <v>264.3333333333336</v>
      </c>
      <c r="R23" s="77">
        <v>15.999999999999835</v>
      </c>
      <c r="S23" s="77">
        <f t="shared" si="8"/>
        <v>276.00000000000006</v>
      </c>
      <c r="T23" s="77">
        <v>14.233333333332951</v>
      </c>
      <c r="U23" s="77">
        <v>-8.9999999999998064</v>
      </c>
      <c r="V23" s="305">
        <v>0.23333333333332706</v>
      </c>
      <c r="W23" s="305">
        <v>-0.14999999999999677</v>
      </c>
      <c r="X23" t="s">
        <v>1850</v>
      </c>
      <c r="AA23" s="305">
        <f t="shared" si="11"/>
        <v>8.3333333333330289E-2</v>
      </c>
      <c r="AB23" t="s">
        <v>1410</v>
      </c>
    </row>
    <row r="24" spans="2:39">
      <c r="B24" s="575" t="s">
        <v>1002</v>
      </c>
      <c r="C24" s="294">
        <v>9.9771538461538469</v>
      </c>
      <c r="D24" s="294">
        <v>3.2692307692307692</v>
      </c>
      <c r="E24" s="294">
        <v>367.94583333333338</v>
      </c>
      <c r="F24" s="294">
        <v>765.17000000000007</v>
      </c>
      <c r="G24" s="294">
        <v>2.0795724008289262</v>
      </c>
      <c r="H24" s="294">
        <v>0.21525569780040521</v>
      </c>
      <c r="I24" s="250">
        <v>9.82</v>
      </c>
      <c r="J24" t="s">
        <v>1002</v>
      </c>
      <c r="K24" s="12">
        <v>0.15715384615384664</v>
      </c>
      <c r="M24" t="s">
        <v>1411</v>
      </c>
      <c r="N24" s="77">
        <v>201.29999999999959</v>
      </c>
      <c r="O24" s="77">
        <v>14.000000000000199</v>
      </c>
      <c r="P24" s="77">
        <f t="shared" si="7"/>
        <v>211.9999999999998</v>
      </c>
      <c r="Q24" s="77">
        <v>264.3333333333336</v>
      </c>
      <c r="R24" s="77">
        <v>15.999999999999835</v>
      </c>
      <c r="S24" s="77">
        <f t="shared" si="8"/>
        <v>276.00000000000006</v>
      </c>
      <c r="T24" s="77">
        <v>-63.033333333334014</v>
      </c>
      <c r="U24" s="77">
        <v>-1.9999999999996358</v>
      </c>
      <c r="V24" s="305">
        <v>-1.0333333333333445</v>
      </c>
      <c r="W24" s="305">
        <v>-3.3333333333327261E-2</v>
      </c>
      <c r="AA24" s="305">
        <f t="shared" si="11"/>
        <v>-1.0666666666666718</v>
      </c>
      <c r="AB24" t="s">
        <v>1411</v>
      </c>
    </row>
    <row r="25" spans="2:39">
      <c r="B25" s="575" t="s">
        <v>1003</v>
      </c>
      <c r="C25" s="294">
        <v>9.9483076923076919</v>
      </c>
      <c r="D25" s="294">
        <v>3.3846153846153846</v>
      </c>
      <c r="E25" s="294">
        <v>367.58333333333331</v>
      </c>
      <c r="F25" s="294">
        <v>765.39</v>
      </c>
      <c r="G25" s="294">
        <v>2.0822217184311946</v>
      </c>
      <c r="H25" s="294">
        <v>0.21425595530898311</v>
      </c>
      <c r="I25" s="250">
        <v>9.82</v>
      </c>
      <c r="J25" t="s">
        <v>1003</v>
      </c>
      <c r="K25" s="12">
        <v>0.12830769230769157</v>
      </c>
    </row>
    <row r="26" spans="2:39">
      <c r="B26" s="575">
        <v>50</v>
      </c>
      <c r="C26" s="294">
        <v>9.4863076923076921</v>
      </c>
      <c r="D26" s="294">
        <v>2.5769230769230771</v>
      </c>
      <c r="E26" s="294">
        <v>368.42916666666662</v>
      </c>
      <c r="F26" s="294">
        <v>765.27</v>
      </c>
      <c r="G26" s="294">
        <v>2.0771156825712769</v>
      </c>
      <c r="H26" s="294">
        <v>0.21618276129385772</v>
      </c>
      <c r="I26" s="250">
        <v>6.61</v>
      </c>
      <c r="J26">
        <v>50</v>
      </c>
      <c r="K26" s="12">
        <v>2.8763076923076918</v>
      </c>
    </row>
    <row r="27" spans="2:39">
      <c r="B27" s="576" t="s">
        <v>1302</v>
      </c>
      <c r="C27" s="295">
        <v>8.2605833333333329</v>
      </c>
      <c r="D27" s="295">
        <v>3.3125</v>
      </c>
      <c r="E27" s="295">
        <v>380.99583333333322</v>
      </c>
      <c r="F27" s="295">
        <v>650.14</v>
      </c>
      <c r="G27" s="295">
        <v>1.7064228611424015</v>
      </c>
      <c r="H27" s="295">
        <v>0.35606684485192397</v>
      </c>
      <c r="I27" s="283">
        <v>7.1680000000000001</v>
      </c>
      <c r="J27" t="s">
        <v>1302</v>
      </c>
      <c r="K27" s="12">
        <v>1.0925833333333328</v>
      </c>
      <c r="L27" t="s">
        <v>1778</v>
      </c>
    </row>
    <row r="28" spans="2:39">
      <c r="B28" s="576" t="s">
        <v>1301</v>
      </c>
      <c r="C28" s="295">
        <v>9.3145833333333332</v>
      </c>
      <c r="D28" s="295">
        <v>2.9375</v>
      </c>
      <c r="E28" s="295">
        <v>368.30833333333334</v>
      </c>
      <c r="F28" s="295">
        <v>721.23</v>
      </c>
      <c r="G28" s="295">
        <v>1.9582234088286536</v>
      </c>
      <c r="H28" s="295">
        <v>0.26104777025333825</v>
      </c>
      <c r="I28" s="283">
        <v>7.1680000000000001</v>
      </c>
      <c r="J28" t="s">
        <v>1301</v>
      </c>
      <c r="K28" s="12">
        <v>2.1465833333333331</v>
      </c>
    </row>
    <row r="29" spans="2:39">
      <c r="B29" s="576" t="s">
        <v>1300</v>
      </c>
      <c r="C29" s="295">
        <v>9.4008333333333329</v>
      </c>
      <c r="D29" s="295">
        <v>3.5</v>
      </c>
      <c r="E29" s="295">
        <v>372.41666666666669</v>
      </c>
      <c r="F29" s="295">
        <v>720.1400000000001</v>
      </c>
      <c r="G29" s="295">
        <v>1.9336943387782504</v>
      </c>
      <c r="H29" s="295">
        <v>0.27030402310254698</v>
      </c>
      <c r="I29" s="283">
        <v>7.1680000000000001</v>
      </c>
      <c r="J29" t="s">
        <v>1300</v>
      </c>
      <c r="K29" s="12">
        <v>2.2328333333333328</v>
      </c>
      <c r="M29" t="s">
        <v>1826</v>
      </c>
      <c r="N29" s="688" t="s">
        <v>1816</v>
      </c>
      <c r="O29" s="688"/>
      <c r="P29" s="688"/>
      <c r="Q29" s="688" t="s">
        <v>1817</v>
      </c>
      <c r="R29" s="688"/>
      <c r="S29" s="688"/>
      <c r="T29" t="s">
        <v>1820</v>
      </c>
      <c r="V29" t="s">
        <v>1831</v>
      </c>
    </row>
    <row r="30" spans="2:39">
      <c r="B30" s="576" t="s">
        <v>1304</v>
      </c>
      <c r="C30" s="295">
        <v>9.4083333333333332</v>
      </c>
      <c r="D30" s="295">
        <v>2.95</v>
      </c>
      <c r="E30" s="295">
        <v>344.02083333333343</v>
      </c>
      <c r="F30" s="295">
        <v>720.2</v>
      </c>
      <c r="G30" s="295">
        <v>2.0934778659238171</v>
      </c>
      <c r="H30" s="295">
        <v>0.21000835248157845</v>
      </c>
      <c r="I30" s="283">
        <v>7.1680000000000001</v>
      </c>
      <c r="J30" t="s">
        <v>1304</v>
      </c>
      <c r="K30" s="12">
        <v>2.2403333333333331</v>
      </c>
      <c r="M30" t="s">
        <v>1305</v>
      </c>
      <c r="N30" t="s">
        <v>1814</v>
      </c>
      <c r="O30" t="s">
        <v>1815</v>
      </c>
      <c r="P30" s="657" t="s">
        <v>1842</v>
      </c>
      <c r="Q30" t="s">
        <v>1814</v>
      </c>
      <c r="R30" t="s">
        <v>1815</v>
      </c>
      <c r="S30" s="657" t="s">
        <v>1842</v>
      </c>
      <c r="T30" t="s">
        <v>1818</v>
      </c>
      <c r="U30" t="s">
        <v>1819</v>
      </c>
      <c r="V30" t="s">
        <v>1818</v>
      </c>
      <c r="W30" t="s">
        <v>1819</v>
      </c>
      <c r="AA30" t="s">
        <v>1872</v>
      </c>
    </row>
    <row r="31" spans="2:39">
      <c r="B31" s="576">
        <v>60</v>
      </c>
      <c r="C31" s="295">
        <v>9.7275000000000009</v>
      </c>
      <c r="D31" s="295">
        <v>3.3909090909090907</v>
      </c>
      <c r="E31" s="295">
        <v>375.92083333333335</v>
      </c>
      <c r="F31" s="295">
        <v>720.11</v>
      </c>
      <c r="G31" s="295">
        <v>1.9155894969020515</v>
      </c>
      <c r="H31" s="295">
        <v>0.27713603890488625</v>
      </c>
      <c r="I31" s="283">
        <v>7.1779999999999999</v>
      </c>
      <c r="J31">
        <v>60</v>
      </c>
      <c r="K31" s="12">
        <v>2.549500000000001</v>
      </c>
      <c r="M31" t="s">
        <v>184</v>
      </c>
      <c r="N31" s="77">
        <v>282.00769230769231</v>
      </c>
      <c r="O31" s="77">
        <v>36.461538461538453</v>
      </c>
      <c r="P31" s="77">
        <f t="shared" ref="P31:P40" si="12">O31+((N31/61)*60)</f>
        <v>313.84615384615387</v>
      </c>
      <c r="Q31" s="77">
        <v>225.7</v>
      </c>
      <c r="R31" s="77">
        <v>26.769230769230759</v>
      </c>
      <c r="S31" s="77">
        <f t="shared" ref="S31:S40" si="13">R31+((Q31/61)*60)</f>
        <v>248.76923076923072</v>
      </c>
      <c r="T31" s="77">
        <v>56.307692307692321</v>
      </c>
      <c r="U31" s="77">
        <v>9.6923076923076934</v>
      </c>
      <c r="V31" s="305">
        <f t="shared" ref="V31:V34" si="14">T31/61</f>
        <v>0.92307692307692324</v>
      </c>
      <c r="W31" s="305">
        <f t="shared" ref="W31:W34" si="15">U31/60</f>
        <v>0.16153846153846155</v>
      </c>
      <c r="X31" t="s">
        <v>1841</v>
      </c>
      <c r="AA31" s="305">
        <f>V31+W31</f>
        <v>1.0846153846153848</v>
      </c>
      <c r="AB31" t="s">
        <v>945</v>
      </c>
    </row>
    <row r="32" spans="2:39">
      <c r="B32" s="577" t="s">
        <v>1405</v>
      </c>
      <c r="C32" s="429">
        <v>7.7029090909090909</v>
      </c>
      <c r="D32" s="429">
        <v>3.1749999999999998</v>
      </c>
      <c r="E32" s="429">
        <v>375.36499999999995</v>
      </c>
      <c r="F32" s="429">
        <v>650.24</v>
      </c>
      <c r="G32" s="429">
        <v>1.7322872404193255</v>
      </c>
      <c r="H32" s="429">
        <v>0.34630670172855638</v>
      </c>
      <c r="I32" s="430">
        <v>7.53</v>
      </c>
      <c r="J32" t="s">
        <v>1405</v>
      </c>
      <c r="K32" s="12">
        <v>0.17290909090909068</v>
      </c>
      <c r="L32" t="s">
        <v>1775</v>
      </c>
      <c r="M32" t="s">
        <v>168</v>
      </c>
      <c r="N32" s="77">
        <v>294.2076923076923</v>
      </c>
      <c r="O32" s="77">
        <v>30.923076923076913</v>
      </c>
      <c r="P32" s="77">
        <f t="shared" si="12"/>
        <v>320.30769230769226</v>
      </c>
      <c r="Q32" s="77">
        <v>225.7</v>
      </c>
      <c r="R32" s="77">
        <v>26.769230769230759</v>
      </c>
      <c r="S32" s="77">
        <f t="shared" si="13"/>
        <v>248.76923076923072</v>
      </c>
      <c r="T32" s="77">
        <v>68.507692307692309</v>
      </c>
      <c r="U32" s="77">
        <v>4.1538461538461533</v>
      </c>
      <c r="V32" s="305">
        <f t="shared" si="14"/>
        <v>1.1230769230769231</v>
      </c>
      <c r="W32" s="305">
        <f t="shared" si="15"/>
        <v>6.9230769230769221E-2</v>
      </c>
      <c r="X32" s="704" t="s">
        <v>1841</v>
      </c>
      <c r="AA32" s="305">
        <f t="shared" ref="AA32:AA40" si="16">V32+W32</f>
        <v>1.1923076923076923</v>
      </c>
      <c r="AB32" t="s">
        <v>168</v>
      </c>
    </row>
    <row r="33" spans="2:28">
      <c r="B33" s="577" t="s">
        <v>1406</v>
      </c>
      <c r="C33" s="429">
        <v>8.3520000000000003</v>
      </c>
      <c r="D33" s="429">
        <v>3.05</v>
      </c>
      <c r="E33" s="429">
        <v>385.37</v>
      </c>
      <c r="F33" s="429">
        <v>766.11</v>
      </c>
      <c r="G33" s="429">
        <v>1.9879855723071334</v>
      </c>
      <c r="H33" s="429">
        <v>0.24981676516711948</v>
      </c>
      <c r="I33" s="430">
        <v>7.53</v>
      </c>
      <c r="J33" t="s">
        <v>1406</v>
      </c>
      <c r="K33" s="12">
        <v>0.82200000000000006</v>
      </c>
      <c r="M33" t="s">
        <v>169</v>
      </c>
      <c r="N33" s="77">
        <v>254.32307692307697</v>
      </c>
      <c r="O33" s="77">
        <v>27.692307692307665</v>
      </c>
      <c r="P33" s="77">
        <f t="shared" si="12"/>
        <v>277.84615384615387</v>
      </c>
      <c r="Q33" s="77">
        <v>225.7</v>
      </c>
      <c r="R33" s="77">
        <v>26.769230769230759</v>
      </c>
      <c r="S33" s="77">
        <f t="shared" si="13"/>
        <v>248.76923076923072</v>
      </c>
      <c r="T33" s="77">
        <v>28.623076923076979</v>
      </c>
      <c r="U33" s="77">
        <v>0.92307692307690559</v>
      </c>
      <c r="V33" s="305">
        <f t="shared" si="14"/>
        <v>0.46923076923077017</v>
      </c>
      <c r="W33" s="305">
        <f t="shared" si="15"/>
        <v>1.5384615384615092E-2</v>
      </c>
      <c r="X33" s="704"/>
      <c r="AA33" s="305">
        <f t="shared" si="16"/>
        <v>0.48461538461538528</v>
      </c>
      <c r="AB33" t="s">
        <v>169</v>
      </c>
    </row>
    <row r="34" spans="2:28">
      <c r="B34" s="577" t="s">
        <v>1407</v>
      </c>
      <c r="C34" s="429">
        <v>8.5553636363636354</v>
      </c>
      <c r="D34" s="429">
        <v>3.1</v>
      </c>
      <c r="E34" s="429">
        <v>385.66</v>
      </c>
      <c r="F34" s="429">
        <v>765.12</v>
      </c>
      <c r="G34" s="429">
        <v>1.9839236633303945</v>
      </c>
      <c r="H34" s="429">
        <v>0.25134956100739825</v>
      </c>
      <c r="I34" s="430">
        <v>7.53</v>
      </c>
      <c r="J34" t="s">
        <v>1407</v>
      </c>
      <c r="K34" s="12">
        <v>1.0253636363636351</v>
      </c>
      <c r="M34" t="s">
        <v>170</v>
      </c>
      <c r="N34" s="77">
        <v>268.86923076923074</v>
      </c>
      <c r="O34" s="77">
        <v>29.538461538461547</v>
      </c>
      <c r="P34" s="77">
        <f t="shared" si="12"/>
        <v>294</v>
      </c>
      <c r="Q34" s="77">
        <v>225.7</v>
      </c>
      <c r="R34" s="77">
        <v>26.769230769230759</v>
      </c>
      <c r="S34" s="77">
        <f t="shared" si="13"/>
        <v>248.76923076923072</v>
      </c>
      <c r="T34" s="77">
        <v>43.169230769230751</v>
      </c>
      <c r="U34" s="77">
        <v>2.7692307692307878</v>
      </c>
      <c r="V34" s="305">
        <f t="shared" si="14"/>
        <v>0.7076923076923074</v>
      </c>
      <c r="W34" s="305">
        <f t="shared" si="15"/>
        <v>4.6153846153846462E-2</v>
      </c>
      <c r="X34" s="704"/>
      <c r="AA34" s="305">
        <f t="shared" si="16"/>
        <v>0.75384615384615383</v>
      </c>
      <c r="AB34" t="s">
        <v>170</v>
      </c>
    </row>
    <row r="35" spans="2:28">
      <c r="B35" s="577" t="s">
        <v>1408</v>
      </c>
      <c r="C35" s="429">
        <v>9.6698181818181812</v>
      </c>
      <c r="D35" s="429">
        <v>3.15</v>
      </c>
      <c r="E35" s="429">
        <v>363.76500000000004</v>
      </c>
      <c r="F35" s="429">
        <v>765.18999999999994</v>
      </c>
      <c r="G35" s="429">
        <v>2.1035283768366937</v>
      </c>
      <c r="H35" s="429">
        <v>0.20621570685407786</v>
      </c>
      <c r="I35" s="430">
        <v>7.1779999999999999</v>
      </c>
      <c r="J35" t="s">
        <v>1408</v>
      </c>
      <c r="K35" s="12">
        <v>2.4918181818181813</v>
      </c>
      <c r="M35" t="s">
        <v>1827</v>
      </c>
      <c r="N35" s="77">
        <v>269.92499999999995</v>
      </c>
      <c r="O35" s="77">
        <v>19.499999999999993</v>
      </c>
      <c r="P35" s="77">
        <f t="shared" si="12"/>
        <v>284.99999999999994</v>
      </c>
      <c r="Q35" s="77">
        <v>274.5</v>
      </c>
      <c r="R35" s="77">
        <v>21.750000000000028</v>
      </c>
      <c r="S35" s="77">
        <f t="shared" si="13"/>
        <v>291.75</v>
      </c>
      <c r="T35" s="77">
        <v>-4.5750000000000455</v>
      </c>
      <c r="U35" s="77">
        <v>-2.2500000000000355</v>
      </c>
      <c r="V35" s="305">
        <f t="shared" ref="V35:V40" si="17">T35/61</f>
        <v>-7.5000000000000747E-2</v>
      </c>
      <c r="W35" s="305">
        <f t="shared" ref="W35:W40" si="18">U35/60</f>
        <v>-3.7500000000000595E-2</v>
      </c>
      <c r="X35" t="s">
        <v>1833</v>
      </c>
      <c r="AA35" s="305">
        <f t="shared" si="16"/>
        <v>-0.11250000000000135</v>
      </c>
      <c r="AB35" t="s">
        <v>1873</v>
      </c>
    </row>
    <row r="36" spans="2:28">
      <c r="B36" s="578" t="s">
        <v>1409</v>
      </c>
      <c r="C36" s="431">
        <v>8.7080909090909078</v>
      </c>
      <c r="D36" s="431">
        <v>2.6</v>
      </c>
      <c r="E36" s="431">
        <v>357.67500000000001</v>
      </c>
      <c r="F36" s="431">
        <v>650.02</v>
      </c>
      <c r="G36" s="431">
        <v>1.8173481512546306</v>
      </c>
      <c r="H36" s="431">
        <v>0.31420824480957332</v>
      </c>
      <c r="I36" s="432">
        <v>8.6983636363636361</v>
      </c>
      <c r="J36" t="s">
        <v>1409</v>
      </c>
      <c r="K36" s="12">
        <v>9.7272727272716963E-3</v>
      </c>
      <c r="M36" t="s">
        <v>1410</v>
      </c>
      <c r="N36" s="77">
        <v>279.83750000000003</v>
      </c>
      <c r="O36" s="77">
        <v>16.499999999999993</v>
      </c>
      <c r="P36" s="77">
        <f t="shared" si="12"/>
        <v>291.75</v>
      </c>
      <c r="Q36" s="77">
        <v>274.5</v>
      </c>
      <c r="R36" s="77">
        <v>22.28571428571431</v>
      </c>
      <c r="S36" s="77">
        <f t="shared" si="13"/>
        <v>292.28571428571433</v>
      </c>
      <c r="T36" s="77">
        <v>5.3375000000000341</v>
      </c>
      <c r="U36" s="77">
        <v>-5.7857142857143167</v>
      </c>
      <c r="V36" s="305">
        <f t="shared" si="17"/>
        <v>8.7500000000000563E-2</v>
      </c>
      <c r="W36" s="305">
        <f t="shared" si="18"/>
        <v>-9.6428571428571946E-2</v>
      </c>
      <c r="X36" s="690" t="s">
        <v>1853</v>
      </c>
      <c r="AA36" s="305">
        <f t="shared" si="16"/>
        <v>-8.928571428571383E-3</v>
      </c>
      <c r="AB36" t="s">
        <v>1410</v>
      </c>
    </row>
    <row r="37" spans="2:28">
      <c r="B37" s="578" t="s">
        <v>1410</v>
      </c>
      <c r="C37" s="431">
        <v>8.7044545454545439</v>
      </c>
      <c r="D37" s="431">
        <v>3.0249999999999999</v>
      </c>
      <c r="E37" s="431">
        <v>357.96500000000003</v>
      </c>
      <c r="F37" s="431">
        <v>765.17000000000007</v>
      </c>
      <c r="G37" s="431">
        <v>2.1375553475898483</v>
      </c>
      <c r="H37" s="431">
        <v>0.19337534053213268</v>
      </c>
      <c r="I37" s="432">
        <v>8.6983636363636361</v>
      </c>
      <c r="J37" t="s">
        <v>1410</v>
      </c>
      <c r="K37" s="12">
        <v>6.0909090909078145E-3</v>
      </c>
      <c r="M37" t="s">
        <v>1411</v>
      </c>
      <c r="N37" s="77">
        <v>272.21250000000003</v>
      </c>
      <c r="O37" s="77">
        <v>25.500000000000043</v>
      </c>
      <c r="P37" s="77">
        <f t="shared" si="12"/>
        <v>293.25000000000006</v>
      </c>
      <c r="Q37" s="77">
        <v>275.51666666666665</v>
      </c>
      <c r="R37" s="77">
        <v>23.000000000000028</v>
      </c>
      <c r="S37" s="77">
        <f t="shared" si="13"/>
        <v>294</v>
      </c>
      <c r="T37" s="77">
        <v>-3.3041666666666174</v>
      </c>
      <c r="U37" s="77">
        <v>2.5000000000000142</v>
      </c>
      <c r="V37" s="305">
        <f t="shared" si="17"/>
        <v>-5.4166666666665857E-2</v>
      </c>
      <c r="W37" s="305">
        <f t="shared" si="18"/>
        <v>4.16666666666669E-2</v>
      </c>
      <c r="X37" s="690"/>
      <c r="AA37" s="305">
        <f t="shared" si="16"/>
        <v>-1.2499999999998956E-2</v>
      </c>
      <c r="AB37" t="s">
        <v>1411</v>
      </c>
    </row>
    <row r="38" spans="2:28">
      <c r="B38" s="578" t="s">
        <v>1411</v>
      </c>
      <c r="C38" s="431">
        <v>8.6776363636363651</v>
      </c>
      <c r="D38" s="431">
        <v>3.2250000000000001</v>
      </c>
      <c r="E38" s="431">
        <v>366.95500000000004</v>
      </c>
      <c r="F38" s="431">
        <v>765.39</v>
      </c>
      <c r="G38" s="431">
        <v>2.0857870856099519</v>
      </c>
      <c r="H38" s="431">
        <v>0.21291053373209357</v>
      </c>
      <c r="I38" s="432">
        <v>8.6983636363636361</v>
      </c>
      <c r="J38" t="s">
        <v>1411</v>
      </c>
      <c r="K38" s="12">
        <v>-2.0727272727270929E-2</v>
      </c>
      <c r="M38" t="s">
        <v>1593</v>
      </c>
      <c r="N38" s="77">
        <v>281.20999999999992</v>
      </c>
      <c r="O38" s="77">
        <v>29.400000000000013</v>
      </c>
      <c r="P38" s="77">
        <f t="shared" si="12"/>
        <v>305.99999999999994</v>
      </c>
      <c r="Q38" s="77">
        <v>259.86</v>
      </c>
      <c r="R38" s="77">
        <v>44.399999999999991</v>
      </c>
      <c r="S38" s="77">
        <f t="shared" si="13"/>
        <v>300</v>
      </c>
      <c r="T38" s="77">
        <v>21.349999999999909</v>
      </c>
      <c r="U38" s="77">
        <v>-14.999999999999979</v>
      </c>
      <c r="V38" s="305">
        <f t="shared" si="17"/>
        <v>0.34999999999999853</v>
      </c>
      <c r="W38" s="305">
        <f t="shared" si="18"/>
        <v>-0.24999999999999964</v>
      </c>
      <c r="X38" s="704" t="s">
        <v>1838</v>
      </c>
      <c r="AA38" s="305">
        <f t="shared" si="16"/>
        <v>9.9999999999998895E-2</v>
      </c>
      <c r="AB38" t="s">
        <v>1593</v>
      </c>
    </row>
    <row r="39" spans="2:28">
      <c r="B39" s="578" t="s">
        <v>1412</v>
      </c>
      <c r="C39" s="431">
        <v>8.992727272727274</v>
      </c>
      <c r="D39" s="431">
        <v>3.4</v>
      </c>
      <c r="E39" s="431">
        <v>363.04000000000008</v>
      </c>
      <c r="F39" s="431">
        <v>765.27</v>
      </c>
      <c r="G39" s="431">
        <v>2.1079495372410748</v>
      </c>
      <c r="H39" s="431">
        <v>0.20454734443733025</v>
      </c>
      <c r="I39" s="432">
        <v>9.0934545454545468</v>
      </c>
      <c r="J39" t="s">
        <v>1412</v>
      </c>
      <c r="K39" s="12">
        <v>-0.10072727272727278</v>
      </c>
      <c r="M39" t="s">
        <v>1594</v>
      </c>
      <c r="N39" s="77">
        <v>291.57999999999993</v>
      </c>
      <c r="O39" s="77">
        <v>25.200000000000038</v>
      </c>
      <c r="P39" s="77">
        <f t="shared" si="12"/>
        <v>311.99999999999994</v>
      </c>
      <c r="Q39" s="77">
        <v>259.86</v>
      </c>
      <c r="R39" s="77">
        <v>44.399999999999991</v>
      </c>
      <c r="S39" s="77">
        <f t="shared" si="13"/>
        <v>300</v>
      </c>
      <c r="T39" s="77">
        <v>31.719999999999914</v>
      </c>
      <c r="U39" s="77">
        <v>-19.199999999999953</v>
      </c>
      <c r="V39" s="305">
        <f t="shared" si="17"/>
        <v>0.51999999999999857</v>
      </c>
      <c r="W39" s="305">
        <f t="shared" si="18"/>
        <v>-0.31999999999999923</v>
      </c>
      <c r="X39" s="704"/>
      <c r="AA39" s="305">
        <f t="shared" si="16"/>
        <v>0.19999999999999934</v>
      </c>
      <c r="AB39" t="s">
        <v>1594</v>
      </c>
    </row>
    <row r="40" spans="2:28">
      <c r="B40" s="579" t="s">
        <v>1764</v>
      </c>
      <c r="C40" s="561">
        <v>8.4285714285714288</v>
      </c>
      <c r="D40" s="561">
        <v>2.8571428571428572</v>
      </c>
      <c r="E40" s="561">
        <v>366.13333333333338</v>
      </c>
      <c r="F40" s="558">
        <v>650.16999999999996</v>
      </c>
      <c r="G40" s="561">
        <v>1.7757738528769116</v>
      </c>
      <c r="H40" s="561">
        <v>0.32989665929173151</v>
      </c>
      <c r="I40" s="562">
        <v>6.9914285714285711</v>
      </c>
      <c r="J40" t="s">
        <v>1764</v>
      </c>
      <c r="K40" s="12">
        <v>1.4371428571428577</v>
      </c>
      <c r="L40" t="s">
        <v>1776</v>
      </c>
      <c r="M40" t="s">
        <v>1595</v>
      </c>
      <c r="N40" s="77">
        <v>273.28000000000003</v>
      </c>
      <c r="O40" s="77">
        <v>25.199999999999974</v>
      </c>
      <c r="P40" s="77">
        <f t="shared" si="12"/>
        <v>294</v>
      </c>
      <c r="Q40" s="77">
        <v>259.86</v>
      </c>
      <c r="R40" s="77">
        <v>44.399999999999991</v>
      </c>
      <c r="S40" s="77">
        <f t="shared" si="13"/>
        <v>300</v>
      </c>
      <c r="T40" s="77">
        <v>13.420000000000016</v>
      </c>
      <c r="U40" s="77">
        <v>-19.200000000000017</v>
      </c>
      <c r="V40" s="305">
        <f t="shared" si="17"/>
        <v>0.22000000000000025</v>
      </c>
      <c r="W40" s="305">
        <f t="shared" si="18"/>
        <v>-0.32000000000000028</v>
      </c>
      <c r="X40" s="704"/>
      <c r="AA40" s="305">
        <f t="shared" si="16"/>
        <v>-0.10000000000000003</v>
      </c>
      <c r="AB40" t="s">
        <v>1595</v>
      </c>
    </row>
    <row r="41" spans="2:28">
      <c r="B41" s="579" t="s">
        <v>1599</v>
      </c>
      <c r="C41" s="561">
        <v>8.9599999999999991</v>
      </c>
      <c r="D41" s="561">
        <v>3</v>
      </c>
      <c r="E41" s="561">
        <v>357.19166666666666</v>
      </c>
      <c r="F41" s="558">
        <v>720.23</v>
      </c>
      <c r="G41" s="561">
        <v>2.0163684296479483</v>
      </c>
      <c r="H41" s="561">
        <v>0.23910625296303833</v>
      </c>
      <c r="I41" s="562">
        <v>6.9914285714285711</v>
      </c>
      <c r="J41" t="s">
        <v>1599</v>
      </c>
      <c r="K41" s="12">
        <v>1.968571428571428</v>
      </c>
    </row>
    <row r="42" spans="2:28">
      <c r="B42" s="579" t="s">
        <v>1600</v>
      </c>
      <c r="C42" s="561">
        <v>8.9499999999999993</v>
      </c>
      <c r="D42" s="561">
        <v>3.2142857142857144</v>
      </c>
      <c r="E42" s="561">
        <v>371.69166666666666</v>
      </c>
      <c r="F42" s="558">
        <v>720.43</v>
      </c>
      <c r="G42" s="561">
        <v>1.9382463063022666</v>
      </c>
      <c r="H42" s="561">
        <v>0.2685862995085786</v>
      </c>
      <c r="I42" s="562">
        <v>6.9914285714285711</v>
      </c>
      <c r="J42" t="s">
        <v>1600</v>
      </c>
      <c r="K42" s="12">
        <v>1.9585714285714282</v>
      </c>
    </row>
    <row r="43" spans="2:28">
      <c r="B43" s="579" t="s">
        <v>1601</v>
      </c>
      <c r="C43" s="561">
        <v>9.175714285714287</v>
      </c>
      <c r="D43" s="561">
        <v>3.1071428571428572</v>
      </c>
      <c r="E43" s="561">
        <v>367.10000000000008</v>
      </c>
      <c r="F43" s="558">
        <v>720.04</v>
      </c>
      <c r="G43" s="561">
        <v>1.9614274039771173</v>
      </c>
      <c r="H43" s="561">
        <v>0.2598387154803331</v>
      </c>
      <c r="I43" s="562">
        <v>6.9914285714285711</v>
      </c>
      <c r="J43" t="s">
        <v>1601</v>
      </c>
      <c r="K43" s="12">
        <v>2.1842857142857159</v>
      </c>
    </row>
    <row r="44" spans="2:28">
      <c r="B44" s="579">
        <v>70</v>
      </c>
      <c r="C44" s="561">
        <v>9.588571428571429</v>
      </c>
      <c r="D44" s="561">
        <v>3.2142857142857144</v>
      </c>
      <c r="E44" s="561">
        <v>349.7000000000001</v>
      </c>
      <c r="F44" s="558">
        <v>720.12</v>
      </c>
      <c r="G44" s="561">
        <v>2.0592507863883323</v>
      </c>
      <c r="H44" s="561">
        <v>0.2229242315515727</v>
      </c>
      <c r="I44" s="562">
        <v>7.4085714285714284</v>
      </c>
      <c r="J44">
        <v>70</v>
      </c>
      <c r="K44" s="12">
        <v>2.1800000000000006</v>
      </c>
    </row>
    <row r="45" spans="2:28">
      <c r="B45" s="580" t="s">
        <v>1766</v>
      </c>
      <c r="C45" s="563">
        <v>9.3771428571428572</v>
      </c>
      <c r="D45" s="563">
        <v>2.4285714285714284</v>
      </c>
      <c r="E45" s="563">
        <v>396.09999999999997</v>
      </c>
      <c r="F45" s="521">
        <v>600</v>
      </c>
      <c r="G45" s="563">
        <v>1.5147689977278467</v>
      </c>
      <c r="H45" s="563">
        <v>0.42838905746118994</v>
      </c>
      <c r="I45" s="564">
        <v>6.9914285714285711</v>
      </c>
      <c r="J45" t="s">
        <v>1766</v>
      </c>
      <c r="K45" s="12">
        <v>2.3857142857142861</v>
      </c>
      <c r="L45" t="s">
        <v>1777</v>
      </c>
    </row>
    <row r="46" spans="2:28">
      <c r="B46" s="580" t="s">
        <v>1603</v>
      </c>
      <c r="C46" s="563">
        <v>9.1085714285714285</v>
      </c>
      <c r="D46" s="563">
        <v>3.1071428571428572</v>
      </c>
      <c r="E46" s="563">
        <v>391.75</v>
      </c>
      <c r="F46" s="521">
        <v>600.19000000000005</v>
      </c>
      <c r="G46" s="563">
        <v>1.5320740268028081</v>
      </c>
      <c r="H46" s="563">
        <v>0.42185885781026111</v>
      </c>
      <c r="I46" s="564">
        <v>7.1657142857142864</v>
      </c>
      <c r="J46" t="s">
        <v>1603</v>
      </c>
      <c r="K46" s="12">
        <v>1.9428571428571422</v>
      </c>
    </row>
    <row r="47" spans="2:28">
      <c r="B47" s="580" t="s">
        <v>1604</v>
      </c>
      <c r="C47" s="563">
        <v>8.9714285714285715</v>
      </c>
      <c r="D47" s="563">
        <v>3.0714285714285716</v>
      </c>
      <c r="E47" s="563">
        <v>388.36666666666662</v>
      </c>
      <c r="F47" s="521">
        <v>599.96</v>
      </c>
      <c r="G47" s="563">
        <v>1.544828770062656</v>
      </c>
      <c r="H47" s="563">
        <v>0.4170457471461676</v>
      </c>
      <c r="I47" s="564">
        <v>7.1657142857142864</v>
      </c>
      <c r="J47" t="s">
        <v>1604</v>
      </c>
      <c r="K47" s="12">
        <v>1.8057142857142852</v>
      </c>
      <c r="V47" s="77"/>
      <c r="W47" s="77"/>
    </row>
    <row r="48" spans="2:28">
      <c r="B48" s="580">
        <v>80</v>
      </c>
      <c r="C48" s="563">
        <v>9.7557142857142853</v>
      </c>
      <c r="D48" s="563">
        <v>3.0357142857142856</v>
      </c>
      <c r="E48" s="563">
        <v>384.5</v>
      </c>
      <c r="F48" s="521">
        <v>600.15</v>
      </c>
      <c r="G48" s="563">
        <v>1.5608582574772432</v>
      </c>
      <c r="H48" s="563">
        <v>0.41099688397085166</v>
      </c>
      <c r="I48" s="564">
        <v>7.4085714285714284</v>
      </c>
      <c r="J48">
        <v>80</v>
      </c>
      <c r="K48" s="12">
        <v>2.347142857142857</v>
      </c>
    </row>
    <row r="49" spans="2:11">
      <c r="B49" s="581" t="s">
        <v>1593</v>
      </c>
      <c r="C49" s="565">
        <v>8.781428571428572</v>
      </c>
      <c r="D49" s="565">
        <v>3.0357142857142856</v>
      </c>
      <c r="E49" s="565">
        <v>390.29999999999995</v>
      </c>
      <c r="F49" s="103">
        <v>555.42999999999995</v>
      </c>
      <c r="G49" s="565">
        <v>1.4230848065590571</v>
      </c>
      <c r="H49" s="565">
        <v>0.46298686544941237</v>
      </c>
      <c r="I49" s="566">
        <v>8.4157142857142855</v>
      </c>
      <c r="J49" t="s">
        <v>1593</v>
      </c>
      <c r="K49" s="12">
        <v>0.36571428571428655</v>
      </c>
    </row>
    <row r="50" spans="2:11">
      <c r="B50" s="581" t="s">
        <v>1594</v>
      </c>
      <c r="C50" s="565">
        <v>8.8071428571428569</v>
      </c>
      <c r="D50" s="565">
        <v>3.1428571428571428</v>
      </c>
      <c r="E50" s="565">
        <v>391.02499999999992</v>
      </c>
      <c r="F50" s="103">
        <v>550.32000000000005</v>
      </c>
      <c r="G50" s="565">
        <v>1.4073780448820412</v>
      </c>
      <c r="H50" s="565">
        <v>0.46891394532753161</v>
      </c>
      <c r="I50" s="566">
        <v>8.4157142857142855</v>
      </c>
      <c r="J50" t="s">
        <v>1594</v>
      </c>
      <c r="K50" s="12">
        <v>0.39142857142857146</v>
      </c>
    </row>
    <row r="51" spans="2:11">
      <c r="B51" s="581" t="s">
        <v>1595</v>
      </c>
      <c r="C51" s="565">
        <v>8.9057142857142857</v>
      </c>
      <c r="D51" s="565">
        <v>3.2142857142857144</v>
      </c>
      <c r="E51" s="565">
        <v>375.55833333333334</v>
      </c>
      <c r="F51" s="103">
        <v>550.04</v>
      </c>
      <c r="G51" s="565">
        <v>1.4645927175094857</v>
      </c>
      <c r="H51" s="565">
        <v>0.44732350282660915</v>
      </c>
      <c r="I51" s="566">
        <v>8.4157142857142855</v>
      </c>
      <c r="J51" t="s">
        <v>1595</v>
      </c>
      <c r="K51" s="12">
        <v>0.49000000000000021</v>
      </c>
    </row>
    <row r="52" spans="2:11">
      <c r="B52" s="581" t="s">
        <v>1605</v>
      </c>
      <c r="C52" s="565">
        <v>9.1857142857142868</v>
      </c>
      <c r="D52" s="565">
        <v>3.3571428571428572</v>
      </c>
      <c r="E52" s="565">
        <v>382.08333333333331</v>
      </c>
      <c r="F52" s="103">
        <v>549.59</v>
      </c>
      <c r="G52" s="565">
        <v>1.438403489640131</v>
      </c>
      <c r="H52" s="565">
        <v>0.45720623032447882</v>
      </c>
      <c r="I52" s="566">
        <v>7.1657142857142864</v>
      </c>
      <c r="J52" t="s">
        <v>1605</v>
      </c>
      <c r="K52" s="12">
        <v>2.0200000000000005</v>
      </c>
    </row>
    <row r="53" spans="2:11">
      <c r="B53" s="581" t="s">
        <v>1606</v>
      </c>
      <c r="C53" s="565">
        <v>9.218571428571428</v>
      </c>
      <c r="D53" s="565">
        <v>3.0714285714285716</v>
      </c>
      <c r="E53" s="565">
        <v>396.09999999999997</v>
      </c>
      <c r="F53" s="103">
        <v>559.49</v>
      </c>
      <c r="G53" s="565">
        <v>1.4124968442312549</v>
      </c>
      <c r="H53" s="565">
        <v>0.46698232293160191</v>
      </c>
      <c r="I53" s="566">
        <v>7.1657142857142864</v>
      </c>
      <c r="J53" t="s">
        <v>1606</v>
      </c>
      <c r="K53" s="12">
        <v>2.0528571428571416</v>
      </c>
    </row>
    <row r="54" spans="2:11">
      <c r="B54" s="581">
        <v>901</v>
      </c>
      <c r="C54" s="565">
        <v>9.7042857142857155</v>
      </c>
      <c r="D54" s="565">
        <v>3.0714285714285716</v>
      </c>
      <c r="E54" s="565">
        <v>359.36666666666662</v>
      </c>
      <c r="F54" s="103">
        <v>550.5</v>
      </c>
      <c r="G54" s="565">
        <v>1.5318616083851222</v>
      </c>
      <c r="H54" s="565">
        <v>0.42193901570372749</v>
      </c>
      <c r="I54" s="566">
        <v>7.2200000000000006</v>
      </c>
      <c r="J54">
        <v>901</v>
      </c>
      <c r="K54" s="12">
        <v>2.4842857142857149</v>
      </c>
    </row>
    <row r="55" spans="2:11">
      <c r="B55" s="581">
        <v>902</v>
      </c>
      <c r="C55" s="565">
        <v>9.6357142857142861</v>
      </c>
      <c r="D55" s="565">
        <v>2.6428571428571428</v>
      </c>
      <c r="E55" s="565">
        <v>363.7166666666667</v>
      </c>
      <c r="F55" s="103">
        <v>550.27</v>
      </c>
      <c r="G55" s="565">
        <v>1.5129083993951333</v>
      </c>
      <c r="H55" s="565">
        <v>0.42909117003957231</v>
      </c>
      <c r="I55" s="566">
        <v>7.2200000000000006</v>
      </c>
      <c r="J55">
        <v>902</v>
      </c>
      <c r="K55" s="12">
        <v>2.4157142857142855</v>
      </c>
    </row>
    <row r="56" spans="2:11">
      <c r="B56" s="582" t="s">
        <v>1596</v>
      </c>
      <c r="C56" s="567">
        <v>9.0342857142857138</v>
      </c>
      <c r="D56" s="567">
        <v>2.7857142857142856</v>
      </c>
      <c r="E56" s="567">
        <v>396.09999999999997</v>
      </c>
      <c r="F56" s="559">
        <v>550.3900000000001</v>
      </c>
      <c r="G56" s="567">
        <v>1.389522847765716</v>
      </c>
      <c r="H56" s="567">
        <v>0.47565175556010719</v>
      </c>
      <c r="I56" s="568">
        <v>8.4157142857142855</v>
      </c>
      <c r="J56" t="s">
        <v>1596</v>
      </c>
      <c r="K56" s="12">
        <v>0.61857142857142833</v>
      </c>
    </row>
    <row r="57" spans="2:11">
      <c r="B57" s="582" t="s">
        <v>1597</v>
      </c>
      <c r="C57" s="567">
        <v>9.0200000000000014</v>
      </c>
      <c r="D57" s="567">
        <v>2.9285714285714284</v>
      </c>
      <c r="E57" s="567">
        <v>387.15833333333336</v>
      </c>
      <c r="F57" s="559">
        <v>533.91</v>
      </c>
      <c r="G57" s="567">
        <v>1.3790481930304137</v>
      </c>
      <c r="H57" s="567">
        <v>0.47960445546022124</v>
      </c>
      <c r="I57" s="568">
        <v>8.4157142857142855</v>
      </c>
      <c r="J57" t="s">
        <v>1597</v>
      </c>
      <c r="K57" s="12">
        <v>0.60428571428571587</v>
      </c>
    </row>
    <row r="58" spans="2:11">
      <c r="B58" s="582" t="s">
        <v>1607</v>
      </c>
      <c r="C58" s="567">
        <v>9.8642857142857157</v>
      </c>
      <c r="D58" s="567">
        <v>3.0357142857142856</v>
      </c>
      <c r="E58" s="567">
        <v>387.64166666666665</v>
      </c>
      <c r="F58" s="559">
        <v>530.69000000000005</v>
      </c>
      <c r="G58" s="567">
        <v>1.3690220779499969</v>
      </c>
      <c r="H58" s="567">
        <v>0.48338789511320868</v>
      </c>
      <c r="I58" s="568">
        <v>7.2200000000000006</v>
      </c>
      <c r="J58" t="s">
        <v>1607</v>
      </c>
      <c r="K58" s="12">
        <v>2.644285714285715</v>
      </c>
    </row>
    <row r="59" spans="2:11">
      <c r="B59" s="582" t="s">
        <v>1608</v>
      </c>
      <c r="C59" s="567">
        <v>9.7842857142857156</v>
      </c>
      <c r="D59" s="567">
        <v>2.5</v>
      </c>
      <c r="E59" s="567">
        <v>393.68333333333334</v>
      </c>
      <c r="F59" s="559">
        <v>530.43000000000006</v>
      </c>
      <c r="G59" s="567">
        <v>1.3473519326023455</v>
      </c>
      <c r="H59" s="567">
        <v>0.49156530845194502</v>
      </c>
      <c r="I59" s="568">
        <v>7.15</v>
      </c>
      <c r="J59" t="s">
        <v>1608</v>
      </c>
      <c r="K59" s="12">
        <v>2.6342857142857152</v>
      </c>
    </row>
    <row r="65" spans="2:11">
      <c r="B65" t="s">
        <v>1855</v>
      </c>
    </row>
    <row r="66" spans="2:11">
      <c r="B66" t="s">
        <v>1863</v>
      </c>
      <c r="H66" t="s">
        <v>1864</v>
      </c>
    </row>
    <row r="67" spans="2:11" ht="62">
      <c r="B67" t="s">
        <v>1856</v>
      </c>
      <c r="C67" t="s">
        <v>1857</v>
      </c>
      <c r="D67" t="s">
        <v>1858</v>
      </c>
      <c r="H67" s="658" t="s">
        <v>1859</v>
      </c>
      <c r="I67" s="658" t="s">
        <v>1860</v>
      </c>
      <c r="J67" s="658" t="s">
        <v>1862</v>
      </c>
      <c r="K67" s="658" t="s">
        <v>1861</v>
      </c>
    </row>
    <row r="68" spans="2:11">
      <c r="B68" t="s">
        <v>148</v>
      </c>
      <c r="C68">
        <v>0.54</v>
      </c>
      <c r="D68">
        <f>1-C68</f>
        <v>0.45999999999999996</v>
      </c>
      <c r="H68">
        <v>1</v>
      </c>
      <c r="I68">
        <v>287.45</v>
      </c>
      <c r="J68">
        <v>0.59</v>
      </c>
      <c r="K68">
        <f>1-J68</f>
        <v>0.41000000000000003</v>
      </c>
    </row>
    <row r="69" spans="2:11">
      <c r="B69" t="s">
        <v>151</v>
      </c>
      <c r="C69">
        <v>0.51</v>
      </c>
      <c r="D69">
        <f t="shared" ref="D69:D77" si="19">1-C69</f>
        <v>0.49</v>
      </c>
      <c r="H69">
        <v>2</v>
      </c>
      <c r="I69">
        <v>287.45</v>
      </c>
      <c r="J69">
        <v>0.54</v>
      </c>
      <c r="K69">
        <f t="shared" ref="K69:K73" si="20">1-J69</f>
        <v>0.45999999999999996</v>
      </c>
    </row>
    <row r="70" spans="2:11">
      <c r="B70" t="s">
        <v>154</v>
      </c>
      <c r="C70">
        <v>0.37</v>
      </c>
      <c r="D70">
        <f t="shared" si="19"/>
        <v>0.63</v>
      </c>
      <c r="H70">
        <v>3</v>
      </c>
      <c r="I70">
        <v>144.87</v>
      </c>
      <c r="J70">
        <v>0.39</v>
      </c>
      <c r="K70">
        <f t="shared" si="20"/>
        <v>0.61</v>
      </c>
    </row>
    <row r="71" spans="2:11">
      <c r="B71" t="s">
        <v>1427</v>
      </c>
      <c r="C71">
        <v>0.28000000000000003</v>
      </c>
      <c r="D71">
        <f t="shared" si="19"/>
        <v>0.72</v>
      </c>
      <c r="H71" t="s">
        <v>228</v>
      </c>
      <c r="I71">
        <v>280.89999999999998</v>
      </c>
      <c r="J71">
        <v>0.36</v>
      </c>
      <c r="K71">
        <f t="shared" si="20"/>
        <v>0.64</v>
      </c>
    </row>
    <row r="72" spans="2:11">
      <c r="B72" t="s">
        <v>1428</v>
      </c>
      <c r="C72">
        <v>0.54</v>
      </c>
      <c r="D72">
        <f t="shared" si="19"/>
        <v>0.45999999999999996</v>
      </c>
      <c r="H72" t="s">
        <v>229</v>
      </c>
      <c r="I72">
        <v>328.73</v>
      </c>
      <c r="J72">
        <v>0.6</v>
      </c>
      <c r="K72">
        <f t="shared" si="20"/>
        <v>0.4</v>
      </c>
    </row>
    <row r="73" spans="2:11">
      <c r="B73" t="s">
        <v>1559</v>
      </c>
      <c r="C73">
        <v>0.44</v>
      </c>
      <c r="D73">
        <f t="shared" si="19"/>
        <v>0.56000000000000005</v>
      </c>
      <c r="H73">
        <v>6</v>
      </c>
      <c r="I73">
        <v>172.3</v>
      </c>
      <c r="J73">
        <v>0.46</v>
      </c>
      <c r="K73">
        <f t="shared" si="20"/>
        <v>0.54</v>
      </c>
    </row>
    <row r="74" spans="2:11">
      <c r="B74" t="s">
        <v>1759</v>
      </c>
      <c r="C74">
        <v>0.6</v>
      </c>
      <c r="D74">
        <f t="shared" si="19"/>
        <v>0.4</v>
      </c>
    </row>
    <row r="75" spans="2:11">
      <c r="B75" t="s">
        <v>1760</v>
      </c>
      <c r="C75">
        <v>0.6</v>
      </c>
      <c r="D75">
        <f t="shared" si="19"/>
        <v>0.4</v>
      </c>
    </row>
    <row r="76" spans="2:11">
      <c r="B76" t="s">
        <v>1761</v>
      </c>
      <c r="C76">
        <v>0.41</v>
      </c>
      <c r="D76">
        <f t="shared" si="19"/>
        <v>0.59000000000000008</v>
      </c>
    </row>
    <row r="77" spans="2:11">
      <c r="B77" t="s">
        <v>1762</v>
      </c>
      <c r="C77">
        <v>0.51</v>
      </c>
      <c r="D77">
        <f t="shared" si="19"/>
        <v>0.49</v>
      </c>
    </row>
  </sheetData>
  <mergeCells count="11">
    <mergeCell ref="Q4:S4"/>
    <mergeCell ref="N4:P4"/>
    <mergeCell ref="N16:P16"/>
    <mergeCell ref="Q16:S16"/>
    <mergeCell ref="N29:P29"/>
    <mergeCell ref="Q29:S29"/>
    <mergeCell ref="X7:X9"/>
    <mergeCell ref="X19:X21"/>
    <mergeCell ref="X32:X34"/>
    <mergeCell ref="X38:X40"/>
    <mergeCell ref="X36:X37"/>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2F5A5-6C8B-884E-900F-19B16650A038}">
  <dimension ref="A1:T220"/>
  <sheetViews>
    <sheetView topLeftCell="A2" workbookViewId="0">
      <selection activeCell="G5" sqref="G5"/>
    </sheetView>
  </sheetViews>
  <sheetFormatPr defaultColWidth="10.6640625" defaultRowHeight="15.5"/>
  <cols>
    <col min="5" max="5" width="10.83203125" style="66"/>
    <col min="9" max="9" width="10.83203125" style="66"/>
  </cols>
  <sheetData>
    <row r="1" spans="1:13">
      <c r="B1" s="690" t="s">
        <v>313</v>
      </c>
      <c r="C1" s="690"/>
      <c r="D1" s="690"/>
      <c r="E1" s="690"/>
      <c r="F1" s="688" t="s">
        <v>354</v>
      </c>
      <c r="G1" s="688"/>
      <c r="H1" s="688"/>
      <c r="I1" s="688"/>
      <c r="J1" t="s">
        <v>86</v>
      </c>
    </row>
    <row r="2" spans="1:13">
      <c r="A2" t="s">
        <v>157</v>
      </c>
      <c r="B2" t="s">
        <v>5</v>
      </c>
      <c r="C2" t="s">
        <v>148</v>
      </c>
      <c r="D2" t="s">
        <v>149</v>
      </c>
      <c r="E2" s="66" t="s">
        <v>150</v>
      </c>
      <c r="F2" s="70" t="s">
        <v>944</v>
      </c>
      <c r="G2" s="70"/>
      <c r="H2" s="70" t="s">
        <v>149</v>
      </c>
      <c r="I2" s="78" t="s">
        <v>148</v>
      </c>
      <c r="J2" s="152" t="s">
        <v>177</v>
      </c>
      <c r="K2" s="152" t="s">
        <v>314</v>
      </c>
      <c r="L2" s="152" t="s">
        <v>149</v>
      </c>
      <c r="M2" s="152" t="s">
        <v>148</v>
      </c>
    </row>
    <row r="3" spans="1:13">
      <c r="A3" s="12">
        <f>'Group Fluoride'!A2</f>
        <v>1.0333333333333334</v>
      </c>
      <c r="B3" s="12">
        <f>'Group Fluoride'!D2</f>
        <v>6.0004377325454143</v>
      </c>
      <c r="C3" s="12">
        <f>'Group Fluoride'!E2</f>
        <v>6.1062109384499408</v>
      </c>
      <c r="D3" s="12">
        <f>'Group Fluoride'!F2</f>
        <v>0.94739913912599394</v>
      </c>
      <c r="E3" s="76">
        <f>'Group Fluoride'!G2</f>
        <v>0.95998460966617227</v>
      </c>
      <c r="F3" s="65">
        <v>1910</v>
      </c>
      <c r="G3" s="70">
        <v>0</v>
      </c>
      <c r="H3" s="70"/>
      <c r="I3" s="78"/>
      <c r="J3">
        <f>'pH,Flow,S.Vol.'!W3</f>
        <v>0</v>
      </c>
      <c r="K3" s="12">
        <f>'pH,Flow,S.Vol.'!C3</f>
        <v>8.92</v>
      </c>
      <c r="L3">
        <f>'pH,Flow,S.Vol.'!S3</f>
        <v>9.33</v>
      </c>
      <c r="M3">
        <f>('pH,Flow,S.Vol.'!G3+'pH,Flow,S.Vol.'!K3+'pH,Flow,S.Vol.'!O3)/3</f>
        <v>8.9333333333333318</v>
      </c>
    </row>
    <row r="4" spans="1:13">
      <c r="A4" s="12">
        <f>'Group Fluoride'!A3</f>
        <v>26.033333333333335</v>
      </c>
      <c r="B4" s="12">
        <f>'Group Fluoride'!D3</f>
        <v>2.8178303056832275</v>
      </c>
      <c r="C4" s="12">
        <f>'Group Fluoride'!E3</f>
        <v>3.3009289657352689</v>
      </c>
      <c r="D4" s="12">
        <f>'Group Fluoride'!F3</f>
        <v>0.51648792587728898</v>
      </c>
      <c r="E4" s="76">
        <f>'Group Fluoride'!G3</f>
        <v>0.68631583787502926</v>
      </c>
      <c r="F4">
        <v>1910</v>
      </c>
      <c r="G4">
        <v>100</v>
      </c>
      <c r="J4">
        <f>'pH,Flow,S.Vol.'!W4</f>
        <v>0</v>
      </c>
      <c r="K4" s="12">
        <f>'pH,Flow,S.Vol.'!C4</f>
        <v>9.65</v>
      </c>
      <c r="L4">
        <f>'pH,Flow,S.Vol.'!S4</f>
        <v>9.7899999999999991</v>
      </c>
      <c r="M4">
        <f>('pH,Flow,S.Vol.'!G4+'pH,Flow,S.Vol.'!K4+'pH,Flow,S.Vol.'!O4)/3</f>
        <v>9.5733333333333324</v>
      </c>
    </row>
    <row r="5" spans="1:13">
      <c r="A5" s="12">
        <f>'Group Fluoride'!A4</f>
        <v>49.916666666666664</v>
      </c>
      <c r="B5" s="12">
        <f>'Group Fluoride'!D4</f>
        <v>2.6734515211205956</v>
      </c>
      <c r="C5" s="12">
        <f>'Group Fluoride'!E4</f>
        <v>3.4404562145862214</v>
      </c>
      <c r="D5" s="12">
        <f>'Group Fluoride'!F4</f>
        <v>0</v>
      </c>
      <c r="E5" s="76">
        <f>'Group Fluoride'!G4</f>
        <v>0.52714978349117381</v>
      </c>
      <c r="J5">
        <f>'pH,Flow,S.Vol.'!W5</f>
        <v>0</v>
      </c>
      <c r="K5" s="12">
        <f>'pH,Flow,S.Vol.'!C5</f>
        <v>9.81</v>
      </c>
      <c r="L5">
        <f>'pH,Flow,S.Vol.'!S5</f>
        <v>9.94</v>
      </c>
      <c r="M5">
        <f>('pH,Flow,S.Vol.'!G5+'pH,Flow,S.Vol.'!K5+'pH,Flow,S.Vol.'!O5)/3</f>
        <v>9.7333333333333325</v>
      </c>
    </row>
    <row r="6" spans="1:13">
      <c r="A6" s="12">
        <f>'Group Fluoride'!A5</f>
        <v>74.5</v>
      </c>
      <c r="B6" s="12">
        <f>'Group Fluoride'!D5</f>
        <v>2.9369665134602756</v>
      </c>
      <c r="C6" s="12">
        <f>'Group Fluoride'!E5</f>
        <v>3.2251039614795354</v>
      </c>
      <c r="D6" s="12">
        <f>'Group Fluoride'!F5</f>
        <v>0</v>
      </c>
      <c r="E6" s="76">
        <f>'Group Fluoride'!G5</f>
        <v>0.98243089127923355</v>
      </c>
      <c r="J6">
        <f>'pH,Flow,S.Vol.'!W6</f>
        <v>0</v>
      </c>
      <c r="K6" s="12">
        <f>'pH,Flow,S.Vol.'!C6</f>
        <v>9.76</v>
      </c>
      <c r="L6">
        <f>'pH,Flow,S.Vol.'!S6</f>
        <v>9.93</v>
      </c>
      <c r="M6">
        <f>('pH,Flow,S.Vol.'!G6+'pH,Flow,S.Vol.'!K6+'pH,Flow,S.Vol.'!O6)/3</f>
        <v>9.74</v>
      </c>
    </row>
    <row r="7" spans="1:13">
      <c r="A7" s="12">
        <f>'Group Fluoride'!A6</f>
        <v>98.983333333333334</v>
      </c>
      <c r="B7" s="12">
        <f>'Group Fluoride'!D6</f>
        <v>3.1890275041949367</v>
      </c>
      <c r="C7" s="12">
        <f>'Group Fluoride'!E6</f>
        <v>3.3159213054157242</v>
      </c>
      <c r="D7" s="12">
        <f>'Group Fluoride'!F6</f>
        <v>0</v>
      </c>
      <c r="E7" s="76">
        <f>'Group Fluoride'!G6</f>
        <v>0.64329003099335347</v>
      </c>
      <c r="J7">
        <f>'pH,Flow,S.Vol.'!W7</f>
        <v>0</v>
      </c>
      <c r="K7" s="12">
        <f>'pH,Flow,S.Vol.'!C7</f>
        <v>9.64</v>
      </c>
      <c r="L7">
        <f>'pH,Flow,S.Vol.'!S7</f>
        <v>9.8699999999999992</v>
      </c>
      <c r="M7">
        <f>('pH,Flow,S.Vol.'!G7+'pH,Flow,S.Vol.'!K7+'pH,Flow,S.Vol.'!O7)/3</f>
        <v>9.6666666666666661</v>
      </c>
    </row>
    <row r="8" spans="1:13">
      <c r="A8" s="12">
        <f>'Group Fluoride'!A7</f>
        <v>172.11666666666667</v>
      </c>
      <c r="B8" s="12">
        <f>'Group Fluoride'!D7</f>
        <v>2.5614284672065368</v>
      </c>
      <c r="C8" s="12">
        <f>'Group Fluoride'!E7</f>
        <v>3.4978478149850445</v>
      </c>
      <c r="D8" s="12">
        <f>'Group Fluoride'!F7</f>
        <v>0</v>
      </c>
      <c r="E8" s="76">
        <f>'Group Fluoride'!G7</f>
        <v>0.64438354519395247</v>
      </c>
      <c r="J8">
        <f>'pH,Flow,S.Vol.'!W8</f>
        <v>0</v>
      </c>
      <c r="K8" s="12">
        <f>'pH,Flow,S.Vol.'!C8</f>
        <v>9.86</v>
      </c>
      <c r="L8">
        <f>'pH,Flow,S.Vol.'!S8</f>
        <v>9.8000000000000007</v>
      </c>
      <c r="M8">
        <f>('pH,Flow,S.Vol.'!G8+'pH,Flow,S.Vol.'!K8+'pH,Flow,S.Vol.'!O8)/3</f>
        <v>9.6</v>
      </c>
    </row>
    <row r="9" spans="1:13">
      <c r="A9" s="12">
        <f>'Group Fluoride'!A8</f>
        <v>195</v>
      </c>
      <c r="B9" s="12">
        <f>'Group Fluoride'!D8</f>
        <v>2.9093893630991463</v>
      </c>
      <c r="C9" s="12">
        <f>'Group Fluoride'!E8</f>
        <v>3.1863281534982129</v>
      </c>
      <c r="D9" s="12">
        <f>'Group Fluoride'!F8</f>
        <v>0</v>
      </c>
      <c r="E9" s="76">
        <f>'Group Fluoride'!G8</f>
        <v>0.25215958777788433</v>
      </c>
      <c r="J9">
        <f>'pH,Flow,S.Vol.'!W9</f>
        <v>0</v>
      </c>
      <c r="K9" s="12">
        <f>'pH,Flow,S.Vol.'!C9</f>
        <v>9.7899999999999991</v>
      </c>
      <c r="L9">
        <f>'pH,Flow,S.Vol.'!S9</f>
        <v>9.85</v>
      </c>
      <c r="M9">
        <f>('pH,Flow,S.Vol.'!G9+'pH,Flow,S.Vol.'!K9+'pH,Flow,S.Vol.'!O9)/3</f>
        <v>9.7099999999999991</v>
      </c>
    </row>
    <row r="10" spans="1:13">
      <c r="A10" s="12">
        <f>'Group Fluoride'!A9</f>
        <v>216.53333333333333</v>
      </c>
      <c r="B10" s="12">
        <f>'Group Fluoride'!D9</f>
        <v>2.0485681114551082</v>
      </c>
      <c r="C10" s="12">
        <f>'Group Fluoride'!E9</f>
        <v>2.4226758685930512</v>
      </c>
      <c r="D10" s="12">
        <f>'Group Fluoride'!F9</f>
        <v>0</v>
      </c>
      <c r="E10" s="76">
        <f>'Group Fluoride'!G9</f>
        <v>9.7782104322705038E-2</v>
      </c>
      <c r="J10">
        <f>'pH,Flow,S.Vol.'!W10</f>
        <v>0</v>
      </c>
      <c r="K10" s="12">
        <f>'pH,Flow,S.Vol.'!C10</f>
        <v>9.7799999999999994</v>
      </c>
      <c r="L10">
        <f>'pH,Flow,S.Vol.'!S10</f>
        <v>9.93</v>
      </c>
      <c r="M10">
        <f>('pH,Flow,S.Vol.'!G10+'pH,Flow,S.Vol.'!K10+'pH,Flow,S.Vol.'!O10)/3</f>
        <v>9.7733333333333334</v>
      </c>
    </row>
    <row r="11" spans="1:13">
      <c r="A11" s="12">
        <f>'Group Fluoride'!A10</f>
        <v>240.33333333333334</v>
      </c>
      <c r="B11" s="12">
        <f>'Group Fluoride'!D10</f>
        <v>2.0533088235294117</v>
      </c>
      <c r="C11" s="12">
        <f>'Group Fluoride'!E10</f>
        <v>2.2741658066735462</v>
      </c>
      <c r="D11" s="12">
        <f>'Group Fluoride'!F10</f>
        <v>0</v>
      </c>
      <c r="E11" s="76">
        <f>'Group Fluoride'!G10</f>
        <v>0.54206014920674805</v>
      </c>
      <c r="J11">
        <f>'pH,Flow,S.Vol.'!W11</f>
        <v>0</v>
      </c>
      <c r="K11" s="12">
        <f>'pH,Flow,S.Vol.'!C11</f>
        <v>9.81</v>
      </c>
      <c r="L11">
        <f>'pH,Flow,S.Vol.'!S11</f>
        <v>9.9600000000000009</v>
      </c>
      <c r="M11">
        <f>('pH,Flow,S.Vol.'!G11+'pH,Flow,S.Vol.'!K11+'pH,Flow,S.Vol.'!O11)/3</f>
        <v>9.83</v>
      </c>
    </row>
    <row r="12" spans="1:13">
      <c r="A12" s="12">
        <f>'Group Fluoride'!A11</f>
        <v>264.63333333333333</v>
      </c>
      <c r="B12" s="12">
        <f>'Group Fluoride'!D11</f>
        <v>1.8432985036119711</v>
      </c>
      <c r="C12" s="12">
        <f>'Group Fluoride'!E11</f>
        <v>2.2041086171310629</v>
      </c>
      <c r="D12" s="12">
        <f>'Group Fluoride'!F11</f>
        <v>0</v>
      </c>
      <c r="E12" s="76">
        <f>'Group Fluoride'!G11</f>
        <v>0.5182053763382124</v>
      </c>
      <c r="J12">
        <f>'pH,Flow,S.Vol.'!W12</f>
        <v>0</v>
      </c>
      <c r="K12" s="12">
        <f>'pH,Flow,S.Vol.'!C12</f>
        <v>9.7899999999999991</v>
      </c>
      <c r="L12">
        <f>'pH,Flow,S.Vol.'!S12</f>
        <v>9.92</v>
      </c>
      <c r="M12">
        <f>('pH,Flow,S.Vol.'!G12+'pH,Flow,S.Vol.'!K12+'pH,Flow,S.Vol.'!O12)/3</f>
        <v>9.82</v>
      </c>
    </row>
    <row r="13" spans="1:13">
      <c r="A13" s="12">
        <f>'Group Fluoride'!A12</f>
        <v>367.08333333333331</v>
      </c>
      <c r="B13" s="12">
        <f>'Group Fluoride'!D12</f>
        <v>1.757546439628483</v>
      </c>
      <c r="C13" s="12">
        <f>'Group Fluoride'!E12</f>
        <v>2.0054717062263503</v>
      </c>
      <c r="D13" s="12">
        <f>'Group Fluoride'!F12</f>
        <v>0</v>
      </c>
      <c r="E13" s="76">
        <f>'Group Fluoride'!G12</f>
        <v>0.19408419652116957</v>
      </c>
      <c r="J13">
        <f>'pH,Flow,S.Vol.'!W13</f>
        <v>0</v>
      </c>
      <c r="K13" s="12">
        <f>'pH,Flow,S.Vol.'!C13</f>
        <v>9.6</v>
      </c>
      <c r="L13">
        <f>'pH,Flow,S.Vol.'!S13</f>
        <v>9.92</v>
      </c>
      <c r="M13">
        <f>('pH,Flow,S.Vol.'!G13+'pH,Flow,S.Vol.'!K13+'pH,Flow,S.Vol.'!O13)/3</f>
        <v>9.8466666666666658</v>
      </c>
    </row>
    <row r="14" spans="1:13">
      <c r="A14" s="12">
        <f>'Group Fluoride'!A13</f>
        <v>390.08333333333331</v>
      </c>
      <c r="B14" s="12">
        <f>'Group Fluoride'!D13</f>
        <v>1.7836042311661506</v>
      </c>
      <c r="C14" s="12">
        <f>'Group Fluoride'!E13</f>
        <v>1.7919891640866874</v>
      </c>
      <c r="D14" s="12">
        <f>'Group Fluoride'!F13</f>
        <v>0</v>
      </c>
      <c r="E14" s="76">
        <f>'Group Fluoride'!G13</f>
        <v>9.2161921265403041E-3</v>
      </c>
      <c r="J14">
        <f>'pH,Flow,S.Vol.'!W14</f>
        <v>0</v>
      </c>
      <c r="K14" s="12">
        <f>'pH,Flow,S.Vol.'!C14</f>
        <v>9.77</v>
      </c>
      <c r="L14">
        <f>'pH,Flow,S.Vol.'!S14</f>
        <v>9.91</v>
      </c>
      <c r="M14">
        <f>('pH,Flow,S.Vol.'!G14+'pH,Flow,S.Vol.'!K14+'pH,Flow,S.Vol.'!O14)/3</f>
        <v>9.8866666666666649</v>
      </c>
    </row>
    <row r="15" spans="1:13">
      <c r="A15" s="12">
        <f>'Group Fluoride'!A14</f>
        <v>409.11666666666667</v>
      </c>
      <c r="B15" s="12">
        <f>'Group Fluoride'!D14</f>
        <v>1.4685887512899896</v>
      </c>
      <c r="C15" s="12">
        <f>'Group Fluoride'!E14</f>
        <v>1.6995399036807706</v>
      </c>
      <c r="D15" s="12">
        <f>'Group Fluoride'!F14</f>
        <v>0</v>
      </c>
      <c r="E15" s="76">
        <f>'Group Fluoride'!G14</f>
        <v>0.11833932235353366</v>
      </c>
      <c r="J15">
        <f>'pH,Flow,S.Vol.'!W15</f>
        <v>0</v>
      </c>
      <c r="K15" s="12">
        <f>'pH,Flow,S.Vol.'!C15</f>
        <v>9.9499999999999993</v>
      </c>
      <c r="L15">
        <f>'pH,Flow,S.Vol.'!S15</f>
        <v>10.01</v>
      </c>
      <c r="M15">
        <f>('pH,Flow,S.Vol.'!G15+'pH,Flow,S.Vol.'!K15+'pH,Flow,S.Vol.'!O15)/3</f>
        <v>9.9966666666666679</v>
      </c>
    </row>
    <row r="16" spans="1:13">
      <c r="A16" s="12">
        <f>'Group Fluoride'!A15</f>
        <v>435.15</v>
      </c>
      <c r="B16" s="12">
        <f>'Group Fluoride'!D15</f>
        <v>1.4041615075650045</v>
      </c>
      <c r="C16" s="12">
        <f>'Group Fluoride'!E15</f>
        <v>1.5906139582641259</v>
      </c>
      <c r="D16" s="12">
        <f>'Group Fluoride'!F15</f>
        <v>8.235436233503457E-2</v>
      </c>
      <c r="E16" s="76">
        <f>'Group Fluoride'!G15</f>
        <v>0.19356007471616177</v>
      </c>
      <c r="J16">
        <f>'pH,Flow,S.Vol.'!W16</f>
        <v>7.16</v>
      </c>
      <c r="K16" s="12">
        <f>'pH,Flow,S.Vol.'!C16</f>
        <v>9.85</v>
      </c>
      <c r="L16">
        <f>'pH,Flow,S.Vol.'!S16</f>
        <v>9.82</v>
      </c>
      <c r="M16">
        <f>('pH,Flow,S.Vol.'!G16+'pH,Flow,S.Vol.'!K16+'pH,Flow,S.Vol.'!O16)/3</f>
        <v>9.8233333333333324</v>
      </c>
    </row>
    <row r="17" spans="1:13">
      <c r="A17" s="12">
        <f>'Group Fluoride'!A16</f>
        <v>530.48333333333335</v>
      </c>
      <c r="B17" s="12">
        <f>'Group Fluoride'!D16</f>
        <v>1.5781415154169056</v>
      </c>
      <c r="C17" s="12">
        <f>'Group Fluoride'!E16</f>
        <v>1.6211961062623941</v>
      </c>
      <c r="D17" s="12">
        <f>'Group Fluoride'!F16</f>
        <v>8.3079153202669648E-2</v>
      </c>
      <c r="E17" s="76">
        <f>'Group Fluoride'!G16</f>
        <v>0.1688784486248254</v>
      </c>
      <c r="J17">
        <f>'pH,Flow,S.Vol.'!W17</f>
        <v>7.12</v>
      </c>
      <c r="K17" s="12">
        <f>'pH,Flow,S.Vol.'!C17</f>
        <v>10.06</v>
      </c>
      <c r="L17">
        <f>'pH,Flow,S.Vol.'!S17</f>
        <v>10.039999999999999</v>
      </c>
      <c r="M17">
        <f>('pH,Flow,S.Vol.'!G17+'pH,Flow,S.Vol.'!K17+'pH,Flow,S.Vol.'!O17)/3</f>
        <v>10.093333333333334</v>
      </c>
    </row>
    <row r="18" spans="1:13">
      <c r="A18" s="12">
        <f>'Group Fluoride'!A17</f>
        <v>555.15</v>
      </c>
      <c r="B18" s="12">
        <f>'Group Fluoride'!D17</f>
        <v>1.5449219339836315</v>
      </c>
      <c r="C18" s="12">
        <f>'Group Fluoride'!E17</f>
        <v>1.5755242150615567</v>
      </c>
      <c r="D18" s="12">
        <f>'Group Fluoride'!F17</f>
        <v>4.5239029988222143E-2</v>
      </c>
      <c r="E18" s="76">
        <f>'Group Fluoride'!G17</f>
        <v>0.18260320506892327</v>
      </c>
      <c r="J18">
        <f>'pH,Flow,S.Vol.'!W18</f>
        <v>7.02</v>
      </c>
      <c r="K18" s="12">
        <f>'pH,Flow,S.Vol.'!C18</f>
        <v>9.85</v>
      </c>
      <c r="L18">
        <f>'pH,Flow,S.Vol.'!S18</f>
        <v>9.76</v>
      </c>
      <c r="M18">
        <f>('pH,Flow,S.Vol.'!G18+'pH,Flow,S.Vol.'!K18+'pH,Flow,S.Vol.'!O18)/3</f>
        <v>9.8333333333333339</v>
      </c>
    </row>
    <row r="19" spans="1:13">
      <c r="A19" s="12">
        <f>'Group Fluoride'!A18</f>
        <v>576.45000000000005</v>
      </c>
      <c r="B19" s="12">
        <f>'Group Fluoride'!D18</f>
        <v>1.5033370579530696</v>
      </c>
      <c r="C19" s="12">
        <f>'Group Fluoride'!E18</f>
        <v>1.5891442434491989</v>
      </c>
      <c r="D19" s="12">
        <f>'Group Fluoride'!F18</f>
        <v>4.2611663093045024E-2</v>
      </c>
      <c r="E19" s="76">
        <f>'Group Fluoride'!G18</f>
        <v>0.11533990616918668</v>
      </c>
      <c r="J19">
        <f>'pH,Flow,S.Vol.'!W19</f>
        <v>7.05</v>
      </c>
      <c r="K19" s="12">
        <f>'pH,Flow,S.Vol.'!C19</f>
        <v>9.6999999999999993</v>
      </c>
      <c r="L19">
        <f>'pH,Flow,S.Vol.'!S19</f>
        <v>9.75</v>
      </c>
      <c r="M19">
        <f>('pH,Flow,S.Vol.'!G19+'pH,Flow,S.Vol.'!K19+'pH,Flow,S.Vol.'!O19)/3</f>
        <v>9.8699999999999992</v>
      </c>
    </row>
    <row r="20" spans="1:13">
      <c r="A20" s="12">
        <f>'Group Fluoride'!A19</f>
        <v>602.04999999999995</v>
      </c>
      <c r="B20" s="12">
        <f>'Group Fluoride'!D19</f>
        <v>1.5360871401846599</v>
      </c>
      <c r="C20" s="12">
        <f>'Group Fluoride'!E19</f>
        <v>1.5690060949852149</v>
      </c>
      <c r="D20" s="12">
        <f>'Group Fluoride'!F19</f>
        <v>5.3104821676422664E-2</v>
      </c>
      <c r="E20" s="76">
        <f>'Group Fluoride'!G19</f>
        <v>0.21029618205274125</v>
      </c>
      <c r="J20">
        <f>'pH,Flow,S.Vol.'!W20</f>
        <v>6.98</v>
      </c>
      <c r="K20" s="12">
        <f>'pH,Flow,S.Vol.'!C20</f>
        <v>9.65</v>
      </c>
      <c r="L20">
        <f>'pH,Flow,S.Vol.'!S20</f>
        <v>9.56</v>
      </c>
      <c r="M20">
        <f>('pH,Flow,S.Vol.'!G20+'pH,Flow,S.Vol.'!K20+'pH,Flow,S.Vol.'!O20)/3</f>
        <v>9.663333333333334</v>
      </c>
    </row>
    <row r="21" spans="1:13">
      <c r="A21" s="12">
        <f>'Group Fluoride'!A20</f>
        <v>672.91666666666663</v>
      </c>
      <c r="B21" s="12">
        <f>'Group Fluoride'!D20</f>
        <v>1.3264136141451934</v>
      </c>
      <c r="C21" s="12">
        <f>'Group Fluoride'!E20</f>
        <v>1.4300283628024861</v>
      </c>
      <c r="D21" s="12">
        <f>'Group Fluoride'!F20</f>
        <v>4.3751131494780042E-2</v>
      </c>
      <c r="E21" s="76">
        <f>'Group Fluoride'!G20</f>
        <v>0.16629117030484128</v>
      </c>
      <c r="J21">
        <f>'pH,Flow,S.Vol.'!W21</f>
        <v>7.18</v>
      </c>
      <c r="K21" s="12">
        <f>'pH,Flow,S.Vol.'!C21</f>
        <v>9.94</v>
      </c>
      <c r="L21">
        <f>'pH,Flow,S.Vol.'!S21</f>
        <v>9.8800000000000008</v>
      </c>
      <c r="M21">
        <f>('pH,Flow,S.Vol.'!G21+'pH,Flow,S.Vol.'!K21+'pH,Flow,S.Vol.'!O21)/3</f>
        <v>9.9366666666666674</v>
      </c>
    </row>
    <row r="22" spans="1:13">
      <c r="A22" s="12">
        <f>'Group Fluoride'!A21</f>
        <v>721.68333333333328</v>
      </c>
      <c r="B22" s="12">
        <f>'Group Fluoride'!D21</f>
        <v>1.4185022026431717</v>
      </c>
      <c r="C22" s="12">
        <f>'Group Fluoride'!E21</f>
        <v>1.4224146601492567</v>
      </c>
      <c r="D22" s="12">
        <f>'Group Fluoride'!F21</f>
        <v>6.4087864341319162E-2</v>
      </c>
      <c r="E22" s="76">
        <f>'Group Fluoride'!G21</f>
        <v>0.16322373889661207</v>
      </c>
      <c r="J22">
        <f>'pH,Flow,S.Vol.'!W22</f>
        <v>6.82</v>
      </c>
      <c r="K22" s="12">
        <f>'pH,Flow,S.Vol.'!C22</f>
        <v>10</v>
      </c>
      <c r="L22">
        <f>'pH,Flow,S.Vol.'!S22</f>
        <v>9.81</v>
      </c>
      <c r="M22">
        <f>('pH,Flow,S.Vol.'!G22+'pH,Flow,S.Vol.'!K22+'pH,Flow,S.Vol.'!O22)/3</f>
        <v>9.9766666666666666</v>
      </c>
    </row>
    <row r="23" spans="1:13">
      <c r="A23" s="12">
        <f>'Group Fluoride'!A22</f>
        <v>744.58333333333337</v>
      </c>
      <c r="B23" s="12">
        <f>'Group Fluoride'!D22</f>
        <v>1.4319594472270833</v>
      </c>
      <c r="C23" s="12">
        <f>'Group Fluoride'!E22</f>
        <v>1.4984913402932831</v>
      </c>
      <c r="D23" s="12">
        <f>'Group Fluoride'!F22</f>
        <v>8.6597067165530131E-2</v>
      </c>
      <c r="E23" s="76">
        <f>'Group Fluoride'!G22</f>
        <v>0.13538731197066842</v>
      </c>
      <c r="J23">
        <f>'pH,Flow,S.Vol.'!W23</f>
        <v>6.71</v>
      </c>
      <c r="K23" s="12">
        <f>'pH,Flow,S.Vol.'!C23</f>
        <v>10.039999999999999</v>
      </c>
      <c r="L23">
        <f>'pH,Flow,S.Vol.'!S23</f>
        <v>9.9600000000000009</v>
      </c>
      <c r="M23">
        <f>('pH,Flow,S.Vol.'!G23+'pH,Flow,S.Vol.'!K23+'pH,Flow,S.Vol.'!O23)/3</f>
        <v>10.013333333333334</v>
      </c>
    </row>
    <row r="24" spans="1:13">
      <c r="A24" s="12">
        <f>'Group Fluoride'!A23</f>
        <v>768.7</v>
      </c>
      <c r="B24" s="12">
        <f>'Group Fluoride'!D23</f>
        <v>1.2048293605281919</v>
      </c>
      <c r="C24" s="12">
        <f>'Group Fluoride'!E23</f>
        <v>1.3021811681803621</v>
      </c>
      <c r="D24" s="12">
        <f>'Group Fluoride'!F23</f>
        <v>0</v>
      </c>
      <c r="E24" s="76">
        <f>'Group Fluoride'!G23</f>
        <v>0.11538915995934435</v>
      </c>
      <c r="J24">
        <f>'pH,Flow,S.Vol.'!W24</f>
        <v>6.67</v>
      </c>
      <c r="K24" s="12">
        <f>'pH,Flow,S.Vol.'!C24</f>
        <v>9.9700000000000006</v>
      </c>
      <c r="L24">
        <f>'pH,Flow,S.Vol.'!S24</f>
        <v>9.93</v>
      </c>
      <c r="M24">
        <f>('pH,Flow,S.Vol.'!G24+'pH,Flow,S.Vol.'!K24+'pH,Flow,S.Vol.'!O24)/3</f>
        <v>9.9699999999999989</v>
      </c>
    </row>
    <row r="25" spans="1:13">
      <c r="A25" s="12">
        <f>'Group Fluoride'!A24</f>
        <v>840.81666666666672</v>
      </c>
      <c r="B25" s="12">
        <f>'Group Fluoride'!D24</f>
        <v>1.2318279036607669</v>
      </c>
      <c r="C25" s="12">
        <f>'Group Fluoride'!E24</f>
        <v>1.2782616781872849</v>
      </c>
      <c r="D25" s="12">
        <f>'Group Fluoride'!F24</f>
        <v>0</v>
      </c>
      <c r="E25" s="76">
        <f>'Group Fluoride'!G24</f>
        <v>0.14473947765014739</v>
      </c>
      <c r="J25">
        <f>'pH,Flow,S.Vol.'!W25</f>
        <v>6.68</v>
      </c>
      <c r="K25" s="12">
        <f>'pH,Flow,S.Vol.'!C25</f>
        <v>10</v>
      </c>
      <c r="L25">
        <f>'pH,Flow,S.Vol.'!S25</f>
        <v>9.8800000000000008</v>
      </c>
      <c r="M25">
        <f>('pH,Flow,S.Vol.'!G25+'pH,Flow,S.Vol.'!K25+'pH,Flow,S.Vol.'!O25)/3</f>
        <v>9.9933333333333323</v>
      </c>
    </row>
    <row r="26" spans="1:13">
      <c r="A26" s="12">
        <f>'Group Fluoride'!A25</f>
        <v>863.58333333333337</v>
      </c>
      <c r="B26" s="12">
        <f>'Group Fluoride'!D25</f>
        <v>1.0621493444096586</v>
      </c>
      <c r="C26" s="12">
        <f>'Group Fluoride'!E25</f>
        <v>1.114265935133236</v>
      </c>
      <c r="D26" s="12">
        <f>'Group Fluoride'!F25</f>
        <v>0</v>
      </c>
      <c r="E26" s="76">
        <f>'Group Fluoride'!G25</f>
        <v>0.22810797640638808</v>
      </c>
      <c r="J26">
        <f>'pH,Flow,S.Vol.'!W26</f>
        <v>6.94</v>
      </c>
      <c r="K26" s="12">
        <f>'pH,Flow,S.Vol.'!C26</f>
        <v>9.9700000000000006</v>
      </c>
      <c r="L26">
        <f>'pH,Flow,S.Vol.'!S26</f>
        <v>9.8800000000000008</v>
      </c>
      <c r="M26">
        <f>('pH,Flow,S.Vol.'!G26+'pH,Flow,S.Vol.'!K26+'pH,Flow,S.Vol.'!O26)/3</f>
        <v>9.9633333333333329</v>
      </c>
    </row>
    <row r="27" spans="1:13">
      <c r="A27" s="12">
        <f>'Group Fluoride'!A26</f>
        <v>888.4</v>
      </c>
      <c r="B27" s="12">
        <f>'Group Fluoride'!D26</f>
        <v>1.2893840822034413</v>
      </c>
      <c r="C27" s="12">
        <f>'Group Fluoride'!E26</f>
        <v>1.2326158772623172</v>
      </c>
      <c r="D27" s="12">
        <f>'Group Fluoride'!F26</f>
        <v>4.6999452787742452E-2</v>
      </c>
      <c r="E27" s="76">
        <f>'Group Fluoride'!G26</f>
        <v>0.13297185414403867</v>
      </c>
      <c r="J27">
        <f>'pH,Flow,S.Vol.'!W27</f>
        <v>6.87</v>
      </c>
      <c r="K27" s="12">
        <f>'pH,Flow,S.Vol.'!C27</f>
        <v>9.98</v>
      </c>
      <c r="L27">
        <f>'pH,Flow,S.Vol.'!S27</f>
        <v>9.89</v>
      </c>
      <c r="M27">
        <f>('pH,Flow,S.Vol.'!G27+'pH,Flow,S.Vol.'!K27+'pH,Flow,S.Vol.'!O27)/3</f>
        <v>9.9833333333333343</v>
      </c>
    </row>
    <row r="28" spans="1:13">
      <c r="A28" s="12">
        <f>'Group Fluoride'!A27</f>
        <v>919.36666666666667</v>
      </c>
      <c r="B28" s="12">
        <f>'Group Fluoride'!D27</f>
        <v>1.2887152672219859</v>
      </c>
      <c r="C28" s="12">
        <f>'Group Fluoride'!E27</f>
        <v>1.3060436553778805</v>
      </c>
      <c r="D28" s="12">
        <f>'Group Fluoride'!F27</f>
        <v>4.9066699094059703E-2</v>
      </c>
      <c r="E28" s="76">
        <f>'Group Fluoride'!G27</f>
        <v>0.21146598830151686</v>
      </c>
      <c r="J28">
        <f>'pH,Flow,S.Vol.'!W28</f>
        <v>6.94</v>
      </c>
      <c r="K28" s="12">
        <f>'pH,Flow,S.Vol.'!C28</f>
        <v>9.9499999999999993</v>
      </c>
      <c r="L28">
        <f>'pH,Flow,S.Vol.'!S28</f>
        <v>9.74</v>
      </c>
      <c r="M28">
        <f>('pH,Flow,S.Vol.'!G28+'pH,Flow,S.Vol.'!K28+'pH,Flow,S.Vol.'!O28)/3</f>
        <v>9.9099999999999984</v>
      </c>
    </row>
    <row r="29" spans="1:13" ht="16" thickBot="1">
      <c r="A29" s="56">
        <f>'Group Fluoride'!A28</f>
        <v>937.95</v>
      </c>
      <c r="B29" s="12">
        <f>'Group Fluoride'!D28</f>
        <v>1.2934577734541253</v>
      </c>
      <c r="C29" s="12">
        <f>'Group Fluoride'!E28</f>
        <v>1.3292191078413491</v>
      </c>
      <c r="D29" s="12">
        <f>'Group Fluoride'!F28</f>
        <v>5.4934030522283697E-2</v>
      </c>
      <c r="E29" s="76">
        <f>'Group Fluoride'!G28</f>
        <v>0.15924570380203734</v>
      </c>
      <c r="F29" s="12"/>
      <c r="G29" s="12"/>
      <c r="H29" s="12">
        <f>'TOC 1&amp;2'!$BY3</f>
        <v>0</v>
      </c>
      <c r="I29" s="76">
        <f>'TOC 1&amp;2'!CB3</f>
        <v>0</v>
      </c>
      <c r="J29">
        <f>'pH,Flow,S.Vol.'!W29</f>
        <v>6.76</v>
      </c>
      <c r="K29" s="12">
        <f>'pH,Flow,S.Vol.'!C29</f>
        <v>9.91</v>
      </c>
      <c r="L29">
        <f>'pH,Flow,S.Vol.'!S29</f>
        <v>9.7200000000000006</v>
      </c>
      <c r="M29">
        <f>('pH,Flow,S.Vol.'!G29+'pH,Flow,S.Vol.'!K29+'pH,Flow,S.Vol.'!O29)/3</f>
        <v>9.9033333333333342</v>
      </c>
    </row>
    <row r="30" spans="1:13">
      <c r="A30" s="12">
        <f>'Group Fluoride'!A29</f>
        <v>1009.3</v>
      </c>
      <c r="B30" s="12">
        <f>'Group Fluoride'!D29</f>
        <v>0.97442944198829007</v>
      </c>
      <c r="C30" s="12">
        <f>'Group Fluoride'!E29</f>
        <v>1.4983570319034534</v>
      </c>
      <c r="D30" s="12">
        <f>'Group Fluoride'!F29</f>
        <v>2.9394192854582387E-2</v>
      </c>
      <c r="E30" s="76">
        <f>'Group Fluoride'!G29</f>
        <v>0.58839737858589003</v>
      </c>
      <c r="F30" s="12"/>
      <c r="G30" s="12"/>
      <c r="H30" s="12">
        <f>('TOC 1&amp;2'!$BY4)*100</f>
        <v>0</v>
      </c>
      <c r="I30" s="76">
        <f>('TOC 1&amp;2'!CB4)*100</f>
        <v>0</v>
      </c>
      <c r="J30">
        <f>'pH,Flow,S.Vol.'!W30</f>
        <v>7.15</v>
      </c>
      <c r="K30" s="12">
        <f>'pH,Flow,S.Vol.'!C30</f>
        <v>9.81</v>
      </c>
      <c r="L30">
        <f>'pH,Flow,S.Vol.'!S30</f>
        <v>9.4499999999999993</v>
      </c>
      <c r="M30">
        <f>('pH,Flow,S.Vol.'!G30+'pH,Flow,S.Vol.'!K30+'pH,Flow,S.Vol.'!O30)/3</f>
        <v>9.4666666666666668</v>
      </c>
    </row>
    <row r="31" spans="1:13">
      <c r="A31" s="12">
        <f>'Group Fluoride'!A30</f>
        <v>1033.3</v>
      </c>
      <c r="B31" s="12">
        <f>'Group Fluoride'!D30</f>
        <v>0.89583582267893413</v>
      </c>
      <c r="C31" s="12">
        <f>'Group Fluoride'!E30</f>
        <v>1.3269307364480025</v>
      </c>
      <c r="D31" s="12">
        <f>'Group Fluoride'!F30</f>
        <v>2.9663042179471862E-2</v>
      </c>
      <c r="E31" s="76">
        <f>'Group Fluoride'!G30</f>
        <v>0.40002023336210174</v>
      </c>
      <c r="F31" s="12"/>
      <c r="G31" s="12"/>
      <c r="H31" s="12">
        <f>('TOC 1&amp;2'!$BY5)*100</f>
        <v>0</v>
      </c>
      <c r="I31" s="76">
        <f>('TOC 1&amp;2'!CB5)*100</f>
        <v>0</v>
      </c>
      <c r="J31">
        <f>'pH,Flow,S.Vol.'!W31</f>
        <v>6.95</v>
      </c>
      <c r="K31" s="12">
        <f>'pH,Flow,S.Vol.'!C31</f>
        <v>9.92</v>
      </c>
      <c r="L31">
        <f>'pH,Flow,S.Vol.'!S31</f>
        <v>9.6</v>
      </c>
      <c r="M31">
        <f>('pH,Flow,S.Vol.'!G31+'pH,Flow,S.Vol.'!K31+'pH,Flow,S.Vol.'!O31)/3</f>
        <v>9.5833333333333339</v>
      </c>
    </row>
    <row r="32" spans="1:13">
      <c r="A32" s="12">
        <f>'Group Fluoride'!A31</f>
        <v>1056.8666666666666</v>
      </c>
      <c r="B32" s="12">
        <f>'Group Fluoride'!D31</f>
        <v>0.89086914817908969</v>
      </c>
      <c r="C32" s="12">
        <f>'Group Fluoride'!E31</f>
        <v>1.3741039842404366</v>
      </c>
      <c r="D32" s="12">
        <f>'Group Fluoride'!F31</f>
        <v>5.3714533246696991E-2</v>
      </c>
      <c r="E32" s="76">
        <f>'Group Fluoride'!G31</f>
        <v>0.57103143755710473</v>
      </c>
      <c r="F32" s="12"/>
      <c r="G32" s="12"/>
      <c r="H32" s="12">
        <f>('TOC 1&amp;2'!$BY6)*100</f>
        <v>0</v>
      </c>
      <c r="I32" s="76">
        <f>('TOC 1&amp;2'!CB6)*100</f>
        <v>0</v>
      </c>
      <c r="J32">
        <f>'pH,Flow,S.Vol.'!W32</f>
        <v>7.95</v>
      </c>
      <c r="K32" s="12">
        <f>'pH,Flow,S.Vol.'!C32</f>
        <v>9.6199999999999992</v>
      </c>
      <c r="L32">
        <f>'pH,Flow,S.Vol.'!S32</f>
        <v>9.5399999999999991</v>
      </c>
      <c r="M32">
        <f>('pH,Flow,S.Vol.'!G32+'pH,Flow,S.Vol.'!K32+'pH,Flow,S.Vol.'!O32)/3</f>
        <v>9.3666666666666671</v>
      </c>
    </row>
    <row r="33" spans="1:13">
      <c r="A33" s="12">
        <f>'Group Fluoride'!A32</f>
        <v>1109.33</v>
      </c>
      <c r="B33" s="12">
        <f>'Group Fluoride'!D32</f>
        <v>1.0410594387202574</v>
      </c>
      <c r="C33" s="12">
        <f>'Group Fluoride'!E32</f>
        <v>1.3645739864063451</v>
      </c>
      <c r="D33" s="12">
        <f>'Group Fluoride'!F32</f>
        <v>0.10105510690306012</v>
      </c>
      <c r="E33" s="76">
        <f>'Group Fluoride'!G32</f>
        <v>0.10742773049448741</v>
      </c>
      <c r="F33" s="12"/>
      <c r="G33" s="12"/>
      <c r="H33" s="12">
        <f>('TOC 1&amp;2'!$BY7)*100</f>
        <v>0</v>
      </c>
      <c r="I33" s="76">
        <f>('TOC 1&amp;2'!CB7)*100</f>
        <v>0</v>
      </c>
      <c r="J33">
        <f>'pH,Flow,S.Vol.'!W33</f>
        <v>7.45</v>
      </c>
      <c r="K33" s="12">
        <f>'pH,Flow,S.Vol.'!C33</f>
        <v>9.51</v>
      </c>
      <c r="L33">
        <f>'pH,Flow,S.Vol.'!S33</f>
        <v>9.4</v>
      </c>
      <c r="M33">
        <f>('pH,Flow,S.Vol.'!G33+'pH,Flow,S.Vol.'!K33+'pH,Flow,S.Vol.'!O33)/3</f>
        <v>9.4666666666666668</v>
      </c>
    </row>
    <row r="34" spans="1:13">
      <c r="A34" s="12">
        <f>'Group Fluoride'!A33</f>
        <v>1176.8800000000001</v>
      </c>
      <c r="B34" s="12">
        <f>'Group Fluoride'!D33</f>
        <v>0.90160586651814723</v>
      </c>
      <c r="C34" s="12">
        <f>'Group Fluoride'!E33</f>
        <v>1.2342481718700042</v>
      </c>
      <c r="D34" s="12">
        <f>'Group Fluoride'!F33</f>
        <v>4.2575574739317432E-2</v>
      </c>
      <c r="E34" s="76">
        <f>'Group Fluoride'!G33</f>
        <v>0.21625208763492149</v>
      </c>
      <c r="F34" s="12"/>
      <c r="G34" s="12"/>
      <c r="H34" s="12">
        <f>('TOC 1&amp;2'!$BY8)*100</f>
        <v>0</v>
      </c>
      <c r="I34" s="76">
        <f>('TOC 1&amp;2'!CB8)*100</f>
        <v>0</v>
      </c>
      <c r="J34">
        <f>'pH,Flow,S.Vol.'!W34</f>
        <v>7.55</v>
      </c>
      <c r="K34" s="12">
        <f>'pH,Flow,S.Vol.'!C34</f>
        <v>9.67</v>
      </c>
      <c r="L34">
        <f>'pH,Flow,S.Vol.'!S34</f>
        <v>9.31</v>
      </c>
      <c r="M34">
        <f>('pH,Flow,S.Vol.'!G34+'pH,Flow,S.Vol.'!K34+'pH,Flow,S.Vol.'!O34)/3</f>
        <v>9.35</v>
      </c>
    </row>
    <row r="35" spans="1:13">
      <c r="A35" s="12">
        <f>'Group Fluoride'!A34</f>
        <v>1225.4000000000001</v>
      </c>
      <c r="B35" s="12">
        <f>'Group Fluoride'!D34</f>
        <v>0.7273971352978742</v>
      </c>
      <c r="C35" s="12">
        <f>'Group Fluoride'!E34</f>
        <v>1.1618059990471263</v>
      </c>
      <c r="D35" s="12">
        <f>'Group Fluoride'!F34</f>
        <v>4.5585865036645079E-2</v>
      </c>
      <c r="E35" s="76">
        <f>'Group Fluoride'!G34</f>
        <v>4.1847790013635748E-2</v>
      </c>
      <c r="F35" s="12"/>
      <c r="G35" s="12"/>
      <c r="H35" s="12">
        <f>('TOC 1&amp;2'!$BY9)*100</f>
        <v>0</v>
      </c>
      <c r="I35" s="76">
        <f>('TOC 1&amp;2'!CB9)*100</f>
        <v>0</v>
      </c>
      <c r="J35">
        <f>'pH,Flow,S.Vol.'!W35</f>
        <v>7.5</v>
      </c>
      <c r="K35" s="12">
        <f>'pH,Flow,S.Vol.'!C35</f>
        <v>9.73</v>
      </c>
      <c r="L35">
        <f>'pH,Flow,S.Vol.'!S35</f>
        <v>9.4700000000000006</v>
      </c>
      <c r="M35">
        <f>('pH,Flow,S.Vol.'!G35+'pH,Flow,S.Vol.'!K35+'pH,Flow,S.Vol.'!O35)/3</f>
        <v>9.5233333333333334</v>
      </c>
    </row>
    <row r="36" spans="1:13">
      <c r="A36" s="12">
        <f>'Group Fluoride'!A35</f>
        <v>1273.28</v>
      </c>
      <c r="B36" s="12">
        <f>'Group Fluoride'!D35</f>
        <v>0.68810631633366781</v>
      </c>
      <c r="C36" s="12">
        <f>'Group Fluoride'!E35</f>
        <v>1.08491723180164</v>
      </c>
      <c r="D36" s="12">
        <f>'Group Fluoride'!F35</f>
        <v>4.1723687011525706E-2</v>
      </c>
      <c r="E36" s="76">
        <f>'Group Fluoride'!G35</f>
        <v>0.10995358550399044</v>
      </c>
      <c r="F36" s="12"/>
      <c r="G36" s="12"/>
      <c r="H36" s="12">
        <f>('TOC 1&amp;2'!$BY10)*100</f>
        <v>0</v>
      </c>
      <c r="I36" s="76">
        <f>('TOC 1&amp;2'!CB10)*100</f>
        <v>0</v>
      </c>
      <c r="J36">
        <f>'pH,Flow,S.Vol.'!W36</f>
        <v>7.07</v>
      </c>
      <c r="K36" s="12">
        <f>'pH,Flow,S.Vol.'!C36</f>
        <v>9.75</v>
      </c>
      <c r="L36">
        <f>'pH,Flow,S.Vol.'!S36</f>
        <v>9.3800000000000008</v>
      </c>
      <c r="M36">
        <f>('pH,Flow,S.Vol.'!G36+'pH,Flow,S.Vol.'!K36+'pH,Flow,S.Vol.'!O36)/3</f>
        <v>9.4133333333333322</v>
      </c>
    </row>
    <row r="37" spans="1:13">
      <c r="A37" s="12">
        <f>'Group Fluoride'!A36</f>
        <v>1345.25</v>
      </c>
      <c r="B37" s="12">
        <f>'Group Fluoride'!D36</f>
        <v>0.5649423714381292</v>
      </c>
      <c r="C37" s="12">
        <f>'Group Fluoride'!E36</f>
        <v>0.83797098804853565</v>
      </c>
      <c r="D37" s="12">
        <f>'Group Fluoride'!F36</f>
        <v>4.4186965909436493E-2</v>
      </c>
      <c r="E37" s="76">
        <f>'Group Fluoride'!G36</f>
        <v>7.6993137576190251E-2</v>
      </c>
      <c r="F37" s="12"/>
      <c r="G37" s="12"/>
      <c r="H37" s="12">
        <f>('TOC 1&amp;2'!$BY11)*100</f>
        <v>0</v>
      </c>
      <c r="I37" s="76">
        <f>('TOC 1&amp;2'!CB11)*100</f>
        <v>0</v>
      </c>
      <c r="J37">
        <f>'pH,Flow,S.Vol.'!W37</f>
        <v>7.37</v>
      </c>
      <c r="K37" s="12">
        <f>'pH,Flow,S.Vol.'!C37</f>
        <v>9.67</v>
      </c>
      <c r="L37">
        <f>'pH,Flow,S.Vol.'!S37</f>
        <v>9.35</v>
      </c>
      <c r="M37">
        <f>('pH,Flow,S.Vol.'!G37+'pH,Flow,S.Vol.'!K37+'pH,Flow,S.Vol.'!O37)/3</f>
        <v>9.3533333333333335</v>
      </c>
    </row>
    <row r="38" spans="1:13">
      <c r="A38" s="12">
        <f>'Group Fluoride'!A37</f>
        <v>1394.2666666666667</v>
      </c>
      <c r="B38" s="12">
        <f>'Group Fluoride'!D37</f>
        <v>0.75860480825324694</v>
      </c>
      <c r="C38" s="12">
        <f>'Group Fluoride'!E37</f>
        <v>0.99876160356985677</v>
      </c>
      <c r="D38" s="12">
        <f>'Group Fluoride'!F37</f>
        <v>0</v>
      </c>
      <c r="E38" s="76">
        <f>'Group Fluoride'!G37</f>
        <v>0.27925870609234149</v>
      </c>
      <c r="F38" s="12"/>
      <c r="G38" s="12"/>
      <c r="H38" s="12">
        <f>('TOC 1&amp;2'!$BY12)*100</f>
        <v>0</v>
      </c>
      <c r="I38" s="76">
        <f>('TOC 1&amp;2'!CB12)*100</f>
        <v>0</v>
      </c>
      <c r="J38">
        <f>'pH,Flow,S.Vol.'!W38</f>
        <v>7.21</v>
      </c>
      <c r="K38" s="12">
        <f>'pH,Flow,S.Vol.'!C38</f>
        <v>9.44</v>
      </c>
      <c r="L38">
        <f>'pH,Flow,S.Vol.'!S38</f>
        <v>9.15</v>
      </c>
      <c r="M38">
        <f>('pH,Flow,S.Vol.'!G38+'pH,Flow,S.Vol.'!K38+'pH,Flow,S.Vol.'!O38)/3</f>
        <v>9.1199999999999992</v>
      </c>
    </row>
    <row r="39" spans="1:13">
      <c r="A39" s="12">
        <f>'Group Fluoride'!A38</f>
        <v>1416.25</v>
      </c>
      <c r="B39" s="12">
        <f>'Group Fluoride'!D38</f>
        <v>0.68890662900303978</v>
      </c>
      <c r="C39" s="12">
        <f>'Group Fluoride'!E38</f>
        <v>0.95482411700287606</v>
      </c>
      <c r="D39" s="12">
        <f>'Group Fluoride'!F38</f>
        <v>-4.5134944272160662E-3</v>
      </c>
      <c r="E39" s="76">
        <f>'Group Fluoride'!G38</f>
        <v>7.0634439770567797E-2</v>
      </c>
      <c r="F39" s="12"/>
      <c r="G39" s="12"/>
      <c r="H39" s="12">
        <f>('TOC 1&amp;2'!$BY13)*100</f>
        <v>0</v>
      </c>
      <c r="I39" s="76">
        <f>('TOC 1&amp;2'!CB13)*100</f>
        <v>0</v>
      </c>
      <c r="J39">
        <f>'pH,Flow,S.Vol.'!W39</f>
        <v>6.91</v>
      </c>
      <c r="K39" s="12">
        <f>'pH,Flow,S.Vol.'!C39</f>
        <v>9.51</v>
      </c>
      <c r="L39">
        <f>'pH,Flow,S.Vol.'!S39</f>
        <v>9.2100000000000009</v>
      </c>
      <c r="M39">
        <f>('pH,Flow,S.Vol.'!G39+'pH,Flow,S.Vol.'!K39+'pH,Flow,S.Vol.'!O39)/3</f>
        <v>9.1666666666666661</v>
      </c>
    </row>
    <row r="40" spans="1:13">
      <c r="A40" s="12">
        <f>'Group Fluoride'!A39</f>
        <v>1517.2833333333333</v>
      </c>
      <c r="B40" s="12">
        <f>'Group Fluoride'!D39</f>
        <v>0.64926770855721705</v>
      </c>
      <c r="C40" s="12">
        <f>'Group Fluoride'!E39</f>
        <v>0.92642287655950961</v>
      </c>
      <c r="D40" s="12">
        <f>'Group Fluoride'!F39</f>
        <v>2.7633639350302375E-4</v>
      </c>
      <c r="E40" s="76">
        <f>'Group Fluoride'!G39</f>
        <v>0.1920983145489652</v>
      </c>
      <c r="F40" s="12"/>
      <c r="G40" s="12"/>
      <c r="H40" s="12">
        <f>('TOC 1&amp;2'!$BY14)*100</f>
        <v>0</v>
      </c>
      <c r="I40" s="76">
        <f>('TOC 1&amp;2'!CB14)*100</f>
        <v>0</v>
      </c>
      <c r="J40">
        <f>'pH,Flow,S.Vol.'!W40</f>
        <v>7.14</v>
      </c>
      <c r="K40" s="12">
        <f>'pH,Flow,S.Vol.'!C40</f>
        <v>9.5399999999999991</v>
      </c>
      <c r="L40">
        <f>'pH,Flow,S.Vol.'!S40</f>
        <v>9.19</v>
      </c>
      <c r="M40">
        <f>('pH,Flow,S.Vol.'!G40+'pH,Flow,S.Vol.'!K40+'pH,Flow,S.Vol.'!O40)/3</f>
        <v>9.0666666666666647</v>
      </c>
    </row>
    <row r="41" spans="1:13">
      <c r="A41" s="12">
        <f>'Group Fluoride'!A40</f>
        <v>1561.9</v>
      </c>
      <c r="B41" s="12">
        <f>'Group Fluoride'!D40</f>
        <v>0.8248198057035413</v>
      </c>
      <c r="C41" s="12">
        <f>'Group Fluoride'!E40</f>
        <v>1.1702078763188135</v>
      </c>
      <c r="D41" s="12">
        <f>'Group Fluoride'!F40</f>
        <v>1.3757442807897209E-2</v>
      </c>
      <c r="E41" s="76">
        <f>'Group Fluoride'!G40</f>
        <v>0.3017097223260648</v>
      </c>
      <c r="F41" s="12"/>
      <c r="G41" s="12"/>
      <c r="H41" s="12">
        <f>('TOC 1&amp;2'!$BY15)*100</f>
        <v>0</v>
      </c>
      <c r="I41" s="76">
        <f>('TOC 1&amp;2'!CB15)*100</f>
        <v>0</v>
      </c>
      <c r="J41">
        <f>'pH,Flow,S.Vol.'!W41</f>
        <v>6.89</v>
      </c>
      <c r="K41" s="12">
        <f>'pH,Flow,S.Vol.'!C41</f>
        <v>9.3000000000000007</v>
      </c>
      <c r="L41">
        <f>'pH,Flow,S.Vol.'!S41</f>
        <v>9.1</v>
      </c>
      <c r="M41">
        <f>('pH,Flow,S.Vol.'!G41+'pH,Flow,S.Vol.'!K41+'pH,Flow,S.Vol.'!O41)/3</f>
        <v>8.9466666666666672</v>
      </c>
    </row>
    <row r="42" spans="1:13">
      <c r="A42" s="12">
        <f>'Group Fluoride'!A41</f>
        <v>1586.3</v>
      </c>
      <c r="B42" s="12">
        <f>'Group Fluoride'!D41</f>
        <v>0.79984330930742709</v>
      </c>
      <c r="C42" s="12">
        <f>'Group Fluoride'!E41</f>
        <v>1.0155437167032277</v>
      </c>
      <c r="D42" s="12">
        <f>'Group Fluoride'!F41</f>
        <v>1.6170479473519277E-2</v>
      </c>
      <c r="E42" s="76">
        <f>'Group Fluoride'!G41</f>
        <v>0.25048965484881558</v>
      </c>
      <c r="F42" s="12"/>
      <c r="G42" s="12"/>
      <c r="H42" s="12">
        <f>('TOC 1&amp;2'!$BY16)*100</f>
        <v>0</v>
      </c>
      <c r="I42" s="76">
        <f>('TOC 1&amp;2'!CB16)*100</f>
        <v>0</v>
      </c>
      <c r="J42">
        <f>'pH,Flow,S.Vol.'!W42</f>
        <v>7.03</v>
      </c>
      <c r="K42" s="12">
        <f>'pH,Flow,S.Vol.'!C42</f>
        <v>8.85</v>
      </c>
      <c r="L42">
        <f>'pH,Flow,S.Vol.'!S42</f>
        <v>9.0299999999999994</v>
      </c>
      <c r="M42">
        <f>('pH,Flow,S.Vol.'!G42+'pH,Flow,S.Vol.'!K42+'pH,Flow,S.Vol.'!O42)/3</f>
        <v>8.9333333333333318</v>
      </c>
    </row>
    <row r="43" spans="1:13">
      <c r="A43" s="12">
        <f>'Group Fluoride'!A42</f>
        <v>1610.5</v>
      </c>
      <c r="B43" s="12">
        <f>'Group Fluoride'!D42</f>
        <v>0.93610153556878717</v>
      </c>
      <c r="C43" s="12">
        <f>'Group Fluoride'!E42</f>
        <v>0.96605034994254668</v>
      </c>
      <c r="D43" s="12">
        <f>'Group Fluoride'!F42</f>
        <v>3.0460670636164217E-2</v>
      </c>
      <c r="E43" s="76">
        <f>'Group Fluoride'!G42</f>
        <v>0.13723784490001623</v>
      </c>
      <c r="F43" s="12"/>
      <c r="G43" s="12"/>
      <c r="H43" s="12">
        <f>('TOC 1&amp;2'!$BY17)*100</f>
        <v>0</v>
      </c>
      <c r="I43" s="76">
        <f>('TOC 1&amp;2'!CB17)*100</f>
        <v>0</v>
      </c>
      <c r="J43">
        <f>'pH,Flow,S.Vol.'!W43</f>
        <v>7.22</v>
      </c>
      <c r="K43" s="12">
        <f>'pH,Flow,S.Vol.'!C43</f>
        <v>8.6999999999999993</v>
      </c>
      <c r="L43">
        <f>'pH,Flow,S.Vol.'!S43</f>
        <v>9.2100000000000009</v>
      </c>
      <c r="M43">
        <f>('pH,Flow,S.Vol.'!G43+'pH,Flow,S.Vol.'!K43+'pH,Flow,S.Vol.'!O43)/3</f>
        <v>8.7999999999999989</v>
      </c>
    </row>
    <row r="44" spans="1:13">
      <c r="A44" s="238">
        <f>'Group Fluoride'!A43</f>
        <v>1901.3333333333333</v>
      </c>
      <c r="B44" s="12">
        <f>'Group Fluoride'!D43</f>
        <v>0.63414562277160624</v>
      </c>
      <c r="C44" s="12">
        <f>'Group Fluoride'!E43</f>
        <v>1.3104969011207042</v>
      </c>
      <c r="D44" s="12">
        <f>'Group Fluoride'!F43</f>
        <v>9.5706750744025695E-2</v>
      </c>
      <c r="E44" s="76">
        <f>'Group Fluoride'!G43</f>
        <v>0.78880636288437256</v>
      </c>
      <c r="F44" s="12"/>
      <c r="G44" s="12"/>
      <c r="H44" s="12">
        <f>('TOC 1&amp;2'!$BY18)*100</f>
        <v>0</v>
      </c>
      <c r="I44" s="76">
        <f>('TOC 1&amp;2'!CB18)*100</f>
        <v>0</v>
      </c>
      <c r="J44" t="str">
        <f>'pH,Flow,S.Vol.'!W44</f>
        <v>nm</v>
      </c>
      <c r="K44" s="12" t="str">
        <f>'pH,Flow,S.Vol.'!C44</f>
        <v>nm</v>
      </c>
      <c r="L44" t="str">
        <f>'pH,Flow,S.Vol.'!S44</f>
        <v>nm</v>
      </c>
      <c r="M44" t="e">
        <f>('pH,Flow,S.Vol.'!G44+'pH,Flow,S.Vol.'!K44+'pH,Flow,S.Vol.'!O44)/3</f>
        <v>#VALUE!</v>
      </c>
    </row>
    <row r="45" spans="1:13">
      <c r="A45" s="12">
        <f>'Group Fluoride'!A44</f>
        <v>1921.0833333333333</v>
      </c>
      <c r="B45" s="12">
        <f>'Group Fluoride'!D44</f>
        <v>0.58166602822877689</v>
      </c>
      <c r="C45" s="12">
        <f>'Group Fluoride'!E44</f>
        <v>0.88173183644203468</v>
      </c>
      <c r="D45" s="12">
        <f>'Group Fluoride'!F44</f>
        <v>6.2468691988095598E-2</v>
      </c>
      <c r="E45" s="76">
        <f>'Group Fluoride'!G44</f>
        <v>0.37938499909396584</v>
      </c>
      <c r="F45" s="12"/>
      <c r="G45" s="12"/>
      <c r="H45" s="12">
        <f>('TOC 1&amp;2'!$BY19)*100</f>
        <v>0</v>
      </c>
      <c r="I45" s="76">
        <f>('TOC 1&amp;2'!CB19)*100</f>
        <v>0</v>
      </c>
      <c r="J45" t="str">
        <f>'pH,Flow,S.Vol.'!W45</f>
        <v>nm</v>
      </c>
      <c r="K45" s="12" t="str">
        <f>'pH,Flow,S.Vol.'!C45</f>
        <v>nm</v>
      </c>
      <c r="L45" t="str">
        <f>'pH,Flow,S.Vol.'!S45</f>
        <v>nm</v>
      </c>
      <c r="M45" t="e">
        <f>('pH,Flow,S.Vol.'!G45+'pH,Flow,S.Vol.'!K45+'pH,Flow,S.Vol.'!O45)/3</f>
        <v>#VALUE!</v>
      </c>
    </row>
    <row r="46" spans="1:13">
      <c r="A46" s="12">
        <f>'Group Fluoride'!A45</f>
        <v>1946.2666666666667</v>
      </c>
      <c r="B46" s="12">
        <f>'Group Fluoride'!D45</f>
        <v>0.66173093194729837</v>
      </c>
      <c r="C46" s="12">
        <f>'Group Fluoride'!E45</f>
        <v>0.91580039485877762</v>
      </c>
      <c r="D46" s="12">
        <f>'Group Fluoride'!F45</f>
        <v>3.1729723195938579E-3</v>
      </c>
      <c r="E46" s="76">
        <f>'Group Fluoride'!G45</f>
        <v>0.22752158177391496</v>
      </c>
      <c r="F46" s="12"/>
      <c r="G46" s="12"/>
      <c r="H46" s="12">
        <f>('TOC 1&amp;2'!$BY20)*100</f>
        <v>0</v>
      </c>
      <c r="I46" s="76">
        <f>('TOC 1&amp;2'!CB20)*100</f>
        <v>0</v>
      </c>
      <c r="J46">
        <f>'pH,Flow,S.Vol.'!W46</f>
        <v>7.46</v>
      </c>
      <c r="K46" s="12">
        <f>'pH,Flow,S.Vol.'!C46</f>
        <v>9.19</v>
      </c>
      <c r="L46">
        <f>'pH,Flow,S.Vol.'!S46</f>
        <v>9.2899999999999991</v>
      </c>
      <c r="M46">
        <f>('pH,Flow,S.Vol.'!G46+'pH,Flow,S.Vol.'!K46+'pH,Flow,S.Vol.'!O46)/3</f>
        <v>8.7799999999999994</v>
      </c>
    </row>
    <row r="47" spans="1:13">
      <c r="A47" s="12">
        <f>'Group Fluoride'!A46</f>
        <v>2065.9666666666662</v>
      </c>
      <c r="B47" s="12">
        <f>'Group Fluoride'!D46</f>
        <v>0.40339054756436599</v>
      </c>
      <c r="C47" s="12">
        <f>'Group Fluoride'!E46</f>
        <v>1.4326221846166243</v>
      </c>
      <c r="D47" s="12">
        <f>'Group Fluoride'!F46</f>
        <v>1.6590112413876461E-2</v>
      </c>
      <c r="E47" s="76">
        <f>'Group Fluoride'!G46</f>
        <v>0.16889956500642289</v>
      </c>
      <c r="F47" s="12"/>
      <c r="G47" s="12"/>
      <c r="H47" s="12">
        <f>('TOC 1&amp;2'!$BY21)*100</f>
        <v>0</v>
      </c>
      <c r="I47" s="76">
        <f>('TOC 1&amp;2'!CB21)*100</f>
        <v>0</v>
      </c>
      <c r="J47">
        <f>'pH,Flow,S.Vol.'!W47</f>
        <v>7.75</v>
      </c>
      <c r="K47" s="12">
        <f>'pH,Flow,S.Vol.'!C47</f>
        <v>9.68</v>
      </c>
      <c r="L47">
        <f>'pH,Flow,S.Vol.'!S47</f>
        <v>9.34</v>
      </c>
      <c r="M47">
        <f>('pH,Flow,S.Vol.'!G47+'pH,Flow,S.Vol.'!K47+'pH,Flow,S.Vol.'!O47)/3</f>
        <v>9.2633333333333336</v>
      </c>
    </row>
    <row r="48" spans="1:13">
      <c r="A48" s="12">
        <f>'Group Fluoride'!A47</f>
        <v>2114.1333333333328</v>
      </c>
      <c r="B48" s="12">
        <f>'Group Fluoride'!D47</f>
        <v>0.51158964716942334</v>
      </c>
      <c r="C48" s="12">
        <f>'Group Fluoride'!E47</f>
        <v>1.2532291391247294</v>
      </c>
      <c r="D48" s="12">
        <f>'Group Fluoride'!F47</f>
        <v>0.1258556361820265</v>
      </c>
      <c r="E48" s="76">
        <f>'Group Fluoride'!G47</f>
        <v>0.39705020967896676</v>
      </c>
      <c r="F48" s="12"/>
      <c r="G48" s="12"/>
      <c r="H48" s="12">
        <f>('TOC 1&amp;2'!$BY22)*100</f>
        <v>0</v>
      </c>
      <c r="I48" s="76">
        <f>('TOC 1&amp;2'!CB22)*100</f>
        <v>0</v>
      </c>
      <c r="J48">
        <f>'pH,Flow,S.Vol.'!W48</f>
        <v>7.98</v>
      </c>
      <c r="K48" s="12">
        <f>'pH,Flow,S.Vol.'!C48</f>
        <v>9.49</v>
      </c>
      <c r="L48">
        <f>'pH,Flow,S.Vol.'!S48</f>
        <v>9.14</v>
      </c>
      <c r="M48">
        <f>('pH,Flow,S.Vol.'!G48+'pH,Flow,S.Vol.'!K48+'pH,Flow,S.Vol.'!O48)/3</f>
        <v>8.8833333333333329</v>
      </c>
    </row>
    <row r="49" spans="1:20">
      <c r="A49" s="12">
        <f>'Group Fluoride'!A48</f>
        <v>2186.0666666666662</v>
      </c>
      <c r="B49" s="12">
        <f>'Group Fluoride'!D48</f>
        <v>0.55548047827491998</v>
      </c>
      <c r="C49" s="12">
        <f>'Group Fluoride'!E48</f>
        <v>1.3482182202767412</v>
      </c>
      <c r="D49" s="12">
        <f>'Group Fluoride'!F48</f>
        <v>0.13690178912423984</v>
      </c>
      <c r="E49" s="76">
        <f>'Group Fluoride'!G48</f>
        <v>0.15934860386668995</v>
      </c>
      <c r="F49" s="12"/>
      <c r="G49" s="12"/>
      <c r="H49" s="12">
        <f>('TOC 1&amp;2'!$BY23)*100</f>
        <v>0</v>
      </c>
      <c r="I49" s="76">
        <f>('TOC 1&amp;2'!CB23)*100</f>
        <v>0</v>
      </c>
      <c r="J49">
        <f>'pH,Flow,S.Vol.'!W49</f>
        <v>7.83</v>
      </c>
      <c r="K49" s="12">
        <f>'pH,Flow,S.Vol.'!C49</f>
        <v>9.5</v>
      </c>
      <c r="L49">
        <f>'pH,Flow,S.Vol.'!S49</f>
        <v>9.1</v>
      </c>
      <c r="M49">
        <f>('pH,Flow,S.Vol.'!G49+'pH,Flow,S.Vol.'!K49+'pH,Flow,S.Vol.'!O49)/3</f>
        <v>8.9599999999999991</v>
      </c>
    </row>
    <row r="50" spans="1:20">
      <c r="A50" s="12">
        <f>'Group Fluoride'!A49</f>
        <v>2234.2333333333327</v>
      </c>
      <c r="B50" s="12">
        <f>'Group Fluoride'!D49</f>
        <v>0.62963075060532681</v>
      </c>
      <c r="C50" s="12">
        <f>'Group Fluoride'!E49</f>
        <v>1.4603712671509284</v>
      </c>
      <c r="D50" s="12">
        <f>'Group Fluoride'!F49</f>
        <v>8.4140435835351069E-3</v>
      </c>
      <c r="E50" s="76">
        <f>'Group Fluoride'!G49</f>
        <v>9.7610839901539639E-2</v>
      </c>
      <c r="F50" s="12"/>
      <c r="G50" s="12"/>
      <c r="H50" s="12">
        <f>('TOC 1&amp;2'!$BY24)*100</f>
        <v>0</v>
      </c>
      <c r="I50" s="76">
        <f>('TOC 1&amp;2'!CB24)*100</f>
        <v>0</v>
      </c>
      <c r="J50">
        <f>'pH,Flow,S.Vol.'!W50</f>
        <v>7.92</v>
      </c>
      <c r="K50" s="12">
        <f>'pH,Flow,S.Vol.'!C50</f>
        <v>9.4700000000000006</v>
      </c>
      <c r="L50">
        <f>'pH,Flow,S.Vol.'!S50</f>
        <v>8.94</v>
      </c>
      <c r="M50">
        <f>('pH,Flow,S.Vol.'!G50+'pH,Flow,S.Vol.'!K50+'pH,Flow,S.Vol.'!O50)/3</f>
        <v>8.8500000000000014</v>
      </c>
    </row>
    <row r="51" spans="1:20">
      <c r="A51" s="12">
        <f>'Group Fluoride'!A50</f>
        <v>2280.3666666666663</v>
      </c>
      <c r="B51" s="12">
        <f>'Group Fluoride'!D50</f>
        <v>0.70226997578692496</v>
      </c>
      <c r="C51" s="12">
        <f>'Group Fluoride'!E50</f>
        <v>1.4436440677966103</v>
      </c>
      <c r="D51" s="12">
        <f>'Group Fluoride'!F50</f>
        <v>3.6743341404358358E-2</v>
      </c>
      <c r="E51" s="76">
        <f>'Group Fluoride'!G50</f>
        <v>0.11826330288931916</v>
      </c>
      <c r="F51" s="12"/>
      <c r="G51" s="12"/>
      <c r="H51" s="12">
        <f>('TOC 1&amp;2'!$BY25)*100</f>
        <v>0</v>
      </c>
      <c r="I51" s="76">
        <f>('TOC 1&amp;2'!CB25)*100</f>
        <v>0</v>
      </c>
      <c r="J51">
        <f>'pH,Flow,S.Vol.'!W51</f>
        <v>7.91</v>
      </c>
      <c r="K51" s="12">
        <f>'pH,Flow,S.Vol.'!C51</f>
        <v>9.48</v>
      </c>
      <c r="L51">
        <f>'pH,Flow,S.Vol.'!S51</f>
        <v>9.1300000000000008</v>
      </c>
      <c r="M51">
        <f>('pH,Flow,S.Vol.'!G51+'pH,Flow,S.Vol.'!K51+'pH,Flow,S.Vol.'!O51)/3</f>
        <v>8.93</v>
      </c>
    </row>
    <row r="52" spans="1:20">
      <c r="A52" s="12">
        <f>'Group Fluoride'!A51</f>
        <v>2359.3499999999995</v>
      </c>
      <c r="B52" s="12">
        <f>'Group Fluoride'!D51</f>
        <v>0.97433414043583533</v>
      </c>
      <c r="C52" s="12">
        <f>'Group Fluoride'!E51</f>
        <v>1.6800645682001616</v>
      </c>
      <c r="D52" s="12">
        <f>'Group Fluoride'!F51</f>
        <v>1.6071428571428573E-2</v>
      </c>
      <c r="E52" s="76">
        <f>'Group Fluoride'!G51</f>
        <v>2.5171624935643143E-2</v>
      </c>
      <c r="F52" s="12"/>
      <c r="G52" s="12"/>
      <c r="H52" s="12">
        <f>('TOC 1&amp;2'!$BY26)*100</f>
        <v>0</v>
      </c>
      <c r="I52" s="76">
        <f>('TOC 1&amp;2'!CB26)*100</f>
        <v>0</v>
      </c>
      <c r="J52">
        <f>'pH,Flow,S.Vol.'!W52</f>
        <v>7.85</v>
      </c>
      <c r="K52" s="12">
        <f>'pH,Flow,S.Vol.'!C52</f>
        <v>9.68</v>
      </c>
      <c r="L52">
        <f>'pH,Flow,S.Vol.'!S52</f>
        <v>8.98</v>
      </c>
      <c r="M52">
        <f>('pH,Flow,S.Vol.'!G52+'pH,Flow,S.Vol.'!K52+'pH,Flow,S.Vol.'!O52)/3</f>
        <v>8.913333333333334</v>
      </c>
    </row>
    <row r="53" spans="1:20">
      <c r="A53" s="12">
        <f>'Group Fluoride'!A52</f>
        <v>2407.2833333333328</v>
      </c>
      <c r="B53" s="12">
        <f>'Group Fluoride'!D52</f>
        <v>1.0375760863014523</v>
      </c>
      <c r="C53" s="12">
        <f>'Group Fluoride'!E52</f>
        <v>1.8565258442315031</v>
      </c>
      <c r="D53" s="12">
        <f>'Group Fluoride'!F52</f>
        <v>0</v>
      </c>
      <c r="E53" s="76">
        <f>'Group Fluoride'!G52</f>
        <v>0.25730092808123212</v>
      </c>
      <c r="F53" s="12"/>
      <c r="G53" s="12"/>
      <c r="H53" s="12">
        <f>('TOC 1&amp;2'!$BY27)*100</f>
        <v>0</v>
      </c>
      <c r="I53" s="76">
        <f>('TOC 1&amp;2'!CB27)*100</f>
        <v>0</v>
      </c>
      <c r="J53">
        <f>'pH,Flow,S.Vol.'!W53</f>
        <v>7.44</v>
      </c>
      <c r="K53" s="12">
        <f>'pH,Flow,S.Vol.'!C53</f>
        <v>9.85</v>
      </c>
      <c r="L53">
        <f>'pH,Flow,S.Vol.'!S53</f>
        <v>9.15</v>
      </c>
      <c r="M53">
        <f>('pH,Flow,S.Vol.'!G53+'pH,Flow,S.Vol.'!K53+'pH,Flow,S.Vol.'!O53)/3</f>
        <v>9.1566666666666663</v>
      </c>
    </row>
    <row r="54" spans="1:20">
      <c r="A54" s="12">
        <f>'Group Fluoride'!A53</f>
        <v>2524.5666666666662</v>
      </c>
      <c r="B54" s="12">
        <f>'Group Fluoride'!D53</f>
        <v>0.8973663593081419</v>
      </c>
      <c r="C54" s="12">
        <f>'Group Fluoride'!E53</f>
        <v>1.7762409851543826</v>
      </c>
      <c r="D54" s="12">
        <f>'Group Fluoride'!F53</f>
        <v>0.17775568010606882</v>
      </c>
      <c r="E54" s="76">
        <f>'Group Fluoride'!G53</f>
        <v>0.37011565553018155</v>
      </c>
      <c r="H54" s="12">
        <f>('TOC 1&amp;2'!$BY28)*100</f>
        <v>0</v>
      </c>
      <c r="I54" s="76">
        <f>('TOC 1&amp;2'!CB28)*100</f>
        <v>0</v>
      </c>
      <c r="J54">
        <f>'pH,Flow,S.Vol.'!W54</f>
        <v>7.36</v>
      </c>
      <c r="K54" s="12">
        <f>'pH,Flow,S.Vol.'!C54</f>
        <v>9.9</v>
      </c>
      <c r="L54">
        <f>'pH,Flow,S.Vol.'!S54</f>
        <v>9.4</v>
      </c>
      <c r="M54">
        <f>('pH,Flow,S.Vol.'!G54+'pH,Flow,S.Vol.'!K54+'pH,Flow,S.Vol.'!O54)/3</f>
        <v>9.2066666666666652</v>
      </c>
    </row>
    <row r="55" spans="1:20">
      <c r="A55" s="12">
        <f>'Group Fluoride'!A54</f>
        <v>2617.1999999999994</v>
      </c>
      <c r="B55" s="12">
        <f>'Group Fluoride'!D54</f>
        <v>1.0204905683119387</v>
      </c>
      <c r="C55" s="12">
        <f>'Group Fluoride'!E54</f>
        <v>2.1223407460977519</v>
      </c>
      <c r="D55" s="12">
        <f>'Group Fluoride'!F54</f>
        <v>3.4321701922497436E-2</v>
      </c>
      <c r="E55" s="76">
        <f>'Group Fluoride'!G54</f>
        <v>0.8037926281292096</v>
      </c>
      <c r="H55" s="12">
        <f>('TOC 1&amp;2'!$BY29)*100</f>
        <v>0</v>
      </c>
      <c r="I55" s="76">
        <f>('TOC 1&amp;2'!CB29)*100</f>
        <v>0</v>
      </c>
      <c r="R55">
        <v>10</v>
      </c>
      <c r="S55" t="s">
        <v>166</v>
      </c>
      <c r="T55" t="s">
        <v>148</v>
      </c>
    </row>
    <row r="56" spans="1:20">
      <c r="A56" s="12">
        <f>'Group Fluoride'!A55</f>
        <v>2688.583333333333</v>
      </c>
      <c r="B56" s="12">
        <f>'Group Fluoride'!D55</f>
        <v>1.0347236673900764</v>
      </c>
      <c r="C56" s="12">
        <f>'Group Fluoride'!E55</f>
        <v>2.2650652555221922</v>
      </c>
      <c r="D56" s="12">
        <f>'Group Fluoride'!F55</f>
        <v>0.10069268959776437</v>
      </c>
      <c r="E56" s="76">
        <f>'Group Fluoride'!G55</f>
        <v>0.88144981753268414</v>
      </c>
      <c r="H56" s="12">
        <f>('TOC 1&amp;2'!$BY30)*100</f>
        <v>0</v>
      </c>
      <c r="I56" s="76">
        <f>('TOC 1&amp;2'!CB30)*100</f>
        <v>0</v>
      </c>
      <c r="Q56" t="s">
        <v>943</v>
      </c>
      <c r="R56" s="12">
        <f>AVERAGE(K3:K54)</f>
        <v>9.6852000000000018</v>
      </c>
      <c r="S56">
        <f>AVERAGE(L22:L54)</f>
        <v>9.4087096774193562</v>
      </c>
      <c r="T56" t="e">
        <f>AVERAGE(M22:M54)</f>
        <v>#VALUE!</v>
      </c>
    </row>
    <row r="57" spans="1:20">
      <c r="A57" s="12">
        <f>'Group Fluoride'!A56</f>
        <v>2736.9833333333327</v>
      </c>
      <c r="B57" s="12">
        <f>'Group Fluoride'!D56</f>
        <v>1.1060142105419628</v>
      </c>
      <c r="C57" s="12">
        <f>'Group Fluoride'!E56</f>
        <v>2.7852067663584741</v>
      </c>
      <c r="D57" s="12">
        <f>'Group Fluoride'!F56</f>
        <v>0.10381425216279692</v>
      </c>
      <c r="E57" s="76">
        <f>'Group Fluoride'!G56</f>
        <v>0.57968536571805984</v>
      </c>
      <c r="H57" s="12">
        <f>'TOC 1&amp;2'!BW31</f>
        <v>0</v>
      </c>
      <c r="I57" s="76">
        <f>'TOC 1&amp;2'!CB31</f>
        <v>0</v>
      </c>
    </row>
    <row r="58" spans="1:20">
      <c r="A58" s="12">
        <f>'Group Fluoride'!A57</f>
        <v>2857.1333333333328</v>
      </c>
      <c r="B58" s="12">
        <f>'Group Fluoride'!D57</f>
        <v>1.1120476674901905</v>
      </c>
      <c r="C58" s="12">
        <f>'Group Fluoride'!E57</f>
        <v>2.6134379692874097</v>
      </c>
      <c r="D58" s="12">
        <f>'Group Fluoride'!F57</f>
        <v>2.6798430460688853E-2</v>
      </c>
      <c r="E58" s="76">
        <f>'Group Fluoride'!G57</f>
        <v>0.64765996679122495</v>
      </c>
      <c r="H58" s="12">
        <f>'TOC 1&amp;2'!BW32</f>
        <v>0</v>
      </c>
      <c r="I58" s="76">
        <f>'TOC 1&amp;2'!CB32</f>
        <v>0</v>
      </c>
    </row>
    <row r="59" spans="1:20">
      <c r="A59" s="12">
        <f>'Group Fluoride'!A58</f>
        <v>0</v>
      </c>
      <c r="B59" s="12">
        <f>'Group Fluoride'!D58</f>
        <v>0</v>
      </c>
      <c r="C59" s="12">
        <f>'Group Fluoride'!E58</f>
        <v>0</v>
      </c>
      <c r="D59" s="12">
        <f>'Group Fluoride'!F58</f>
        <v>0</v>
      </c>
      <c r="E59" s="76">
        <f>'Group Fluoride'!G58</f>
        <v>0</v>
      </c>
    </row>
    <row r="60" spans="1:20">
      <c r="A60" s="12">
        <f>'Group Fluoride'!A59</f>
        <v>0</v>
      </c>
      <c r="B60" s="12">
        <f>'Group Fluoride'!D59</f>
        <v>0</v>
      </c>
      <c r="C60" s="12">
        <f>'Group Fluoride'!E59</f>
        <v>0</v>
      </c>
      <c r="D60" s="12">
        <f>'Group Fluoride'!F59</f>
        <v>0</v>
      </c>
      <c r="E60" s="76">
        <f>'Group Fluoride'!G59</f>
        <v>0</v>
      </c>
    </row>
    <row r="61" spans="1:20">
      <c r="A61" s="12">
        <f>'Group Fluoride'!A60</f>
        <v>0</v>
      </c>
      <c r="B61" s="12">
        <f>'Group Fluoride'!D60</f>
        <v>0</v>
      </c>
      <c r="C61" s="12">
        <f>'Group Fluoride'!E60</f>
        <v>0</v>
      </c>
      <c r="D61" s="12">
        <f>'Group Fluoride'!F60</f>
        <v>0</v>
      </c>
      <c r="E61" s="76">
        <f>'Group Fluoride'!G60</f>
        <v>0</v>
      </c>
    </row>
    <row r="62" spans="1:20">
      <c r="A62" s="12">
        <f>'Group Fluoride'!A61</f>
        <v>0</v>
      </c>
      <c r="B62" s="12">
        <f>'Group Fluoride'!D61</f>
        <v>0</v>
      </c>
      <c r="C62" s="12">
        <f>'Group Fluoride'!E61</f>
        <v>0</v>
      </c>
      <c r="D62" s="12">
        <f>'Group Fluoride'!F61</f>
        <v>0</v>
      </c>
      <c r="E62" s="76">
        <f>'Group Fluoride'!G61</f>
        <v>0</v>
      </c>
    </row>
    <row r="63" spans="1:20">
      <c r="A63" s="12">
        <f>'Group Fluoride'!A62</f>
        <v>0</v>
      </c>
      <c r="B63" s="12">
        <f>'Group Fluoride'!D62</f>
        <v>0</v>
      </c>
      <c r="C63" s="12">
        <f>'Group Fluoride'!E62</f>
        <v>0</v>
      </c>
      <c r="D63" s="12">
        <f>'Group Fluoride'!F62</f>
        <v>0</v>
      </c>
      <c r="E63" s="76">
        <f>'Group Fluoride'!G62</f>
        <v>0</v>
      </c>
    </row>
    <row r="64" spans="1:20">
      <c r="A64" s="12">
        <f>'Group Fluoride'!A63</f>
        <v>0</v>
      </c>
      <c r="B64" s="12">
        <f>'Group Fluoride'!D63</f>
        <v>0</v>
      </c>
      <c r="C64" s="12">
        <f>'Group Fluoride'!E63</f>
        <v>0</v>
      </c>
      <c r="D64" s="12">
        <f>'Group Fluoride'!F63</f>
        <v>0</v>
      </c>
      <c r="E64" s="76">
        <f>'Group Fluoride'!G63</f>
        <v>0</v>
      </c>
    </row>
    <row r="65" spans="1:5">
      <c r="A65" s="12">
        <f>'Group Fluoride'!A64</f>
        <v>0</v>
      </c>
      <c r="B65" s="12">
        <f>'Group Fluoride'!D64</f>
        <v>0</v>
      </c>
      <c r="C65" s="12">
        <f>'Group Fluoride'!E64</f>
        <v>0</v>
      </c>
      <c r="D65" s="12">
        <f>'Group Fluoride'!F64</f>
        <v>0</v>
      </c>
      <c r="E65" s="76">
        <f>'Group Fluoride'!G64</f>
        <v>0</v>
      </c>
    </row>
    <row r="66" spans="1:5">
      <c r="A66" s="12">
        <f>'Group Fluoride'!A65</f>
        <v>0</v>
      </c>
      <c r="B66" s="12">
        <f>'Group Fluoride'!D65</f>
        <v>0</v>
      </c>
      <c r="C66" s="12">
        <f>'Group Fluoride'!E65</f>
        <v>0</v>
      </c>
      <c r="D66" s="12">
        <f>'Group Fluoride'!F65</f>
        <v>0</v>
      </c>
      <c r="E66" s="76">
        <f>'Group Fluoride'!G65</f>
        <v>0</v>
      </c>
    </row>
    <row r="67" spans="1:5">
      <c r="A67" s="12">
        <f>'Group Fluoride'!A66</f>
        <v>0</v>
      </c>
      <c r="B67" s="12">
        <f>'Group Fluoride'!D66</f>
        <v>0</v>
      </c>
      <c r="C67" s="12">
        <f>'Group Fluoride'!E66</f>
        <v>0</v>
      </c>
      <c r="D67" s="12">
        <f>'Group Fluoride'!F66</f>
        <v>0</v>
      </c>
      <c r="E67" s="76">
        <f>'Group Fluoride'!G66</f>
        <v>0</v>
      </c>
    </row>
    <row r="68" spans="1:5">
      <c r="A68" s="12">
        <f>'Group Fluoride'!A67</f>
        <v>0</v>
      </c>
      <c r="B68" s="12">
        <f>'Group Fluoride'!D67</f>
        <v>0</v>
      </c>
      <c r="C68" s="12">
        <f>'Group Fluoride'!E67</f>
        <v>0</v>
      </c>
      <c r="D68" s="12">
        <f>'Group Fluoride'!F67</f>
        <v>0</v>
      </c>
      <c r="E68" s="76">
        <f>'Group Fluoride'!G67</f>
        <v>0</v>
      </c>
    </row>
    <row r="69" spans="1:5">
      <c r="A69" s="12">
        <f>'Group Fluoride'!A68</f>
        <v>0</v>
      </c>
      <c r="B69" s="12">
        <f>'Group Fluoride'!D68</f>
        <v>0</v>
      </c>
      <c r="C69" s="12">
        <f>'Group Fluoride'!E68</f>
        <v>0</v>
      </c>
      <c r="D69" s="12">
        <f>'Group Fluoride'!F68</f>
        <v>0</v>
      </c>
      <c r="E69" s="76">
        <f>'Group Fluoride'!G68</f>
        <v>0</v>
      </c>
    </row>
    <row r="70" spans="1:5">
      <c r="A70" s="12">
        <f>'Group Fluoride'!A69</f>
        <v>0</v>
      </c>
      <c r="B70" s="12">
        <f>'Group Fluoride'!D69</f>
        <v>0</v>
      </c>
      <c r="C70" s="12">
        <f>'Group Fluoride'!E69</f>
        <v>0</v>
      </c>
      <c r="D70" s="12">
        <f>'Group Fluoride'!F69</f>
        <v>0</v>
      </c>
      <c r="E70" s="76">
        <f>'Group Fluoride'!G69</f>
        <v>0</v>
      </c>
    </row>
    <row r="71" spans="1:5">
      <c r="A71" s="12">
        <f>'Group Fluoride'!A70</f>
        <v>0</v>
      </c>
      <c r="B71" s="12">
        <f>'Group Fluoride'!D70</f>
        <v>0</v>
      </c>
      <c r="C71" s="12">
        <f>'Group Fluoride'!E70</f>
        <v>0</v>
      </c>
      <c r="D71" s="12">
        <f>'Group Fluoride'!F70</f>
        <v>0</v>
      </c>
      <c r="E71" s="76">
        <f>'Group Fluoride'!G70</f>
        <v>0</v>
      </c>
    </row>
    <row r="72" spans="1:5">
      <c r="A72" s="12">
        <f>'Group Fluoride'!A71</f>
        <v>0</v>
      </c>
      <c r="B72" s="12">
        <f>'Group Fluoride'!D71</f>
        <v>0</v>
      </c>
      <c r="C72" s="12">
        <f>'Group Fluoride'!E71</f>
        <v>0</v>
      </c>
      <c r="D72" s="12">
        <f>'Group Fluoride'!F71</f>
        <v>0</v>
      </c>
      <c r="E72" s="76">
        <f>'Group Fluoride'!G71</f>
        <v>0</v>
      </c>
    </row>
    <row r="73" spans="1:5">
      <c r="A73" s="12">
        <f>'Group Fluoride'!A72</f>
        <v>0</v>
      </c>
      <c r="B73" s="12">
        <f>'Group Fluoride'!D72</f>
        <v>0</v>
      </c>
      <c r="C73" s="12">
        <f>'Group Fluoride'!E72</f>
        <v>0</v>
      </c>
      <c r="D73" s="12">
        <f>'Group Fluoride'!F72</f>
        <v>0</v>
      </c>
      <c r="E73" s="76">
        <f>'Group Fluoride'!G72</f>
        <v>0</v>
      </c>
    </row>
    <row r="74" spans="1:5">
      <c r="A74" s="12">
        <f>'Group Fluoride'!A73</f>
        <v>0</v>
      </c>
      <c r="B74" s="12">
        <f>'Group Fluoride'!D73</f>
        <v>0</v>
      </c>
      <c r="C74" s="12">
        <f>'Group Fluoride'!E73</f>
        <v>0</v>
      </c>
      <c r="D74" s="12">
        <f>'Group Fluoride'!F73</f>
        <v>0</v>
      </c>
      <c r="E74" s="76">
        <f>'Group Fluoride'!G73</f>
        <v>0</v>
      </c>
    </row>
    <row r="75" spans="1:5">
      <c r="A75" s="12">
        <f>'Group Fluoride'!A74</f>
        <v>0</v>
      </c>
      <c r="B75" s="12">
        <f>'Group Fluoride'!D74</f>
        <v>0</v>
      </c>
      <c r="C75" s="12">
        <f>'Group Fluoride'!E74</f>
        <v>0</v>
      </c>
      <c r="D75" s="12">
        <f>'Group Fluoride'!F74</f>
        <v>0</v>
      </c>
      <c r="E75" s="76">
        <f>'Group Fluoride'!G74</f>
        <v>0</v>
      </c>
    </row>
    <row r="76" spans="1:5">
      <c r="A76" s="12">
        <f>'Group Fluoride'!A75</f>
        <v>0</v>
      </c>
      <c r="B76" s="12">
        <f>'Group Fluoride'!D75</f>
        <v>0</v>
      </c>
      <c r="C76" s="12">
        <f>'Group Fluoride'!E75</f>
        <v>0</v>
      </c>
      <c r="D76" s="12">
        <f>'Group Fluoride'!F75</f>
        <v>0</v>
      </c>
      <c r="E76" s="76">
        <f>'Group Fluoride'!G75</f>
        <v>0</v>
      </c>
    </row>
    <row r="77" spans="1:5">
      <c r="A77" s="12">
        <f>'Group Fluoride'!A76</f>
        <v>0</v>
      </c>
      <c r="B77" s="12">
        <f>'Group Fluoride'!D76</f>
        <v>0</v>
      </c>
      <c r="C77" s="12">
        <f>'Group Fluoride'!E76</f>
        <v>0</v>
      </c>
      <c r="D77" s="12">
        <f>'Group Fluoride'!F76</f>
        <v>0</v>
      </c>
      <c r="E77" s="76">
        <f>'Group Fluoride'!G76</f>
        <v>0</v>
      </c>
    </row>
    <row r="78" spans="1:5">
      <c r="A78" s="12">
        <f>'Group Fluoride'!A77</f>
        <v>0</v>
      </c>
      <c r="B78" s="12">
        <f>'Group Fluoride'!D77</f>
        <v>0</v>
      </c>
      <c r="C78" s="12">
        <f>'Group Fluoride'!E77</f>
        <v>0</v>
      </c>
      <c r="D78" s="12">
        <f>'Group Fluoride'!F77</f>
        <v>0</v>
      </c>
      <c r="E78" s="76">
        <f>'Group Fluoride'!G77</f>
        <v>0</v>
      </c>
    </row>
    <row r="79" spans="1:5">
      <c r="A79" s="12">
        <f>'Group Fluoride'!A78</f>
        <v>0</v>
      </c>
      <c r="B79" s="12">
        <f>'Group Fluoride'!D78</f>
        <v>0</v>
      </c>
      <c r="C79" s="12">
        <f>'Group Fluoride'!E78</f>
        <v>0</v>
      </c>
      <c r="D79" s="12">
        <f>'Group Fluoride'!F78</f>
        <v>0</v>
      </c>
      <c r="E79" s="76">
        <f>'Group Fluoride'!G78</f>
        <v>0</v>
      </c>
    </row>
    <row r="80" spans="1:5">
      <c r="A80" s="12">
        <f>'Group Fluoride'!A79</f>
        <v>0</v>
      </c>
      <c r="B80" s="12">
        <f>'Group Fluoride'!D79</f>
        <v>0</v>
      </c>
      <c r="C80" s="12">
        <f>'Group Fluoride'!E79</f>
        <v>0</v>
      </c>
      <c r="D80" s="12">
        <f>'Group Fluoride'!F79</f>
        <v>0</v>
      </c>
      <c r="E80" s="76">
        <f>'Group Fluoride'!G79</f>
        <v>0</v>
      </c>
    </row>
    <row r="81" spans="1:5">
      <c r="A81" s="12">
        <f>'Group Fluoride'!A80</f>
        <v>0</v>
      </c>
      <c r="B81" s="12">
        <f>'Group Fluoride'!D80</f>
        <v>0</v>
      </c>
      <c r="C81" s="12">
        <f>'Group Fluoride'!E80</f>
        <v>0</v>
      </c>
      <c r="D81" s="12">
        <f>'Group Fluoride'!F80</f>
        <v>0</v>
      </c>
      <c r="E81" s="76">
        <f>'Group Fluoride'!G80</f>
        <v>0</v>
      </c>
    </row>
    <row r="82" spans="1:5">
      <c r="A82" s="12">
        <f>'Group Fluoride'!A81</f>
        <v>0</v>
      </c>
      <c r="B82" s="12">
        <f>'Group Fluoride'!D81</f>
        <v>0</v>
      </c>
      <c r="C82" s="12">
        <f>'Group Fluoride'!E81</f>
        <v>0</v>
      </c>
      <c r="D82" s="12">
        <f>'Group Fluoride'!F81</f>
        <v>0</v>
      </c>
      <c r="E82" s="76">
        <f>'Group Fluoride'!G81</f>
        <v>0</v>
      </c>
    </row>
    <row r="83" spans="1:5">
      <c r="A83" s="12">
        <f>'Group Fluoride'!A82</f>
        <v>0</v>
      </c>
      <c r="B83" s="12">
        <f>'Group Fluoride'!D82</f>
        <v>0</v>
      </c>
      <c r="C83" s="12">
        <f>'Group Fluoride'!E82</f>
        <v>0</v>
      </c>
      <c r="D83" s="12">
        <f>'Group Fluoride'!F82</f>
        <v>0</v>
      </c>
      <c r="E83" s="76">
        <f>'Group Fluoride'!G82</f>
        <v>0</v>
      </c>
    </row>
    <row r="84" spans="1:5">
      <c r="A84" s="12">
        <f>'Group Fluoride'!A83</f>
        <v>0</v>
      </c>
      <c r="B84" s="12">
        <f>'Group Fluoride'!D83</f>
        <v>0</v>
      </c>
      <c r="C84" s="12">
        <f>'Group Fluoride'!E83</f>
        <v>0</v>
      </c>
      <c r="D84" s="12">
        <f>'Group Fluoride'!F83</f>
        <v>0</v>
      </c>
      <c r="E84" s="76">
        <f>'Group Fluoride'!G83</f>
        <v>0</v>
      </c>
    </row>
    <row r="85" spans="1:5">
      <c r="A85" s="12">
        <f>'Group Fluoride'!A84</f>
        <v>0</v>
      </c>
      <c r="B85" s="12">
        <f>'Group Fluoride'!D84</f>
        <v>0</v>
      </c>
      <c r="C85" s="12">
        <f>'Group Fluoride'!E84</f>
        <v>0</v>
      </c>
      <c r="D85" s="12">
        <f>'Group Fluoride'!F84</f>
        <v>0</v>
      </c>
      <c r="E85" s="76">
        <f>'Group Fluoride'!G84</f>
        <v>0</v>
      </c>
    </row>
    <row r="86" spans="1:5">
      <c r="A86" s="12">
        <f>'Group Fluoride'!A85</f>
        <v>0</v>
      </c>
      <c r="B86" s="12">
        <f>'Group Fluoride'!D85</f>
        <v>0</v>
      </c>
      <c r="C86" s="12">
        <f>'Group Fluoride'!E85</f>
        <v>0</v>
      </c>
      <c r="D86" s="12">
        <f>'Group Fluoride'!F85</f>
        <v>0</v>
      </c>
      <c r="E86" s="76">
        <f>'Group Fluoride'!G85</f>
        <v>0</v>
      </c>
    </row>
    <row r="87" spans="1:5">
      <c r="A87" s="12">
        <f>'Group Fluoride'!A86</f>
        <v>0</v>
      </c>
      <c r="B87" s="12">
        <f>'Group Fluoride'!D86</f>
        <v>0</v>
      </c>
      <c r="C87" s="12">
        <f>'Group Fluoride'!E86</f>
        <v>0</v>
      </c>
      <c r="D87" s="12">
        <f>'Group Fluoride'!F86</f>
        <v>0</v>
      </c>
      <c r="E87" s="76">
        <f>'Group Fluoride'!G86</f>
        <v>0</v>
      </c>
    </row>
    <row r="88" spans="1:5">
      <c r="A88" s="12">
        <f>'Group Fluoride'!A87</f>
        <v>0</v>
      </c>
      <c r="B88" s="12">
        <f>'Group Fluoride'!D87</f>
        <v>0</v>
      </c>
      <c r="C88" s="12">
        <f>'Group Fluoride'!E87</f>
        <v>0</v>
      </c>
      <c r="D88" s="12">
        <f>'Group Fluoride'!F87</f>
        <v>0</v>
      </c>
      <c r="E88" s="76">
        <f>'Group Fluoride'!G87</f>
        <v>0</v>
      </c>
    </row>
    <row r="89" spans="1:5">
      <c r="A89" s="12">
        <f>'Group Fluoride'!A88</f>
        <v>0</v>
      </c>
      <c r="B89" s="12">
        <f>'Group Fluoride'!D88</f>
        <v>0</v>
      </c>
      <c r="C89" s="12">
        <f>'Group Fluoride'!E88</f>
        <v>0</v>
      </c>
      <c r="D89" s="12">
        <f>'Group Fluoride'!F88</f>
        <v>0</v>
      </c>
      <c r="E89" s="76">
        <f>'Group Fluoride'!G88</f>
        <v>0</v>
      </c>
    </row>
    <row r="90" spans="1:5">
      <c r="A90" s="12">
        <f>'Group Fluoride'!A89</f>
        <v>0</v>
      </c>
      <c r="B90" s="12">
        <f>'Group Fluoride'!D89</f>
        <v>0</v>
      </c>
      <c r="C90" s="12">
        <f>'Group Fluoride'!E89</f>
        <v>0</v>
      </c>
      <c r="D90" s="12">
        <f>'Group Fluoride'!F89</f>
        <v>0</v>
      </c>
      <c r="E90" s="76">
        <f>'Group Fluoride'!G89</f>
        <v>0</v>
      </c>
    </row>
    <row r="91" spans="1:5">
      <c r="A91" s="12">
        <f>'Group Fluoride'!A90</f>
        <v>0</v>
      </c>
      <c r="B91" s="12">
        <f>'Group Fluoride'!D90</f>
        <v>0</v>
      </c>
      <c r="C91" s="12">
        <f>'Group Fluoride'!E90</f>
        <v>0</v>
      </c>
      <c r="D91" s="12">
        <f>'Group Fluoride'!F90</f>
        <v>0</v>
      </c>
      <c r="E91" s="76">
        <f>'Group Fluoride'!G90</f>
        <v>0</v>
      </c>
    </row>
    <row r="92" spans="1:5">
      <c r="A92" s="12">
        <f>'Group Fluoride'!A91</f>
        <v>0</v>
      </c>
      <c r="B92" s="12">
        <f>'Group Fluoride'!D91</f>
        <v>0</v>
      </c>
      <c r="C92" s="12">
        <f>'Group Fluoride'!E91</f>
        <v>0</v>
      </c>
      <c r="D92" s="12">
        <f>'Group Fluoride'!F91</f>
        <v>0</v>
      </c>
      <c r="E92" s="76">
        <f>'Group Fluoride'!G91</f>
        <v>0</v>
      </c>
    </row>
    <row r="93" spans="1:5">
      <c r="A93" s="12">
        <f>'Group Fluoride'!A92</f>
        <v>0</v>
      </c>
      <c r="B93" s="12">
        <f>'Group Fluoride'!D92</f>
        <v>0</v>
      </c>
      <c r="C93" s="12">
        <f>'Group Fluoride'!E92</f>
        <v>0</v>
      </c>
      <c r="D93" s="12">
        <f>'Group Fluoride'!F92</f>
        <v>0</v>
      </c>
      <c r="E93" s="76">
        <f>'Group Fluoride'!G92</f>
        <v>0</v>
      </c>
    </row>
    <row r="94" spans="1:5">
      <c r="A94" s="12">
        <f>'Group Fluoride'!A93</f>
        <v>0</v>
      </c>
      <c r="B94" s="12">
        <f>'Group Fluoride'!D93</f>
        <v>0</v>
      </c>
      <c r="C94" s="12">
        <f>'Group Fluoride'!E93</f>
        <v>0</v>
      </c>
      <c r="D94" s="12">
        <f>'Group Fluoride'!F93</f>
        <v>0</v>
      </c>
      <c r="E94" s="76">
        <f>'Group Fluoride'!G93</f>
        <v>0</v>
      </c>
    </row>
    <row r="95" spans="1:5">
      <c r="A95" s="12">
        <f>'Group Fluoride'!A94</f>
        <v>0</v>
      </c>
      <c r="B95" s="12">
        <f>'Group Fluoride'!D94</f>
        <v>0</v>
      </c>
      <c r="C95" s="12">
        <f>'Group Fluoride'!E94</f>
        <v>0</v>
      </c>
      <c r="D95" s="12">
        <f>'Group Fluoride'!F94</f>
        <v>0</v>
      </c>
      <c r="E95" s="76">
        <f>'Group Fluoride'!G94</f>
        <v>0</v>
      </c>
    </row>
    <row r="96" spans="1:5">
      <c r="A96" s="12">
        <f>'Group Fluoride'!A95</f>
        <v>0</v>
      </c>
      <c r="B96" s="12">
        <f>'Group Fluoride'!D95</f>
        <v>0</v>
      </c>
      <c r="C96" s="12">
        <f>'Group Fluoride'!E95</f>
        <v>0</v>
      </c>
      <c r="D96" s="12">
        <f>'Group Fluoride'!F95</f>
        <v>0</v>
      </c>
      <c r="E96" s="76">
        <f>'Group Fluoride'!G95</f>
        <v>0</v>
      </c>
    </row>
    <row r="97" spans="1:5">
      <c r="A97" s="12">
        <f>'Group Fluoride'!A96</f>
        <v>0</v>
      </c>
      <c r="B97" s="12">
        <f>'Group Fluoride'!D96</f>
        <v>0</v>
      </c>
      <c r="C97" s="12">
        <f>'Group Fluoride'!E96</f>
        <v>0</v>
      </c>
      <c r="D97" s="12">
        <f>'Group Fluoride'!F96</f>
        <v>0</v>
      </c>
      <c r="E97" s="76">
        <f>'Group Fluoride'!G96</f>
        <v>0</v>
      </c>
    </row>
    <row r="98" spans="1:5">
      <c r="A98" s="12">
        <f>'Group Fluoride'!A97</f>
        <v>0</v>
      </c>
      <c r="B98" s="12">
        <f>'Group Fluoride'!D97</f>
        <v>0</v>
      </c>
      <c r="C98" s="12">
        <f>'Group Fluoride'!E97</f>
        <v>0</v>
      </c>
      <c r="D98" s="12">
        <f>'Group Fluoride'!F97</f>
        <v>0</v>
      </c>
      <c r="E98" s="76">
        <f>'Group Fluoride'!G97</f>
        <v>0</v>
      </c>
    </row>
    <row r="99" spans="1:5">
      <c r="A99" s="12">
        <f>'Group Fluoride'!A98</f>
        <v>0</v>
      </c>
      <c r="B99" s="12">
        <f>'Group Fluoride'!D98</f>
        <v>0</v>
      </c>
      <c r="C99" s="12">
        <f>'Group Fluoride'!E98</f>
        <v>0</v>
      </c>
      <c r="D99" s="12">
        <f>'Group Fluoride'!F98</f>
        <v>0</v>
      </c>
      <c r="E99" s="76">
        <f>'Group Fluoride'!G98</f>
        <v>0</v>
      </c>
    </row>
    <row r="100" spans="1:5">
      <c r="A100" s="12">
        <f>'Group Fluoride'!A99</f>
        <v>0</v>
      </c>
      <c r="B100" s="12">
        <f>'Group Fluoride'!D99</f>
        <v>0</v>
      </c>
      <c r="C100" s="12">
        <f>'Group Fluoride'!E99</f>
        <v>0</v>
      </c>
      <c r="D100" s="12">
        <f>'Group Fluoride'!F99</f>
        <v>0</v>
      </c>
      <c r="E100" s="76">
        <f>'Group Fluoride'!G99</f>
        <v>0</v>
      </c>
    </row>
    <row r="101" spans="1:5">
      <c r="A101" s="12">
        <f>'Group Fluoride'!A100</f>
        <v>0</v>
      </c>
      <c r="B101" s="12">
        <f>'Group Fluoride'!D100</f>
        <v>0</v>
      </c>
      <c r="C101" s="12">
        <f>'Group Fluoride'!E100</f>
        <v>0</v>
      </c>
      <c r="D101" s="12">
        <f>'Group Fluoride'!F100</f>
        <v>0</v>
      </c>
      <c r="E101" s="76">
        <f>'Group Fluoride'!G100</f>
        <v>0</v>
      </c>
    </row>
    <row r="102" spans="1:5">
      <c r="A102" s="12">
        <f>'Group Fluoride'!A101</f>
        <v>0</v>
      </c>
      <c r="B102" s="12">
        <f>'Group Fluoride'!D101</f>
        <v>0</v>
      </c>
      <c r="C102" s="12">
        <f>'Group Fluoride'!E101</f>
        <v>0</v>
      </c>
      <c r="D102" s="12">
        <f>'Group Fluoride'!F101</f>
        <v>0</v>
      </c>
      <c r="E102" s="76">
        <f>'Group Fluoride'!G101</f>
        <v>0</v>
      </c>
    </row>
    <row r="103" spans="1:5">
      <c r="A103" s="12">
        <f>'Group Fluoride'!A102</f>
        <v>0</v>
      </c>
      <c r="B103" s="12">
        <f>'Group Fluoride'!D102</f>
        <v>0</v>
      </c>
      <c r="C103" s="12">
        <f>'Group Fluoride'!E102</f>
        <v>0</v>
      </c>
      <c r="D103" s="12">
        <f>'Group Fluoride'!F102</f>
        <v>0</v>
      </c>
      <c r="E103" s="76">
        <f>'Group Fluoride'!G102</f>
        <v>0</v>
      </c>
    </row>
    <row r="104" spans="1:5">
      <c r="A104" s="12">
        <f>'Group Fluoride'!A103</f>
        <v>0</v>
      </c>
      <c r="B104" s="12">
        <f>'Group Fluoride'!D103</f>
        <v>0</v>
      </c>
      <c r="C104" s="12">
        <f>'Group Fluoride'!E103</f>
        <v>0</v>
      </c>
      <c r="D104" s="12">
        <f>'Group Fluoride'!F103</f>
        <v>0</v>
      </c>
      <c r="E104" s="76">
        <f>'Group Fluoride'!G103</f>
        <v>0</v>
      </c>
    </row>
    <row r="105" spans="1:5">
      <c r="A105" s="12">
        <f>'Group Fluoride'!A104</f>
        <v>0</v>
      </c>
      <c r="B105" s="12">
        <f>'Group Fluoride'!D104</f>
        <v>0</v>
      </c>
      <c r="C105" s="12">
        <f>'Group Fluoride'!E104</f>
        <v>0</v>
      </c>
      <c r="D105" s="12">
        <f>'Group Fluoride'!F104</f>
        <v>0</v>
      </c>
      <c r="E105" s="76">
        <f>'Group Fluoride'!G104</f>
        <v>0</v>
      </c>
    </row>
    <row r="106" spans="1:5">
      <c r="A106" s="12">
        <f>'Group Fluoride'!A105</f>
        <v>0</v>
      </c>
      <c r="B106" s="12">
        <f>'Group Fluoride'!D105</f>
        <v>0</v>
      </c>
      <c r="C106" s="12">
        <f>'Group Fluoride'!E105</f>
        <v>0</v>
      </c>
      <c r="D106" s="12">
        <f>'Group Fluoride'!F105</f>
        <v>0</v>
      </c>
      <c r="E106" s="76">
        <f>'Group Fluoride'!G105</f>
        <v>0</v>
      </c>
    </row>
    <row r="107" spans="1:5">
      <c r="A107" s="12">
        <f>'Group Fluoride'!A106</f>
        <v>0</v>
      </c>
      <c r="B107" s="12">
        <f>'Group Fluoride'!D106</f>
        <v>0</v>
      </c>
      <c r="C107" s="12">
        <f>'Group Fluoride'!E106</f>
        <v>0</v>
      </c>
      <c r="D107" s="12">
        <f>'Group Fluoride'!F106</f>
        <v>0</v>
      </c>
      <c r="E107" s="76">
        <f>'Group Fluoride'!G106</f>
        <v>0</v>
      </c>
    </row>
    <row r="108" spans="1:5">
      <c r="A108" s="12">
        <f>'Group Fluoride'!A107</f>
        <v>0</v>
      </c>
      <c r="B108" s="12">
        <f>'Group Fluoride'!D107</f>
        <v>0</v>
      </c>
      <c r="C108" s="12">
        <f>'Group Fluoride'!E107</f>
        <v>0</v>
      </c>
      <c r="D108" s="12">
        <f>'Group Fluoride'!F107</f>
        <v>0</v>
      </c>
      <c r="E108" s="76">
        <f>'Group Fluoride'!G107</f>
        <v>0</v>
      </c>
    </row>
    <row r="109" spans="1:5">
      <c r="A109" s="12">
        <f>'Group Fluoride'!A108</f>
        <v>0</v>
      </c>
      <c r="B109" s="12">
        <f>'Group Fluoride'!D108</f>
        <v>0</v>
      </c>
      <c r="C109" s="12">
        <f>'Group Fluoride'!E108</f>
        <v>0</v>
      </c>
      <c r="D109" s="12">
        <f>'Group Fluoride'!F108</f>
        <v>0</v>
      </c>
      <c r="E109" s="76">
        <f>'Group Fluoride'!G108</f>
        <v>0</v>
      </c>
    </row>
    <row r="110" spans="1:5">
      <c r="A110" s="12">
        <f>'Group Fluoride'!A109</f>
        <v>0</v>
      </c>
      <c r="B110" s="12">
        <f>'Group Fluoride'!D109</f>
        <v>0</v>
      </c>
      <c r="C110" s="12">
        <f>'Group Fluoride'!E109</f>
        <v>0</v>
      </c>
      <c r="D110" s="12">
        <f>'Group Fluoride'!F109</f>
        <v>0</v>
      </c>
      <c r="E110" s="76">
        <f>'Group Fluoride'!G109</f>
        <v>0</v>
      </c>
    </row>
    <row r="111" spans="1:5">
      <c r="A111" s="12">
        <f>'Group Fluoride'!A110</f>
        <v>0</v>
      </c>
      <c r="B111" s="12">
        <f>'Group Fluoride'!D110</f>
        <v>0</v>
      </c>
      <c r="C111" s="12">
        <f>'Group Fluoride'!E110</f>
        <v>0</v>
      </c>
      <c r="D111" s="12">
        <f>'Group Fluoride'!F110</f>
        <v>0</v>
      </c>
      <c r="E111" s="76">
        <f>'Group Fluoride'!G110</f>
        <v>0</v>
      </c>
    </row>
    <row r="112" spans="1:5">
      <c r="A112" s="12">
        <f>'Group Fluoride'!A111</f>
        <v>0</v>
      </c>
      <c r="B112" s="12">
        <f>'Group Fluoride'!D111</f>
        <v>0</v>
      </c>
      <c r="C112" s="12">
        <f>'Group Fluoride'!E111</f>
        <v>0</v>
      </c>
      <c r="D112" s="12">
        <f>'Group Fluoride'!F111</f>
        <v>0</v>
      </c>
      <c r="E112" s="76">
        <f>'Group Fluoride'!G111</f>
        <v>0</v>
      </c>
    </row>
    <row r="113" spans="1:5">
      <c r="A113" s="12">
        <f>'Group Fluoride'!A112</f>
        <v>0</v>
      </c>
      <c r="B113" s="12">
        <f>'Group Fluoride'!D112</f>
        <v>0</v>
      </c>
      <c r="C113" s="12">
        <f>'Group Fluoride'!E112</f>
        <v>0</v>
      </c>
      <c r="D113" s="12">
        <f>'Group Fluoride'!F112</f>
        <v>0</v>
      </c>
      <c r="E113" s="76">
        <f>'Group Fluoride'!G112</f>
        <v>0</v>
      </c>
    </row>
    <row r="114" spans="1:5">
      <c r="A114" s="12">
        <f>'Group Fluoride'!A113</f>
        <v>0</v>
      </c>
      <c r="B114" s="12">
        <f>'Group Fluoride'!D113</f>
        <v>0</v>
      </c>
      <c r="C114" s="12">
        <f>'Group Fluoride'!E113</f>
        <v>0</v>
      </c>
      <c r="D114" s="12">
        <f>'Group Fluoride'!F113</f>
        <v>0</v>
      </c>
      <c r="E114" s="76">
        <f>'Group Fluoride'!G113</f>
        <v>0</v>
      </c>
    </row>
    <row r="115" spans="1:5">
      <c r="A115" s="12">
        <f>'Group Fluoride'!A114</f>
        <v>0</v>
      </c>
      <c r="B115" s="12">
        <f>'Group Fluoride'!D114</f>
        <v>0</v>
      </c>
      <c r="C115" s="12">
        <f>'Group Fluoride'!E114</f>
        <v>0</v>
      </c>
      <c r="D115" s="12">
        <f>'Group Fluoride'!F114</f>
        <v>0</v>
      </c>
      <c r="E115" s="76">
        <f>'Group Fluoride'!G114</f>
        <v>0</v>
      </c>
    </row>
    <row r="116" spans="1:5">
      <c r="A116" s="12">
        <f>'Group Fluoride'!A115</f>
        <v>0</v>
      </c>
      <c r="B116" s="12">
        <f>'Group Fluoride'!D115</f>
        <v>0</v>
      </c>
      <c r="C116" s="12">
        <f>'Group Fluoride'!E115</f>
        <v>0</v>
      </c>
      <c r="D116" s="12">
        <f>'Group Fluoride'!F115</f>
        <v>0</v>
      </c>
      <c r="E116" s="76">
        <f>'Group Fluoride'!G115</f>
        <v>0</v>
      </c>
    </row>
    <row r="117" spans="1:5">
      <c r="A117" s="12">
        <f>'Group Fluoride'!A116</f>
        <v>0</v>
      </c>
      <c r="B117" s="12">
        <f>'Group Fluoride'!D116</f>
        <v>0</v>
      </c>
      <c r="C117" s="12">
        <f>'Group Fluoride'!E116</f>
        <v>0</v>
      </c>
      <c r="D117" s="12">
        <f>'Group Fluoride'!F116</f>
        <v>0</v>
      </c>
      <c r="E117" s="76">
        <f>'Group Fluoride'!G116</f>
        <v>0</v>
      </c>
    </row>
    <row r="118" spans="1:5">
      <c r="A118" s="12">
        <f>'Group Fluoride'!A117</f>
        <v>0</v>
      </c>
      <c r="B118" s="12">
        <f>'Group Fluoride'!D117</f>
        <v>0</v>
      </c>
      <c r="C118" s="12">
        <f>'Group Fluoride'!E117</f>
        <v>0</v>
      </c>
      <c r="D118" s="12">
        <f>'Group Fluoride'!F117</f>
        <v>0</v>
      </c>
      <c r="E118" s="76">
        <f>'Group Fluoride'!G117</f>
        <v>0</v>
      </c>
    </row>
    <row r="119" spans="1:5">
      <c r="A119" s="12">
        <f>'Group Fluoride'!A118</f>
        <v>0</v>
      </c>
      <c r="B119" s="12">
        <f>'Group Fluoride'!D118</f>
        <v>0</v>
      </c>
      <c r="C119" s="12">
        <f>'Group Fluoride'!E118</f>
        <v>0</v>
      </c>
      <c r="D119" s="12">
        <f>'Group Fluoride'!F118</f>
        <v>0</v>
      </c>
      <c r="E119" s="76">
        <f>'Group Fluoride'!G118</f>
        <v>0</v>
      </c>
    </row>
    <row r="120" spans="1:5">
      <c r="A120" s="12">
        <f>'Group Fluoride'!A119</f>
        <v>0</v>
      </c>
      <c r="B120" s="12">
        <f>'Group Fluoride'!D119</f>
        <v>0</v>
      </c>
      <c r="C120" s="12">
        <f>'Group Fluoride'!E119</f>
        <v>0</v>
      </c>
      <c r="D120" s="12">
        <f>'Group Fluoride'!F119</f>
        <v>0</v>
      </c>
      <c r="E120" s="76">
        <f>'Group Fluoride'!G119</f>
        <v>0</v>
      </c>
    </row>
    <row r="121" spans="1:5">
      <c r="A121" s="12">
        <f>'Group Fluoride'!A120</f>
        <v>0</v>
      </c>
      <c r="B121" s="12">
        <f>'Group Fluoride'!D120</f>
        <v>0</v>
      </c>
      <c r="C121" s="12">
        <f>'Group Fluoride'!E120</f>
        <v>0</v>
      </c>
      <c r="D121" s="12">
        <f>'Group Fluoride'!F120</f>
        <v>0</v>
      </c>
      <c r="E121" s="76">
        <f>'Group Fluoride'!G120</f>
        <v>0</v>
      </c>
    </row>
    <row r="122" spans="1:5">
      <c r="A122" s="12">
        <f>'Group Fluoride'!A121</f>
        <v>0</v>
      </c>
      <c r="B122" s="12">
        <f>'Group Fluoride'!D121</f>
        <v>0</v>
      </c>
      <c r="C122" s="12">
        <f>'Group Fluoride'!E121</f>
        <v>0</v>
      </c>
      <c r="D122" s="12">
        <f>'Group Fluoride'!F121</f>
        <v>0</v>
      </c>
      <c r="E122" s="76">
        <f>'Group Fluoride'!G121</f>
        <v>0</v>
      </c>
    </row>
    <row r="123" spans="1:5">
      <c r="A123" s="12">
        <f>'Group Fluoride'!A122</f>
        <v>0</v>
      </c>
      <c r="B123" s="12">
        <f>'Group Fluoride'!D122</f>
        <v>0</v>
      </c>
      <c r="C123" s="12">
        <f>'Group Fluoride'!E122</f>
        <v>0</v>
      </c>
      <c r="D123" s="12">
        <f>'Group Fluoride'!F122</f>
        <v>0</v>
      </c>
      <c r="E123" s="76">
        <f>'Group Fluoride'!G122</f>
        <v>0</v>
      </c>
    </row>
    <row r="124" spans="1:5">
      <c r="A124" s="12">
        <f>'Group Fluoride'!A123</f>
        <v>0</v>
      </c>
      <c r="B124" s="12">
        <f>'Group Fluoride'!D123</f>
        <v>0</v>
      </c>
      <c r="C124" s="12">
        <f>'Group Fluoride'!E123</f>
        <v>0</v>
      </c>
      <c r="D124" s="12">
        <f>'Group Fluoride'!F123</f>
        <v>0</v>
      </c>
      <c r="E124" s="76">
        <f>'Group Fluoride'!G123</f>
        <v>0</v>
      </c>
    </row>
    <row r="125" spans="1:5">
      <c r="A125" s="12">
        <f>'Group Fluoride'!A124</f>
        <v>0</v>
      </c>
      <c r="B125" s="12">
        <f>'Group Fluoride'!D124</f>
        <v>0</v>
      </c>
      <c r="C125" s="12">
        <f>'Group Fluoride'!E124</f>
        <v>0</v>
      </c>
      <c r="D125" s="12">
        <f>'Group Fluoride'!F124</f>
        <v>0</v>
      </c>
      <c r="E125" s="76">
        <f>'Group Fluoride'!G124</f>
        <v>0</v>
      </c>
    </row>
    <row r="126" spans="1:5">
      <c r="A126" s="12">
        <f>'Group Fluoride'!A125</f>
        <v>0</v>
      </c>
      <c r="B126" s="12">
        <f>'Group Fluoride'!D125</f>
        <v>0</v>
      </c>
      <c r="C126" s="12">
        <f>'Group Fluoride'!E125</f>
        <v>0</v>
      </c>
      <c r="D126" s="12">
        <f>'Group Fluoride'!F125</f>
        <v>0</v>
      </c>
      <c r="E126" s="76">
        <f>'Group Fluoride'!G125</f>
        <v>0</v>
      </c>
    </row>
    <row r="127" spans="1:5">
      <c r="A127" s="12">
        <f>'Group Fluoride'!A126</f>
        <v>0</v>
      </c>
      <c r="B127" s="12">
        <f>'Group Fluoride'!D126</f>
        <v>0</v>
      </c>
      <c r="C127" s="12">
        <f>'Group Fluoride'!E126</f>
        <v>0</v>
      </c>
      <c r="D127" s="12">
        <f>'Group Fluoride'!F126</f>
        <v>0</v>
      </c>
      <c r="E127" s="76">
        <f>'Group Fluoride'!G126</f>
        <v>0</v>
      </c>
    </row>
    <row r="128" spans="1:5">
      <c r="A128" s="12">
        <f>'Group Fluoride'!A127</f>
        <v>0</v>
      </c>
      <c r="B128" s="12">
        <f>'Group Fluoride'!D127</f>
        <v>0</v>
      </c>
      <c r="C128" s="12">
        <f>'Group Fluoride'!E127</f>
        <v>0</v>
      </c>
      <c r="D128" s="12">
        <f>'Group Fluoride'!F127</f>
        <v>0</v>
      </c>
      <c r="E128" s="76">
        <f>'Group Fluoride'!G127</f>
        <v>0</v>
      </c>
    </row>
    <row r="129" spans="1:5">
      <c r="A129" s="12">
        <f>'Group Fluoride'!A128</f>
        <v>0</v>
      </c>
      <c r="B129" s="12">
        <f>'Group Fluoride'!D128</f>
        <v>0</v>
      </c>
      <c r="C129" s="12">
        <f>'Group Fluoride'!E128</f>
        <v>0</v>
      </c>
      <c r="D129" s="12">
        <f>'Group Fluoride'!F128</f>
        <v>0</v>
      </c>
      <c r="E129" s="76">
        <f>'Group Fluoride'!G128</f>
        <v>0</v>
      </c>
    </row>
    <row r="130" spans="1:5">
      <c r="A130" s="12">
        <f>'Group Fluoride'!A129</f>
        <v>0</v>
      </c>
      <c r="B130" s="12">
        <f>'Group Fluoride'!D129</f>
        <v>0</v>
      </c>
      <c r="C130" s="12">
        <f>'Group Fluoride'!E129</f>
        <v>0</v>
      </c>
      <c r="D130" s="12">
        <f>'Group Fluoride'!F129</f>
        <v>0</v>
      </c>
      <c r="E130" s="76">
        <f>'Group Fluoride'!G129</f>
        <v>0</v>
      </c>
    </row>
    <row r="131" spans="1:5">
      <c r="A131" s="12">
        <f>'Group Fluoride'!A130</f>
        <v>0</v>
      </c>
      <c r="B131" s="12">
        <f>'Group Fluoride'!D130</f>
        <v>0</v>
      </c>
      <c r="C131" s="12">
        <f>'Group Fluoride'!E130</f>
        <v>0</v>
      </c>
      <c r="D131" s="12">
        <f>'Group Fluoride'!F130</f>
        <v>0</v>
      </c>
      <c r="E131" s="76">
        <f>'Group Fluoride'!G130</f>
        <v>0</v>
      </c>
    </row>
    <row r="132" spans="1:5">
      <c r="A132" s="12">
        <f>'Group Fluoride'!A131</f>
        <v>0</v>
      </c>
      <c r="B132" s="12">
        <f>'Group Fluoride'!D131</f>
        <v>0</v>
      </c>
      <c r="C132" s="12">
        <f>'Group Fluoride'!E131</f>
        <v>0</v>
      </c>
      <c r="D132" s="12">
        <f>'Group Fluoride'!F131</f>
        <v>0</v>
      </c>
      <c r="E132" s="76">
        <f>'Group Fluoride'!G131</f>
        <v>0</v>
      </c>
    </row>
    <row r="133" spans="1:5">
      <c r="A133" s="12">
        <f>'Group Fluoride'!A132</f>
        <v>0</v>
      </c>
      <c r="B133" s="12">
        <f>'Group Fluoride'!D132</f>
        <v>0</v>
      </c>
      <c r="C133" s="12">
        <f>'Group Fluoride'!E132</f>
        <v>0</v>
      </c>
      <c r="D133" s="12">
        <f>'Group Fluoride'!F132</f>
        <v>0</v>
      </c>
      <c r="E133" s="76">
        <f>'Group Fluoride'!G132</f>
        <v>0</v>
      </c>
    </row>
    <row r="134" spans="1:5">
      <c r="A134" s="12">
        <f>'Group Fluoride'!A133</f>
        <v>0</v>
      </c>
      <c r="B134" s="12">
        <f>'Group Fluoride'!D133</f>
        <v>0</v>
      </c>
      <c r="C134" s="12">
        <f>'Group Fluoride'!E133</f>
        <v>0</v>
      </c>
      <c r="D134" s="12">
        <f>'Group Fluoride'!F133</f>
        <v>0</v>
      </c>
      <c r="E134" s="76">
        <f>'Group Fluoride'!G133</f>
        <v>0</v>
      </c>
    </row>
    <row r="135" spans="1:5">
      <c r="A135" s="12">
        <f>'Group Fluoride'!A134</f>
        <v>0</v>
      </c>
      <c r="B135" s="12">
        <f>'Group Fluoride'!D134</f>
        <v>0</v>
      </c>
      <c r="C135" s="12">
        <f>'Group Fluoride'!E134</f>
        <v>0</v>
      </c>
      <c r="D135" s="12">
        <f>'Group Fluoride'!F134</f>
        <v>0</v>
      </c>
      <c r="E135" s="76">
        <f>'Group Fluoride'!G134</f>
        <v>0</v>
      </c>
    </row>
    <row r="136" spans="1:5">
      <c r="A136" s="12">
        <f>'Group Fluoride'!A135</f>
        <v>0</v>
      </c>
      <c r="B136" s="12">
        <f>'Group Fluoride'!D135</f>
        <v>0</v>
      </c>
      <c r="C136" s="12">
        <f>'Group Fluoride'!E135</f>
        <v>0</v>
      </c>
      <c r="D136" s="12">
        <f>'Group Fluoride'!F135</f>
        <v>0</v>
      </c>
      <c r="E136" s="76">
        <f>'Group Fluoride'!G135</f>
        <v>0</v>
      </c>
    </row>
    <row r="137" spans="1:5">
      <c r="A137" s="12">
        <f>'Group Fluoride'!A136</f>
        <v>0</v>
      </c>
      <c r="B137" s="12">
        <f>'Group Fluoride'!D136</f>
        <v>0</v>
      </c>
      <c r="C137" s="12">
        <f>'Group Fluoride'!E136</f>
        <v>0</v>
      </c>
      <c r="D137" s="12">
        <f>'Group Fluoride'!F136</f>
        <v>0</v>
      </c>
      <c r="E137" s="76">
        <f>'Group Fluoride'!G136</f>
        <v>0</v>
      </c>
    </row>
    <row r="138" spans="1:5">
      <c r="A138" s="12">
        <f>'Group Fluoride'!A137</f>
        <v>0</v>
      </c>
      <c r="B138" s="12">
        <f>'Group Fluoride'!D137</f>
        <v>0</v>
      </c>
      <c r="C138" s="12">
        <f>'Group Fluoride'!E137</f>
        <v>0</v>
      </c>
      <c r="D138" s="12">
        <f>'Group Fluoride'!F137</f>
        <v>0</v>
      </c>
      <c r="E138" s="76">
        <f>'Group Fluoride'!G137</f>
        <v>0</v>
      </c>
    </row>
    <row r="139" spans="1:5">
      <c r="A139" s="12">
        <f>'Group Fluoride'!A138</f>
        <v>0</v>
      </c>
      <c r="B139" s="12">
        <f>'Group Fluoride'!D138</f>
        <v>0</v>
      </c>
      <c r="C139" s="12">
        <f>'Group Fluoride'!E138</f>
        <v>0</v>
      </c>
      <c r="D139" s="12">
        <f>'Group Fluoride'!F138</f>
        <v>0</v>
      </c>
      <c r="E139" s="76">
        <f>'Group Fluoride'!G138</f>
        <v>0</v>
      </c>
    </row>
    <row r="140" spans="1:5">
      <c r="A140" s="12">
        <f>'Group Fluoride'!A139</f>
        <v>0</v>
      </c>
      <c r="B140" s="12">
        <f>'Group Fluoride'!D139</f>
        <v>0</v>
      </c>
      <c r="C140" s="12">
        <f>'Group Fluoride'!E139</f>
        <v>0</v>
      </c>
      <c r="D140" s="12">
        <f>'Group Fluoride'!F139</f>
        <v>0</v>
      </c>
      <c r="E140" s="76">
        <f>'Group Fluoride'!G139</f>
        <v>0</v>
      </c>
    </row>
    <row r="141" spans="1:5">
      <c r="A141" s="12">
        <f>'Group Fluoride'!A140</f>
        <v>0</v>
      </c>
      <c r="B141" s="12">
        <f>'Group Fluoride'!D140</f>
        <v>0</v>
      </c>
      <c r="C141" s="12">
        <f>'Group Fluoride'!E140</f>
        <v>0</v>
      </c>
      <c r="D141" s="12">
        <f>'Group Fluoride'!F140</f>
        <v>0</v>
      </c>
      <c r="E141" s="76">
        <f>'Group Fluoride'!G140</f>
        <v>0</v>
      </c>
    </row>
    <row r="142" spans="1:5">
      <c r="A142" s="12">
        <f>'Group Fluoride'!A141</f>
        <v>0</v>
      </c>
      <c r="B142" s="12">
        <f>'Group Fluoride'!D141</f>
        <v>0</v>
      </c>
      <c r="C142" s="12">
        <f>'Group Fluoride'!E141</f>
        <v>0</v>
      </c>
      <c r="D142" s="12">
        <f>'Group Fluoride'!F141</f>
        <v>0</v>
      </c>
      <c r="E142" s="76">
        <f>'Group Fluoride'!G141</f>
        <v>0</v>
      </c>
    </row>
    <row r="143" spans="1:5">
      <c r="A143" s="12">
        <f>'Group Fluoride'!A142</f>
        <v>0</v>
      </c>
      <c r="B143" s="12">
        <f>'Group Fluoride'!D142</f>
        <v>0</v>
      </c>
      <c r="C143" s="12">
        <f>'Group Fluoride'!E142</f>
        <v>0</v>
      </c>
      <c r="D143" s="12">
        <f>'Group Fluoride'!F142</f>
        <v>0</v>
      </c>
      <c r="E143" s="76">
        <f>'Group Fluoride'!G142</f>
        <v>0</v>
      </c>
    </row>
    <row r="144" spans="1:5">
      <c r="A144" s="12">
        <f>'Group Fluoride'!A143</f>
        <v>0</v>
      </c>
      <c r="B144" s="12">
        <f>'Group Fluoride'!D143</f>
        <v>0</v>
      </c>
      <c r="C144" s="12">
        <f>'Group Fluoride'!E143</f>
        <v>0</v>
      </c>
      <c r="D144" s="12">
        <f>'Group Fluoride'!F143</f>
        <v>0</v>
      </c>
      <c r="E144" s="76">
        <f>'Group Fluoride'!G143</f>
        <v>0</v>
      </c>
    </row>
    <row r="145" spans="1:5">
      <c r="A145" s="12">
        <f>'Group Fluoride'!A144</f>
        <v>0</v>
      </c>
      <c r="B145" s="12">
        <f>'Group Fluoride'!D144</f>
        <v>0</v>
      </c>
      <c r="C145" s="12">
        <f>'Group Fluoride'!E144</f>
        <v>0</v>
      </c>
      <c r="D145" s="12">
        <f>'Group Fluoride'!F144</f>
        <v>0</v>
      </c>
      <c r="E145" s="76">
        <f>'Group Fluoride'!G144</f>
        <v>0</v>
      </c>
    </row>
    <row r="146" spans="1:5">
      <c r="A146" s="12">
        <f>'Group Fluoride'!A145</f>
        <v>0</v>
      </c>
      <c r="B146" s="12">
        <f>'Group Fluoride'!D145</f>
        <v>0</v>
      </c>
      <c r="C146" s="12">
        <f>'Group Fluoride'!E145</f>
        <v>0</v>
      </c>
      <c r="D146" s="12">
        <f>'Group Fluoride'!F145</f>
        <v>0</v>
      </c>
      <c r="E146" s="76">
        <f>'Group Fluoride'!G145</f>
        <v>0</v>
      </c>
    </row>
    <row r="147" spans="1:5">
      <c r="A147" s="12">
        <f>'Group Fluoride'!A146</f>
        <v>0</v>
      </c>
      <c r="B147" s="12">
        <f>'Group Fluoride'!D146</f>
        <v>0</v>
      </c>
      <c r="C147" s="12">
        <f>'Group Fluoride'!E146</f>
        <v>0</v>
      </c>
      <c r="D147" s="12">
        <f>'Group Fluoride'!F146</f>
        <v>0</v>
      </c>
      <c r="E147" s="76">
        <f>'Group Fluoride'!G146</f>
        <v>0</v>
      </c>
    </row>
    <row r="148" spans="1:5">
      <c r="A148" s="12">
        <f>'Group Fluoride'!A147</f>
        <v>0</v>
      </c>
      <c r="B148" s="12">
        <f>'Group Fluoride'!D147</f>
        <v>0</v>
      </c>
      <c r="C148" s="12">
        <f>'Group Fluoride'!E147</f>
        <v>0</v>
      </c>
      <c r="D148" s="12">
        <f>'Group Fluoride'!F147</f>
        <v>0</v>
      </c>
      <c r="E148" s="76">
        <f>'Group Fluoride'!G147</f>
        <v>0</v>
      </c>
    </row>
    <row r="149" spans="1:5">
      <c r="A149" s="12">
        <f>'Group Fluoride'!A148</f>
        <v>0</v>
      </c>
      <c r="B149" s="12">
        <f>'Group Fluoride'!D148</f>
        <v>0</v>
      </c>
      <c r="C149" s="12">
        <f>'Group Fluoride'!E148</f>
        <v>0</v>
      </c>
      <c r="D149" s="12">
        <f>'Group Fluoride'!F148</f>
        <v>0</v>
      </c>
      <c r="E149" s="76">
        <f>'Group Fluoride'!G148</f>
        <v>0</v>
      </c>
    </row>
    <row r="150" spans="1:5">
      <c r="A150" s="12">
        <f>'Group Fluoride'!A149</f>
        <v>0</v>
      </c>
      <c r="B150" s="12">
        <f>'Group Fluoride'!D149</f>
        <v>0</v>
      </c>
      <c r="C150" s="12">
        <f>'Group Fluoride'!E149</f>
        <v>0</v>
      </c>
      <c r="D150" s="12">
        <f>'Group Fluoride'!F149</f>
        <v>0</v>
      </c>
      <c r="E150" s="76">
        <f>'Group Fluoride'!G149</f>
        <v>0</v>
      </c>
    </row>
    <row r="151" spans="1:5">
      <c r="A151" s="12">
        <f>'Group Fluoride'!A150</f>
        <v>0</v>
      </c>
      <c r="B151" s="12">
        <f>'Group Fluoride'!D150</f>
        <v>0</v>
      </c>
      <c r="C151" s="12">
        <f>'Group Fluoride'!E150</f>
        <v>0</v>
      </c>
      <c r="D151" s="12">
        <f>'Group Fluoride'!F150</f>
        <v>0</v>
      </c>
      <c r="E151" s="76">
        <f>'Group Fluoride'!G150</f>
        <v>0</v>
      </c>
    </row>
    <row r="152" spans="1:5">
      <c r="A152" s="12">
        <f>'Group Fluoride'!A151</f>
        <v>0</v>
      </c>
      <c r="B152" s="12">
        <f>'Group Fluoride'!D151</f>
        <v>0</v>
      </c>
      <c r="C152" s="12">
        <f>'Group Fluoride'!E151</f>
        <v>0</v>
      </c>
      <c r="D152" s="12">
        <f>'Group Fluoride'!F151</f>
        <v>0</v>
      </c>
      <c r="E152" s="76">
        <f>'Group Fluoride'!G151</f>
        <v>0</v>
      </c>
    </row>
    <row r="153" spans="1:5">
      <c r="A153" s="12">
        <f>'Group Fluoride'!A152</f>
        <v>0</v>
      </c>
      <c r="B153" s="12">
        <f>'Group Fluoride'!D152</f>
        <v>0</v>
      </c>
      <c r="C153" s="12">
        <f>'Group Fluoride'!E152</f>
        <v>0</v>
      </c>
      <c r="D153" s="12">
        <f>'Group Fluoride'!F152</f>
        <v>0</v>
      </c>
      <c r="E153" s="76">
        <f>'Group Fluoride'!G152</f>
        <v>0</v>
      </c>
    </row>
    <row r="154" spans="1:5">
      <c r="A154" s="12">
        <f>'Group Fluoride'!A153</f>
        <v>0</v>
      </c>
      <c r="B154" s="12">
        <f>'Group Fluoride'!D153</f>
        <v>0</v>
      </c>
      <c r="C154" s="12">
        <f>'Group Fluoride'!E153</f>
        <v>0</v>
      </c>
      <c r="D154" s="12">
        <f>'Group Fluoride'!F153</f>
        <v>0</v>
      </c>
      <c r="E154" s="76">
        <f>'Group Fluoride'!G153</f>
        <v>0</v>
      </c>
    </row>
    <row r="155" spans="1:5">
      <c r="A155" s="12">
        <f>'Group Fluoride'!A154</f>
        <v>0</v>
      </c>
      <c r="B155" s="12">
        <f>'Group Fluoride'!D154</f>
        <v>0</v>
      </c>
      <c r="C155" s="12">
        <f>'Group Fluoride'!E154</f>
        <v>0</v>
      </c>
      <c r="D155" s="12">
        <f>'Group Fluoride'!F154</f>
        <v>0</v>
      </c>
      <c r="E155" s="76">
        <f>'Group Fluoride'!G154</f>
        <v>0</v>
      </c>
    </row>
    <row r="156" spans="1:5">
      <c r="A156" s="12">
        <f>'Group Fluoride'!A155</f>
        <v>0</v>
      </c>
      <c r="B156" s="12">
        <f>'Group Fluoride'!D155</f>
        <v>0</v>
      </c>
      <c r="C156" s="12">
        <f>'Group Fluoride'!E155</f>
        <v>0</v>
      </c>
      <c r="D156" s="12">
        <f>'Group Fluoride'!F155</f>
        <v>0</v>
      </c>
      <c r="E156" s="76">
        <f>'Group Fluoride'!G155</f>
        <v>0</v>
      </c>
    </row>
    <row r="157" spans="1:5">
      <c r="A157" s="12">
        <f>'Group Fluoride'!A156</f>
        <v>0</v>
      </c>
      <c r="B157" s="12">
        <f>'Group Fluoride'!D156</f>
        <v>0</v>
      </c>
      <c r="C157" s="12">
        <f>'Group Fluoride'!E156</f>
        <v>0</v>
      </c>
      <c r="D157" s="12">
        <f>'Group Fluoride'!F156</f>
        <v>0</v>
      </c>
      <c r="E157" s="76">
        <f>'Group Fluoride'!G156</f>
        <v>0</v>
      </c>
    </row>
    <row r="158" spans="1:5">
      <c r="A158" s="12">
        <f>'Group Fluoride'!A157</f>
        <v>0</v>
      </c>
      <c r="B158" s="12">
        <f>'Group Fluoride'!D157</f>
        <v>0</v>
      </c>
      <c r="C158" s="12">
        <f>'Group Fluoride'!E157</f>
        <v>0</v>
      </c>
      <c r="D158" s="12">
        <f>'Group Fluoride'!F157</f>
        <v>0</v>
      </c>
      <c r="E158" s="76">
        <f>'Group Fluoride'!G157</f>
        <v>0</v>
      </c>
    </row>
    <row r="159" spans="1:5">
      <c r="A159" s="12">
        <f>'Group Fluoride'!A158</f>
        <v>0</v>
      </c>
      <c r="B159" s="12">
        <f>'Group Fluoride'!D158</f>
        <v>0</v>
      </c>
      <c r="C159" s="12">
        <f>'Group Fluoride'!E158</f>
        <v>0</v>
      </c>
      <c r="D159" s="12">
        <f>'Group Fluoride'!F158</f>
        <v>0</v>
      </c>
      <c r="E159" s="76">
        <f>'Group Fluoride'!G158</f>
        <v>0</v>
      </c>
    </row>
    <row r="160" spans="1:5">
      <c r="A160" s="12">
        <f>'Group Fluoride'!A159</f>
        <v>0</v>
      </c>
      <c r="B160" s="12">
        <f>'Group Fluoride'!D159</f>
        <v>0</v>
      </c>
      <c r="C160" s="12">
        <f>'Group Fluoride'!E159</f>
        <v>0</v>
      </c>
      <c r="D160" s="12">
        <f>'Group Fluoride'!F159</f>
        <v>0</v>
      </c>
      <c r="E160" s="76">
        <f>'Group Fluoride'!G159</f>
        <v>0</v>
      </c>
    </row>
    <row r="161" spans="1:5">
      <c r="A161" s="12">
        <f>'Group Fluoride'!A160</f>
        <v>0</v>
      </c>
      <c r="B161" s="12">
        <f>'Group Fluoride'!D160</f>
        <v>0</v>
      </c>
      <c r="C161" s="12">
        <f>'Group Fluoride'!E160</f>
        <v>0</v>
      </c>
      <c r="D161" s="12">
        <f>'Group Fluoride'!F160</f>
        <v>0</v>
      </c>
      <c r="E161" s="76">
        <f>'Group Fluoride'!G160</f>
        <v>0</v>
      </c>
    </row>
    <row r="162" spans="1:5">
      <c r="A162" s="12">
        <f>'Group Fluoride'!A161</f>
        <v>0</v>
      </c>
      <c r="B162" s="12">
        <f>'Group Fluoride'!D161</f>
        <v>0</v>
      </c>
      <c r="C162" s="12">
        <f>'Group Fluoride'!E161</f>
        <v>0</v>
      </c>
      <c r="D162" s="12">
        <f>'Group Fluoride'!F161</f>
        <v>0</v>
      </c>
      <c r="E162" s="76">
        <f>'Group Fluoride'!G161</f>
        <v>0</v>
      </c>
    </row>
    <row r="163" spans="1:5">
      <c r="A163" s="12">
        <f>'Group Fluoride'!A162</f>
        <v>0</v>
      </c>
      <c r="B163" s="12">
        <f>'Group Fluoride'!D162</f>
        <v>0</v>
      </c>
      <c r="C163" s="12">
        <f>'Group Fluoride'!E162</f>
        <v>0</v>
      </c>
      <c r="D163" s="12">
        <f>'Group Fluoride'!F162</f>
        <v>0</v>
      </c>
      <c r="E163" s="76">
        <f>'Group Fluoride'!G162</f>
        <v>0</v>
      </c>
    </row>
    <row r="164" spans="1:5">
      <c r="A164" s="12">
        <f>'Group Fluoride'!A163</f>
        <v>0</v>
      </c>
      <c r="B164" s="12">
        <f>'Group Fluoride'!D163</f>
        <v>0</v>
      </c>
      <c r="C164" s="12">
        <f>'Group Fluoride'!E163</f>
        <v>0</v>
      </c>
      <c r="D164" s="12">
        <f>'Group Fluoride'!F163</f>
        <v>0</v>
      </c>
      <c r="E164" s="76">
        <f>'Group Fluoride'!G163</f>
        <v>0</v>
      </c>
    </row>
    <row r="165" spans="1:5">
      <c r="A165" s="12">
        <f>'Group Fluoride'!A164</f>
        <v>0</v>
      </c>
      <c r="B165" s="12">
        <f>'Group Fluoride'!D164</f>
        <v>0</v>
      </c>
      <c r="C165" s="12">
        <f>'Group Fluoride'!E164</f>
        <v>0</v>
      </c>
      <c r="D165" s="12">
        <f>'Group Fluoride'!F164</f>
        <v>0</v>
      </c>
      <c r="E165" s="76">
        <f>'Group Fluoride'!G164</f>
        <v>0</v>
      </c>
    </row>
    <row r="166" spans="1:5">
      <c r="A166" s="12">
        <f>'Group Fluoride'!A165</f>
        <v>0</v>
      </c>
      <c r="B166" s="12">
        <f>'Group Fluoride'!D165</f>
        <v>0</v>
      </c>
      <c r="C166" s="12">
        <f>'Group Fluoride'!E165</f>
        <v>0</v>
      </c>
      <c r="D166" s="12">
        <f>'Group Fluoride'!F165</f>
        <v>0</v>
      </c>
      <c r="E166" s="76">
        <f>'Group Fluoride'!G165</f>
        <v>0</v>
      </c>
    </row>
    <row r="167" spans="1:5">
      <c r="A167" s="12">
        <f>'Group Fluoride'!A166</f>
        <v>0</v>
      </c>
      <c r="B167" s="12">
        <f>'Group Fluoride'!D166</f>
        <v>0</v>
      </c>
      <c r="C167" s="12">
        <f>'Group Fluoride'!E166</f>
        <v>0</v>
      </c>
      <c r="D167" s="12">
        <f>'Group Fluoride'!F166</f>
        <v>0</v>
      </c>
      <c r="E167" s="76">
        <f>'Group Fluoride'!G166</f>
        <v>0</v>
      </c>
    </row>
    <row r="168" spans="1:5">
      <c r="A168" s="12">
        <f>'Group Fluoride'!A167</f>
        <v>0</v>
      </c>
      <c r="B168" s="12">
        <f>'Group Fluoride'!D167</f>
        <v>0</v>
      </c>
      <c r="C168" s="12">
        <f>'Group Fluoride'!E167</f>
        <v>0</v>
      </c>
      <c r="D168" s="12">
        <f>'Group Fluoride'!F167</f>
        <v>0</v>
      </c>
      <c r="E168" s="76">
        <f>'Group Fluoride'!G167</f>
        <v>0</v>
      </c>
    </row>
    <row r="169" spans="1:5">
      <c r="A169" s="12">
        <f>'Group Fluoride'!A168</f>
        <v>0</v>
      </c>
      <c r="B169" s="12">
        <f>'Group Fluoride'!D168</f>
        <v>0</v>
      </c>
      <c r="C169" s="12">
        <f>'Group Fluoride'!E168</f>
        <v>0</v>
      </c>
      <c r="D169" s="12">
        <f>'Group Fluoride'!F168</f>
        <v>0</v>
      </c>
      <c r="E169" s="76">
        <f>'Group Fluoride'!G168</f>
        <v>0</v>
      </c>
    </row>
    <row r="170" spans="1:5">
      <c r="A170" s="12">
        <f>'Group Fluoride'!A169</f>
        <v>0</v>
      </c>
      <c r="B170" s="12">
        <f>'Group Fluoride'!D169</f>
        <v>0</v>
      </c>
      <c r="C170" s="12">
        <f>'Group Fluoride'!E169</f>
        <v>0</v>
      </c>
      <c r="D170" s="12">
        <f>'Group Fluoride'!F169</f>
        <v>0</v>
      </c>
      <c r="E170" s="76">
        <f>'Group Fluoride'!G169</f>
        <v>0</v>
      </c>
    </row>
    <row r="171" spans="1:5">
      <c r="A171" s="12">
        <f>'Group Fluoride'!A170</f>
        <v>0</v>
      </c>
      <c r="B171" s="12">
        <f>'Group Fluoride'!D170</f>
        <v>0</v>
      </c>
      <c r="C171" s="12">
        <f>'Group Fluoride'!E170</f>
        <v>0</v>
      </c>
      <c r="D171" s="12">
        <f>'Group Fluoride'!F170</f>
        <v>0</v>
      </c>
      <c r="E171" s="76">
        <f>'Group Fluoride'!G170</f>
        <v>0</v>
      </c>
    </row>
    <row r="172" spans="1:5">
      <c r="A172" s="12">
        <f>'Group Fluoride'!A171</f>
        <v>0</v>
      </c>
      <c r="B172" s="12">
        <f>'Group Fluoride'!D171</f>
        <v>0</v>
      </c>
      <c r="C172" s="12">
        <f>'Group Fluoride'!E171</f>
        <v>0</v>
      </c>
      <c r="D172" s="12">
        <f>'Group Fluoride'!F171</f>
        <v>0</v>
      </c>
      <c r="E172" s="76">
        <f>'Group Fluoride'!G171</f>
        <v>0</v>
      </c>
    </row>
    <row r="173" spans="1:5">
      <c r="A173" s="12">
        <f>'Group Fluoride'!A172</f>
        <v>0</v>
      </c>
      <c r="B173" s="12">
        <f>'Group Fluoride'!D172</f>
        <v>0</v>
      </c>
      <c r="C173" s="12">
        <f>'Group Fluoride'!E172</f>
        <v>0</v>
      </c>
      <c r="D173" s="12">
        <f>'Group Fluoride'!F172</f>
        <v>0</v>
      </c>
      <c r="E173" s="76">
        <f>'Group Fluoride'!G172</f>
        <v>0</v>
      </c>
    </row>
    <row r="174" spans="1:5">
      <c r="A174" s="12">
        <f>'Group Fluoride'!A173</f>
        <v>0</v>
      </c>
      <c r="B174" s="12">
        <f>'Group Fluoride'!D173</f>
        <v>0</v>
      </c>
      <c r="C174" s="12">
        <f>'Group Fluoride'!E173</f>
        <v>0</v>
      </c>
      <c r="D174" s="12">
        <f>'Group Fluoride'!F173</f>
        <v>0</v>
      </c>
      <c r="E174" s="76">
        <f>'Group Fluoride'!G173</f>
        <v>0</v>
      </c>
    </row>
    <row r="175" spans="1:5">
      <c r="A175" s="12">
        <f>'Group Fluoride'!A174</f>
        <v>0</v>
      </c>
      <c r="B175" s="12">
        <f>'Group Fluoride'!D174</f>
        <v>0</v>
      </c>
      <c r="C175" s="12">
        <f>'Group Fluoride'!E174</f>
        <v>0</v>
      </c>
      <c r="D175" s="12">
        <f>'Group Fluoride'!F174</f>
        <v>0</v>
      </c>
      <c r="E175" s="76">
        <f>'Group Fluoride'!G174</f>
        <v>0</v>
      </c>
    </row>
    <row r="176" spans="1:5">
      <c r="A176" s="12">
        <f>'Group Fluoride'!A175</f>
        <v>0</v>
      </c>
      <c r="B176" s="12">
        <f>'Group Fluoride'!D175</f>
        <v>0</v>
      </c>
      <c r="C176" s="12">
        <f>'Group Fluoride'!E175</f>
        <v>0</v>
      </c>
      <c r="D176" s="12">
        <f>'Group Fluoride'!F175</f>
        <v>0</v>
      </c>
      <c r="E176" s="76">
        <f>'Group Fluoride'!G175</f>
        <v>0</v>
      </c>
    </row>
    <row r="177" spans="1:5">
      <c r="A177" s="12">
        <f>'Group Fluoride'!A176</f>
        <v>0</v>
      </c>
      <c r="B177" s="12">
        <f>'Group Fluoride'!D176</f>
        <v>0</v>
      </c>
      <c r="C177" s="12">
        <f>'Group Fluoride'!E176</f>
        <v>0</v>
      </c>
      <c r="D177" s="12">
        <f>'Group Fluoride'!F176</f>
        <v>0</v>
      </c>
      <c r="E177" s="76">
        <f>'Group Fluoride'!G176</f>
        <v>0</v>
      </c>
    </row>
    <row r="178" spans="1:5">
      <c r="A178" s="12">
        <f>'Group Fluoride'!A177</f>
        <v>0</v>
      </c>
      <c r="B178" s="12">
        <f>'Group Fluoride'!D177</f>
        <v>0</v>
      </c>
      <c r="C178" s="12">
        <f>'Group Fluoride'!E177</f>
        <v>0</v>
      </c>
      <c r="D178" s="12">
        <f>'Group Fluoride'!F177</f>
        <v>0</v>
      </c>
      <c r="E178" s="76">
        <f>'Group Fluoride'!G177</f>
        <v>0</v>
      </c>
    </row>
    <row r="179" spans="1:5">
      <c r="A179" s="12">
        <f>'Group Fluoride'!A178</f>
        <v>0</v>
      </c>
      <c r="B179" s="12">
        <f>'Group Fluoride'!D178</f>
        <v>0</v>
      </c>
      <c r="C179" s="12">
        <f>'Group Fluoride'!E178</f>
        <v>0</v>
      </c>
      <c r="D179" s="12">
        <f>'Group Fluoride'!F178</f>
        <v>0</v>
      </c>
      <c r="E179" s="76">
        <f>'Group Fluoride'!G178</f>
        <v>0</v>
      </c>
    </row>
    <row r="180" spans="1:5">
      <c r="A180" s="12">
        <f>'Group Fluoride'!A179</f>
        <v>0</v>
      </c>
      <c r="B180" s="12">
        <f>'Group Fluoride'!D179</f>
        <v>0</v>
      </c>
      <c r="C180" s="12">
        <f>'Group Fluoride'!E179</f>
        <v>0</v>
      </c>
      <c r="D180" s="12">
        <f>'Group Fluoride'!F179</f>
        <v>0</v>
      </c>
      <c r="E180" s="76">
        <f>'Group Fluoride'!G179</f>
        <v>0</v>
      </c>
    </row>
    <row r="181" spans="1:5">
      <c r="A181" s="12">
        <f>'Group Fluoride'!A180</f>
        <v>0</v>
      </c>
      <c r="B181" s="12">
        <f>'Group Fluoride'!D180</f>
        <v>0</v>
      </c>
      <c r="C181" s="12">
        <f>'Group Fluoride'!E180</f>
        <v>0</v>
      </c>
      <c r="D181" s="12">
        <f>'Group Fluoride'!F180</f>
        <v>0</v>
      </c>
      <c r="E181" s="76">
        <f>'Group Fluoride'!G180</f>
        <v>0</v>
      </c>
    </row>
    <row r="182" spans="1:5">
      <c r="A182" s="12">
        <f>'Group Fluoride'!A181</f>
        <v>0</v>
      </c>
      <c r="B182" s="12">
        <f>'Group Fluoride'!D181</f>
        <v>0</v>
      </c>
      <c r="C182" s="12">
        <f>'Group Fluoride'!E181</f>
        <v>0</v>
      </c>
      <c r="D182" s="12">
        <f>'Group Fluoride'!F181</f>
        <v>0</v>
      </c>
      <c r="E182" s="76">
        <f>'Group Fluoride'!G181</f>
        <v>0</v>
      </c>
    </row>
    <row r="183" spans="1:5">
      <c r="A183" s="12">
        <f>'Group Fluoride'!A182</f>
        <v>0</v>
      </c>
      <c r="B183" s="12">
        <f>'Group Fluoride'!D182</f>
        <v>0</v>
      </c>
      <c r="C183" s="12">
        <f>'Group Fluoride'!E182</f>
        <v>0</v>
      </c>
      <c r="D183" s="12">
        <f>'Group Fluoride'!F182</f>
        <v>0</v>
      </c>
      <c r="E183" s="76">
        <f>'Group Fluoride'!G182</f>
        <v>0</v>
      </c>
    </row>
    <row r="184" spans="1:5">
      <c r="A184" s="12">
        <f>'Group Fluoride'!A183</f>
        <v>0</v>
      </c>
      <c r="B184" s="12">
        <f>'Group Fluoride'!D183</f>
        <v>0</v>
      </c>
      <c r="C184" s="12">
        <f>'Group Fluoride'!E183</f>
        <v>0</v>
      </c>
      <c r="D184" s="12">
        <f>'Group Fluoride'!F183</f>
        <v>0</v>
      </c>
      <c r="E184" s="76">
        <f>'Group Fluoride'!G183</f>
        <v>0</v>
      </c>
    </row>
    <row r="185" spans="1:5">
      <c r="A185" s="12">
        <f>'Group Fluoride'!A184</f>
        <v>0</v>
      </c>
      <c r="B185" s="12">
        <f>'Group Fluoride'!D184</f>
        <v>0</v>
      </c>
      <c r="C185" s="12">
        <f>'Group Fluoride'!E184</f>
        <v>0</v>
      </c>
      <c r="D185" s="12">
        <f>'Group Fluoride'!F184</f>
        <v>0</v>
      </c>
      <c r="E185" s="76">
        <f>'Group Fluoride'!G184</f>
        <v>0</v>
      </c>
    </row>
    <row r="186" spans="1:5">
      <c r="A186" s="12">
        <f>'Group Fluoride'!A185</f>
        <v>0</v>
      </c>
      <c r="B186" s="12">
        <f>'Group Fluoride'!D185</f>
        <v>0</v>
      </c>
      <c r="C186" s="12">
        <f>'Group Fluoride'!E185</f>
        <v>0</v>
      </c>
      <c r="D186" s="12">
        <f>'Group Fluoride'!F185</f>
        <v>0</v>
      </c>
      <c r="E186" s="76">
        <f>'Group Fluoride'!G185</f>
        <v>0</v>
      </c>
    </row>
    <row r="187" spans="1:5">
      <c r="A187" s="12">
        <f>'Group Fluoride'!A186</f>
        <v>0</v>
      </c>
      <c r="B187" s="12">
        <f>'Group Fluoride'!D186</f>
        <v>0</v>
      </c>
      <c r="C187" s="12">
        <f>'Group Fluoride'!E186</f>
        <v>0</v>
      </c>
      <c r="D187" s="12">
        <f>'Group Fluoride'!F186</f>
        <v>0</v>
      </c>
      <c r="E187" s="76">
        <f>'Group Fluoride'!G186</f>
        <v>0</v>
      </c>
    </row>
    <row r="188" spans="1:5">
      <c r="A188" s="12">
        <f>'Group Fluoride'!A187</f>
        <v>0</v>
      </c>
      <c r="B188" s="12">
        <f>'Group Fluoride'!D187</f>
        <v>0</v>
      </c>
      <c r="C188" s="12">
        <f>'Group Fluoride'!E187</f>
        <v>0</v>
      </c>
      <c r="D188" s="12">
        <f>'Group Fluoride'!F187</f>
        <v>0</v>
      </c>
      <c r="E188" s="76">
        <f>'Group Fluoride'!G187</f>
        <v>0</v>
      </c>
    </row>
    <row r="189" spans="1:5">
      <c r="A189" s="12">
        <f>'Group Fluoride'!A188</f>
        <v>0</v>
      </c>
      <c r="B189" s="12">
        <f>'Group Fluoride'!D188</f>
        <v>0</v>
      </c>
      <c r="C189" s="12">
        <f>'Group Fluoride'!E188</f>
        <v>0</v>
      </c>
      <c r="D189" s="12">
        <f>'Group Fluoride'!F188</f>
        <v>0</v>
      </c>
      <c r="E189" s="76">
        <f>'Group Fluoride'!G188</f>
        <v>0</v>
      </c>
    </row>
    <row r="190" spans="1:5">
      <c r="A190" s="12">
        <f>'Group Fluoride'!A189</f>
        <v>0</v>
      </c>
      <c r="B190" s="12">
        <f>'Group Fluoride'!D189</f>
        <v>0</v>
      </c>
      <c r="C190" s="12">
        <f>'Group Fluoride'!E189</f>
        <v>0</v>
      </c>
      <c r="D190" s="12">
        <f>'Group Fluoride'!F189</f>
        <v>0</v>
      </c>
      <c r="E190" s="76">
        <f>'Group Fluoride'!G189</f>
        <v>0</v>
      </c>
    </row>
    <row r="191" spans="1:5">
      <c r="A191" s="12">
        <f>'Group Fluoride'!A190</f>
        <v>0</v>
      </c>
      <c r="B191" s="12">
        <f>'Group Fluoride'!D190</f>
        <v>0</v>
      </c>
      <c r="C191" s="12">
        <f>'Group Fluoride'!E190</f>
        <v>0</v>
      </c>
      <c r="D191" s="12">
        <f>'Group Fluoride'!F190</f>
        <v>0</v>
      </c>
      <c r="E191" s="76">
        <f>'Group Fluoride'!G190</f>
        <v>0</v>
      </c>
    </row>
    <row r="192" spans="1:5">
      <c r="A192" s="12">
        <f>'Group Fluoride'!A191</f>
        <v>0</v>
      </c>
      <c r="B192" s="12">
        <f>'Group Fluoride'!D191</f>
        <v>0</v>
      </c>
      <c r="C192" s="12">
        <f>'Group Fluoride'!E191</f>
        <v>0</v>
      </c>
      <c r="D192" s="12">
        <f>'Group Fluoride'!F191</f>
        <v>0</v>
      </c>
      <c r="E192" s="76">
        <f>'Group Fluoride'!G191</f>
        <v>0</v>
      </c>
    </row>
    <row r="193" spans="1:5">
      <c r="A193" s="12">
        <f>'Group Fluoride'!A192</f>
        <v>0</v>
      </c>
      <c r="B193" s="12">
        <f>'Group Fluoride'!D192</f>
        <v>0</v>
      </c>
      <c r="C193" s="12">
        <f>'Group Fluoride'!E192</f>
        <v>0</v>
      </c>
      <c r="D193" s="12">
        <f>'Group Fluoride'!F192</f>
        <v>0</v>
      </c>
      <c r="E193" s="76">
        <f>'Group Fluoride'!G192</f>
        <v>0</v>
      </c>
    </row>
    <row r="194" spans="1:5">
      <c r="A194" s="12">
        <f>'Group Fluoride'!A193</f>
        <v>0</v>
      </c>
      <c r="B194" s="12">
        <f>'Group Fluoride'!D193</f>
        <v>0</v>
      </c>
      <c r="C194" s="12">
        <f>'Group Fluoride'!E193</f>
        <v>0</v>
      </c>
      <c r="D194" s="12">
        <f>'Group Fluoride'!F193</f>
        <v>0</v>
      </c>
      <c r="E194" s="76">
        <f>'Group Fluoride'!G193</f>
        <v>0</v>
      </c>
    </row>
    <row r="195" spans="1:5">
      <c r="A195" s="12">
        <f>'Group Fluoride'!A194</f>
        <v>0</v>
      </c>
      <c r="B195" s="12">
        <f>'Group Fluoride'!D194</f>
        <v>0</v>
      </c>
      <c r="C195" s="12">
        <f>'Group Fluoride'!E194</f>
        <v>0</v>
      </c>
      <c r="D195" s="12">
        <f>'Group Fluoride'!F194</f>
        <v>0</v>
      </c>
      <c r="E195" s="76">
        <f>'Group Fluoride'!G194</f>
        <v>0</v>
      </c>
    </row>
    <row r="196" spans="1:5">
      <c r="A196" s="12">
        <f>'Group Fluoride'!A195</f>
        <v>0</v>
      </c>
      <c r="B196" s="12">
        <f>'Group Fluoride'!D195</f>
        <v>0</v>
      </c>
      <c r="C196" s="12">
        <f>'Group Fluoride'!E195</f>
        <v>0</v>
      </c>
      <c r="D196" s="12">
        <f>'Group Fluoride'!F195</f>
        <v>0</v>
      </c>
      <c r="E196" s="76">
        <f>'Group Fluoride'!G195</f>
        <v>0</v>
      </c>
    </row>
    <row r="197" spans="1:5">
      <c r="A197" s="12">
        <f>'Group Fluoride'!A196</f>
        <v>0</v>
      </c>
      <c r="B197" s="12">
        <f>'Group Fluoride'!D196</f>
        <v>0</v>
      </c>
      <c r="C197" s="12">
        <f>'Group Fluoride'!E196</f>
        <v>0</v>
      </c>
      <c r="D197" s="12">
        <f>'Group Fluoride'!F196</f>
        <v>0</v>
      </c>
      <c r="E197" s="76">
        <f>'Group Fluoride'!G196</f>
        <v>0</v>
      </c>
    </row>
    <row r="198" spans="1:5">
      <c r="A198" s="12">
        <f>'Group Fluoride'!A197</f>
        <v>0</v>
      </c>
      <c r="B198" s="12">
        <f>'Group Fluoride'!D197</f>
        <v>0</v>
      </c>
      <c r="C198" s="12">
        <f>'Group Fluoride'!E197</f>
        <v>0</v>
      </c>
      <c r="D198" s="12">
        <f>'Group Fluoride'!F197</f>
        <v>0</v>
      </c>
      <c r="E198" s="76">
        <f>'Group Fluoride'!G197</f>
        <v>0</v>
      </c>
    </row>
    <row r="199" spans="1:5">
      <c r="A199" s="12">
        <f>'Group Fluoride'!A198</f>
        <v>0</v>
      </c>
      <c r="B199" s="12">
        <f>'Group Fluoride'!D198</f>
        <v>0</v>
      </c>
      <c r="C199" s="12">
        <f>'Group Fluoride'!E198</f>
        <v>0</v>
      </c>
      <c r="D199" s="12">
        <f>'Group Fluoride'!F198</f>
        <v>0</v>
      </c>
      <c r="E199" s="76">
        <f>'Group Fluoride'!G198</f>
        <v>0</v>
      </c>
    </row>
    <row r="200" spans="1:5">
      <c r="A200" s="12">
        <f>'Group Fluoride'!A199</f>
        <v>0</v>
      </c>
      <c r="B200" s="12">
        <f>'Group Fluoride'!D199</f>
        <v>0</v>
      </c>
      <c r="C200" s="12">
        <f>'Group Fluoride'!E199</f>
        <v>0</v>
      </c>
      <c r="D200" s="12">
        <f>'Group Fluoride'!F199</f>
        <v>0</v>
      </c>
      <c r="E200" s="76">
        <f>'Group Fluoride'!G199</f>
        <v>0</v>
      </c>
    </row>
    <row r="201" spans="1:5">
      <c r="A201" s="12">
        <f>'Group Fluoride'!A200</f>
        <v>0</v>
      </c>
      <c r="B201" s="12">
        <f>'Group Fluoride'!D200</f>
        <v>0</v>
      </c>
      <c r="C201" s="12">
        <f>'Group Fluoride'!E200</f>
        <v>0</v>
      </c>
      <c r="D201" s="12">
        <f>'Group Fluoride'!F200</f>
        <v>0</v>
      </c>
      <c r="E201" s="76">
        <f>'Group Fluoride'!G200</f>
        <v>0</v>
      </c>
    </row>
    <row r="202" spans="1:5">
      <c r="A202" s="12">
        <f>'Group Fluoride'!A201</f>
        <v>0</v>
      </c>
      <c r="B202" s="12">
        <f>'Group Fluoride'!D201</f>
        <v>0</v>
      </c>
      <c r="C202" s="12">
        <f>'Group Fluoride'!E201</f>
        <v>0</v>
      </c>
      <c r="D202" s="12">
        <f>'Group Fluoride'!F201</f>
        <v>0</v>
      </c>
      <c r="E202" s="76">
        <f>'Group Fluoride'!G201</f>
        <v>0</v>
      </c>
    </row>
    <row r="203" spans="1:5">
      <c r="A203" s="12">
        <f>'Group Fluoride'!A202</f>
        <v>0</v>
      </c>
      <c r="B203" s="12">
        <f>'Group Fluoride'!D202</f>
        <v>0</v>
      </c>
      <c r="C203" s="12">
        <f>'Group Fluoride'!E202</f>
        <v>0</v>
      </c>
      <c r="D203" s="12">
        <f>'Group Fluoride'!F202</f>
        <v>0</v>
      </c>
      <c r="E203" s="76">
        <f>'Group Fluoride'!G202</f>
        <v>0</v>
      </c>
    </row>
    <row r="204" spans="1:5">
      <c r="A204" s="12">
        <f>'Group Fluoride'!A203</f>
        <v>0</v>
      </c>
      <c r="B204" s="12">
        <f>'Group Fluoride'!D203</f>
        <v>0</v>
      </c>
      <c r="C204" s="12">
        <f>'Group Fluoride'!E203</f>
        <v>0</v>
      </c>
      <c r="D204" s="12">
        <f>'Group Fluoride'!F203</f>
        <v>0</v>
      </c>
      <c r="E204" s="76">
        <f>'Group Fluoride'!G203</f>
        <v>0</v>
      </c>
    </row>
    <row r="205" spans="1:5">
      <c r="A205" s="12">
        <f>'Group Fluoride'!A204</f>
        <v>0</v>
      </c>
      <c r="B205" s="12">
        <f>'Group Fluoride'!D204</f>
        <v>0</v>
      </c>
      <c r="C205" s="12">
        <f>'Group Fluoride'!E204</f>
        <v>0</v>
      </c>
      <c r="D205" s="12">
        <f>'Group Fluoride'!F204</f>
        <v>0</v>
      </c>
      <c r="E205" s="76">
        <f>'Group Fluoride'!G204</f>
        <v>0</v>
      </c>
    </row>
    <row r="206" spans="1:5">
      <c r="A206" s="12">
        <f>'Group Fluoride'!A205</f>
        <v>0</v>
      </c>
      <c r="B206" s="12">
        <f>'Group Fluoride'!D205</f>
        <v>0</v>
      </c>
      <c r="C206" s="12">
        <f>'Group Fluoride'!E205</f>
        <v>0</v>
      </c>
      <c r="D206" s="12">
        <f>'Group Fluoride'!F205</f>
        <v>0</v>
      </c>
      <c r="E206" s="76">
        <f>'Group Fluoride'!G205</f>
        <v>0</v>
      </c>
    </row>
    <row r="207" spans="1:5">
      <c r="A207" s="12">
        <f>'Group Fluoride'!A206</f>
        <v>0</v>
      </c>
      <c r="B207" s="12">
        <f>'Group Fluoride'!D206</f>
        <v>0</v>
      </c>
      <c r="C207" s="12">
        <f>'Group Fluoride'!E206</f>
        <v>0</v>
      </c>
      <c r="D207" s="12">
        <f>'Group Fluoride'!F206</f>
        <v>0</v>
      </c>
      <c r="E207" s="76">
        <f>'Group Fluoride'!G206</f>
        <v>0</v>
      </c>
    </row>
    <row r="208" spans="1:5">
      <c r="A208" s="12">
        <f>'Group Fluoride'!A207</f>
        <v>0</v>
      </c>
      <c r="B208" s="12">
        <f>'Group Fluoride'!D207</f>
        <v>0</v>
      </c>
      <c r="C208" s="12">
        <f>'Group Fluoride'!E207</f>
        <v>0</v>
      </c>
      <c r="D208" s="12">
        <f>'Group Fluoride'!F207</f>
        <v>0</v>
      </c>
      <c r="E208" s="76">
        <f>'Group Fluoride'!G207</f>
        <v>0</v>
      </c>
    </row>
    <row r="209" spans="1:5">
      <c r="A209" s="12">
        <f>'Group Fluoride'!A208</f>
        <v>0</v>
      </c>
      <c r="B209" s="12">
        <f>'Group Fluoride'!D208</f>
        <v>0</v>
      </c>
      <c r="C209" s="12">
        <f>'Group Fluoride'!E208</f>
        <v>0</v>
      </c>
      <c r="D209" s="12">
        <f>'Group Fluoride'!F208</f>
        <v>0</v>
      </c>
      <c r="E209" s="76">
        <f>'Group Fluoride'!G208</f>
        <v>0</v>
      </c>
    </row>
    <row r="210" spans="1:5">
      <c r="A210" s="12">
        <f>'Group Fluoride'!A209</f>
        <v>0</v>
      </c>
      <c r="B210" s="12">
        <f>'Group Fluoride'!D209</f>
        <v>0</v>
      </c>
      <c r="C210" s="12">
        <f>'Group Fluoride'!E209</f>
        <v>0</v>
      </c>
      <c r="D210" s="12">
        <f>'Group Fluoride'!F209</f>
        <v>0</v>
      </c>
      <c r="E210" s="76">
        <f>'Group Fluoride'!G209</f>
        <v>0</v>
      </c>
    </row>
    <row r="211" spans="1:5">
      <c r="A211" s="12">
        <f>'Group Fluoride'!A210</f>
        <v>0</v>
      </c>
      <c r="B211" s="12">
        <f>'Group Fluoride'!D210</f>
        <v>0</v>
      </c>
      <c r="C211" s="12">
        <f>'Group Fluoride'!E210</f>
        <v>0</v>
      </c>
      <c r="D211" s="12">
        <f>'Group Fluoride'!F210</f>
        <v>0</v>
      </c>
      <c r="E211" s="76">
        <f>'Group Fluoride'!G210</f>
        <v>0</v>
      </c>
    </row>
    <row r="212" spans="1:5">
      <c r="A212" s="12">
        <f>'Group Fluoride'!A211</f>
        <v>0</v>
      </c>
      <c r="B212" s="12">
        <f>'Group Fluoride'!D211</f>
        <v>0</v>
      </c>
      <c r="C212" s="12">
        <f>'Group Fluoride'!E211</f>
        <v>0</v>
      </c>
      <c r="D212" s="12">
        <f>'Group Fluoride'!F211</f>
        <v>0</v>
      </c>
      <c r="E212" s="76">
        <f>'Group Fluoride'!G211</f>
        <v>0</v>
      </c>
    </row>
    <row r="213" spans="1:5">
      <c r="A213" s="12">
        <f>'Group Fluoride'!A212</f>
        <v>0</v>
      </c>
      <c r="B213" s="12">
        <f>'Group Fluoride'!D212</f>
        <v>0</v>
      </c>
      <c r="C213" s="12">
        <f>'Group Fluoride'!E212</f>
        <v>0</v>
      </c>
      <c r="D213" s="12">
        <f>'Group Fluoride'!F212</f>
        <v>0</v>
      </c>
      <c r="E213" s="76">
        <f>'Group Fluoride'!G212</f>
        <v>0</v>
      </c>
    </row>
    <row r="214" spans="1:5">
      <c r="A214" s="12">
        <f>'Group Fluoride'!A213</f>
        <v>0</v>
      </c>
      <c r="B214" s="12">
        <f>'Group Fluoride'!D213</f>
        <v>0</v>
      </c>
      <c r="C214" s="12">
        <f>'Group Fluoride'!E213</f>
        <v>0</v>
      </c>
      <c r="D214" s="12">
        <f>'Group Fluoride'!F213</f>
        <v>0</v>
      </c>
      <c r="E214" s="76">
        <f>'Group Fluoride'!G213</f>
        <v>0</v>
      </c>
    </row>
    <row r="215" spans="1:5">
      <c r="A215" s="12">
        <f>'Group Fluoride'!A214</f>
        <v>0</v>
      </c>
      <c r="B215" s="12">
        <f>'Group Fluoride'!D214</f>
        <v>0</v>
      </c>
      <c r="C215" s="12">
        <f>'Group Fluoride'!E214</f>
        <v>0</v>
      </c>
      <c r="D215" s="12">
        <f>'Group Fluoride'!F214</f>
        <v>0</v>
      </c>
      <c r="E215" s="76">
        <f>'Group Fluoride'!G214</f>
        <v>0</v>
      </c>
    </row>
    <row r="216" spans="1:5">
      <c r="A216" s="12">
        <f>'Group Fluoride'!A215</f>
        <v>0</v>
      </c>
      <c r="B216" s="12">
        <f>'Group Fluoride'!D215</f>
        <v>0</v>
      </c>
      <c r="C216" s="12">
        <f>'Group Fluoride'!E215</f>
        <v>0</v>
      </c>
      <c r="D216" s="12">
        <f>'Group Fluoride'!F215</f>
        <v>0</v>
      </c>
      <c r="E216" s="76">
        <f>'Group Fluoride'!G215</f>
        <v>0</v>
      </c>
    </row>
    <row r="217" spans="1:5">
      <c r="A217" s="12">
        <f>'Group Fluoride'!A216</f>
        <v>0</v>
      </c>
      <c r="B217" s="12">
        <f>'Group Fluoride'!D216</f>
        <v>0</v>
      </c>
      <c r="C217" s="12">
        <f>'Group Fluoride'!E216</f>
        <v>0</v>
      </c>
      <c r="D217" s="12">
        <f>'Group Fluoride'!F216</f>
        <v>0</v>
      </c>
      <c r="E217" s="76">
        <f>'Group Fluoride'!G216</f>
        <v>0</v>
      </c>
    </row>
    <row r="218" spans="1:5">
      <c r="A218" s="12">
        <f>'Group Fluoride'!A217</f>
        <v>0</v>
      </c>
      <c r="B218" s="12">
        <f>'Group Fluoride'!D217</f>
        <v>0</v>
      </c>
      <c r="C218" s="12">
        <f>'Group Fluoride'!E217</f>
        <v>0</v>
      </c>
      <c r="D218" s="12">
        <f>'Group Fluoride'!F217</f>
        <v>0</v>
      </c>
      <c r="E218" s="76">
        <f>'Group Fluoride'!G217</f>
        <v>0</v>
      </c>
    </row>
    <row r="219" spans="1:5">
      <c r="A219" s="12">
        <f>'Group Fluoride'!A218</f>
        <v>0</v>
      </c>
      <c r="B219" s="12">
        <f>'Group Fluoride'!D218</f>
        <v>0</v>
      </c>
      <c r="C219" s="12">
        <f>'Group Fluoride'!E218</f>
        <v>0</v>
      </c>
      <c r="D219" s="12">
        <f>'Group Fluoride'!F218</f>
        <v>0</v>
      </c>
      <c r="E219" s="76">
        <f>'Group Fluoride'!G218</f>
        <v>0</v>
      </c>
    </row>
    <row r="220" spans="1:5">
      <c r="A220" s="12">
        <f>'Group Fluoride'!A219</f>
        <v>0</v>
      </c>
      <c r="B220" s="12">
        <f>'Group Fluoride'!D219</f>
        <v>0</v>
      </c>
      <c r="C220" s="12">
        <f>'Group Fluoride'!E219</f>
        <v>0</v>
      </c>
      <c r="D220" s="12">
        <f>'Group Fluoride'!F219</f>
        <v>0</v>
      </c>
      <c r="E220" s="76">
        <f>'Group Fluoride'!G219</f>
        <v>0</v>
      </c>
    </row>
  </sheetData>
  <mergeCells count="2">
    <mergeCell ref="F1:I1"/>
    <mergeCell ref="B1:E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01ACF-DFBA-E242-882D-8A6C8AD9D39E}">
  <dimension ref="A1:Y74"/>
  <sheetViews>
    <sheetView zoomScale="110" zoomScaleNormal="110" workbookViewId="0">
      <pane xSplit="2" ySplit="1" topLeftCell="C2" activePane="bottomRight" state="frozen"/>
      <selection pane="topRight" activeCell="C1" sqref="C1"/>
      <selection pane="bottomLeft" activeCell="A2" sqref="A2"/>
      <selection pane="bottomRight" activeCell="H5" sqref="H5"/>
    </sheetView>
  </sheetViews>
  <sheetFormatPr defaultColWidth="10.6640625" defaultRowHeight="15.5"/>
  <cols>
    <col min="6" max="6" width="10.83203125" style="66"/>
    <col min="10" max="10" width="10.83203125" style="66"/>
    <col min="22" max="23" width="10.83203125" style="12"/>
  </cols>
  <sheetData>
    <row r="1" spans="1:23">
      <c r="C1" s="688" t="s">
        <v>306</v>
      </c>
      <c r="D1" s="688"/>
      <c r="E1" s="688"/>
      <c r="F1" s="688"/>
      <c r="G1" s="688" t="s">
        <v>307</v>
      </c>
      <c r="H1" s="688"/>
      <c r="I1" s="688"/>
      <c r="J1" s="688"/>
      <c r="K1" s="688" t="s">
        <v>308</v>
      </c>
      <c r="L1" s="688"/>
      <c r="M1" s="688"/>
      <c r="N1" s="688"/>
      <c r="O1" s="688"/>
      <c r="P1" s="688"/>
      <c r="Q1" s="688"/>
      <c r="R1" s="688"/>
      <c r="S1" t="s">
        <v>86</v>
      </c>
    </row>
    <row r="2" spans="1:23">
      <c r="A2" s="688" t="s">
        <v>158</v>
      </c>
      <c r="B2" s="688" t="s">
        <v>305</v>
      </c>
      <c r="C2" s="688" t="s">
        <v>151</v>
      </c>
      <c r="D2" s="688" t="s">
        <v>152</v>
      </c>
      <c r="E2" s="688" t="s">
        <v>153</v>
      </c>
      <c r="F2" s="781" t="s">
        <v>253</v>
      </c>
      <c r="G2" t="s">
        <v>452</v>
      </c>
      <c r="I2" s="688" t="s">
        <v>152</v>
      </c>
      <c r="J2" s="781" t="s">
        <v>151</v>
      </c>
      <c r="K2" s="688" t="s">
        <v>178</v>
      </c>
      <c r="L2" s="688"/>
      <c r="M2" s="688" t="s">
        <v>253</v>
      </c>
      <c r="N2" s="688"/>
      <c r="O2" s="688" t="s">
        <v>152</v>
      </c>
      <c r="P2" s="688"/>
      <c r="Q2" s="688" t="s">
        <v>151</v>
      </c>
      <c r="R2" s="688"/>
      <c r="S2" s="688" t="s">
        <v>178</v>
      </c>
      <c r="T2" s="688" t="s">
        <v>253</v>
      </c>
      <c r="U2" s="688" t="s">
        <v>152</v>
      </c>
      <c r="V2" s="782" t="s">
        <v>151</v>
      </c>
    </row>
    <row r="3" spans="1:23">
      <c r="A3" s="688"/>
      <c r="B3" s="688"/>
      <c r="C3" s="688"/>
      <c r="D3" s="688"/>
      <c r="E3" s="688"/>
      <c r="F3" s="781"/>
      <c r="G3">
        <v>1450</v>
      </c>
      <c r="H3">
        <v>0</v>
      </c>
      <c r="I3" s="688"/>
      <c r="J3" s="781"/>
      <c r="K3" t="s">
        <v>309</v>
      </c>
      <c r="L3" t="s">
        <v>310</v>
      </c>
      <c r="M3" t="s">
        <v>309</v>
      </c>
      <c r="N3" t="s">
        <v>310</v>
      </c>
      <c r="O3" t="s">
        <v>309</v>
      </c>
      <c r="P3" t="s">
        <v>310</v>
      </c>
      <c r="Q3" t="s">
        <v>309</v>
      </c>
      <c r="R3" t="s">
        <v>310</v>
      </c>
      <c r="S3" s="688"/>
      <c r="T3" s="688"/>
      <c r="U3" s="688"/>
      <c r="V3" s="782"/>
      <c r="W3" s="12" t="s">
        <v>355</v>
      </c>
    </row>
    <row r="4" spans="1:23">
      <c r="A4" s="12">
        <f>'Group Fluoride'!B2</f>
        <v>3.7</v>
      </c>
      <c r="B4" s="12">
        <f>'Group Fluoride'!N2</f>
        <v>1.75</v>
      </c>
      <c r="C4" s="12">
        <f>'Group Fluoride'!H2</f>
        <v>3.1522402820777429</v>
      </c>
      <c r="D4" s="12">
        <f>'Group Fluoride'!I2</f>
        <v>0</v>
      </c>
      <c r="E4" s="12">
        <f>'Group Fluoride'!J2</f>
        <v>1.5835893980893609</v>
      </c>
      <c r="F4" s="76">
        <f>'Group Fluoride'!O2</f>
        <v>3.4565518460677134</v>
      </c>
      <c r="G4">
        <v>1450</v>
      </c>
      <c r="H4">
        <v>100</v>
      </c>
      <c r="K4">
        <f>'Set 2 Alkalinity'!Y3</f>
        <v>370</v>
      </c>
      <c r="L4">
        <f>'Set 2 Alkalinity'!Z3</f>
        <v>29.999999999999982</v>
      </c>
      <c r="M4">
        <f>'Set 2 Alkalinity'!AI33</f>
        <v>0</v>
      </c>
      <c r="N4">
        <f>'Set 2 Alkalinity'!AJ33</f>
        <v>0</v>
      </c>
      <c r="O4">
        <f>'Set 2 Alkalinity'!AA3</f>
        <v>430.00000000000006</v>
      </c>
      <c r="P4">
        <f>'Set 2 Alkalinity'!AB3</f>
        <v>119.99999999999993</v>
      </c>
      <c r="Q4" s="77">
        <f>('Set 2 Alkalinity'!AC3+'Set 2 Alkalinity'!AE3+'Set 2 Alkalinity'!AG3)/3</f>
        <v>516.66666666666686</v>
      </c>
      <c r="R4" s="77">
        <f>('Set 2 Alkalinity'!AD3+'Set 2 Alkalinity'!AF3+'Set 2 Alkalinity'!AH3)/3</f>
        <v>39.999999999999915</v>
      </c>
      <c r="T4">
        <f>'pH,Flow,S.Vol.'!AO46</f>
        <v>8.43</v>
      </c>
      <c r="W4" s="12">
        <v>3.7</v>
      </c>
    </row>
    <row r="5" spans="1:23">
      <c r="A5" s="12">
        <f>'Group Fluoride'!B3</f>
        <v>24.816666666666666</v>
      </c>
      <c r="B5" s="12">
        <f>'Group Fluoride'!N3</f>
        <v>21.616666666666667</v>
      </c>
      <c r="C5" s="12">
        <f>'Group Fluoride'!H3</f>
        <v>4.4187881899354728</v>
      </c>
      <c r="D5" s="12">
        <f>'Group Fluoride'!I3</f>
        <v>0.34207108990426721</v>
      </c>
      <c r="E5" s="12">
        <f>'Group Fluoride'!J3</f>
        <v>0.26314028585618437</v>
      </c>
      <c r="F5" s="76">
        <f>'Group Fluoride'!O3</f>
        <v>4.828770957951499</v>
      </c>
      <c r="H5" s="12"/>
      <c r="K5">
        <f>'Set 2 Alkalinity'!Y4</f>
        <v>0</v>
      </c>
      <c r="L5">
        <f>'Set 2 Alkalinity'!Z4</f>
        <v>0</v>
      </c>
      <c r="M5">
        <f>'Set 2 Alkalinity'!AI34</f>
        <v>409.99999999999943</v>
      </c>
      <c r="N5">
        <f>'Set 2 Alkalinity'!AJ34</f>
        <v>10.000000000000142</v>
      </c>
      <c r="O5">
        <f>'Set 2 Alkalinity'!AA4</f>
        <v>414.99999999999989</v>
      </c>
      <c r="P5">
        <f>'Set 2 Alkalinity'!AB4</f>
        <v>55.000000000000071</v>
      </c>
      <c r="Q5" s="77">
        <f>('Set 2 Alkalinity'!AC4+'Set 2 Alkalinity'!AE4+'Set 2 Alkalinity'!AG4)/3</f>
        <v>413.33333333333326</v>
      </c>
      <c r="R5" s="77">
        <f>('Set 2 Alkalinity'!AD4+'Set 2 Alkalinity'!AF4+'Set 2 Alkalinity'!AH4)/3</f>
        <v>46.666666666666856</v>
      </c>
      <c r="T5">
        <f>'pH,Flow,S.Vol.'!AO47</f>
        <v>8.68</v>
      </c>
      <c r="W5" s="12">
        <v>24.816666666666666</v>
      </c>
    </row>
    <row r="6" spans="1:23">
      <c r="A6" s="12">
        <f>'Group Fluoride'!B4</f>
        <v>120.18333333333334</v>
      </c>
      <c r="B6" s="12">
        <f>'Group Fluoride'!N4</f>
        <v>46.8</v>
      </c>
      <c r="C6" s="12">
        <f>'Group Fluoride'!H4</f>
        <v>3.7770160762641054</v>
      </c>
      <c r="D6" s="12">
        <f>'Group Fluoride'!I4</f>
        <v>0.38691752483918707</v>
      </c>
      <c r="E6" s="12">
        <f>'Group Fluoride'!J4</f>
        <v>0.11312416352214488</v>
      </c>
      <c r="F6" s="76">
        <f>'Group Fluoride'!O4</f>
        <v>3.5920464160522183</v>
      </c>
      <c r="H6" s="12"/>
      <c r="K6">
        <f>'Set 2 Alkalinity'!Y5</f>
        <v>360</v>
      </c>
      <c r="L6">
        <f>'Set 2 Alkalinity'!Z5</f>
        <v>90</v>
      </c>
      <c r="M6">
        <f>'Set 2 Alkalinity'!AI35</f>
        <v>200</v>
      </c>
      <c r="N6">
        <f>'Set 2 Alkalinity'!AJ35</f>
        <v>40.000000000000213</v>
      </c>
      <c r="O6">
        <f>'Set 2 Alkalinity'!AA5</f>
        <v>409.99999999999977</v>
      </c>
      <c r="P6">
        <f>'Set 2 Alkalinity'!AB5</f>
        <v>60.000000000000142</v>
      </c>
      <c r="Q6" s="77">
        <f>('Set 2 Alkalinity'!AC5+'Set 2 Alkalinity'!AE5+'Set 2 Alkalinity'!AG5)/3</f>
        <v>396.66666666666657</v>
      </c>
      <c r="R6" s="77">
        <f>('Set 2 Alkalinity'!AD5+'Set 2 Alkalinity'!AF5+'Set 2 Alkalinity'!AH5)/3</f>
        <v>50.000000000000114</v>
      </c>
      <c r="T6">
        <f>'pH,Flow,S.Vol.'!AO48</f>
        <v>8.56</v>
      </c>
      <c r="W6" s="12">
        <v>120.18333333333334</v>
      </c>
    </row>
    <row r="7" spans="1:23">
      <c r="A7" s="12">
        <f>'Group Fluoride'!B5</f>
        <v>144.85</v>
      </c>
      <c r="B7" s="12">
        <f>'Group Fluoride'!N5</f>
        <v>166.5</v>
      </c>
      <c r="C7" s="12">
        <f>'Group Fluoride'!H5</f>
        <v>3.7731505249700521</v>
      </c>
      <c r="D7" s="12">
        <f>'Group Fluoride'!I5</f>
        <v>0.36378461631383446</v>
      </c>
      <c r="E7" s="12">
        <f>'Group Fluoride'!J5</f>
        <v>0.17836541077089213</v>
      </c>
      <c r="F7" s="76">
        <f>'Group Fluoride'!O5</f>
        <v>3.6924029977033728</v>
      </c>
      <c r="H7" s="12"/>
      <c r="K7">
        <f>'Set 2 Alkalinity'!Y6</f>
        <v>389.99999999999989</v>
      </c>
      <c r="L7">
        <f>'Set 2 Alkalinity'!Z6</f>
        <v>50</v>
      </c>
      <c r="M7">
        <f>'Set 2 Alkalinity'!AI36</f>
        <v>489.99999999999989</v>
      </c>
      <c r="N7">
        <f>'Set 2 Alkalinity'!AJ36</f>
        <v>39.999999999999858</v>
      </c>
      <c r="O7">
        <f>'Set 2 Alkalinity'!AA6</f>
        <v>450</v>
      </c>
      <c r="P7">
        <f>'Set 2 Alkalinity'!AB6</f>
        <v>19.999999999999574</v>
      </c>
      <c r="Q7" s="77">
        <f>('Set 2 Alkalinity'!AC6+'Set 2 Alkalinity'!AE6+'Set 2 Alkalinity'!AG6)/3</f>
        <v>423.3333333333332</v>
      </c>
      <c r="R7" s="77">
        <f>('Set 2 Alkalinity'!AD6+'Set 2 Alkalinity'!AF6+'Set 2 Alkalinity'!AH6)/3</f>
        <v>36.666666666666714</v>
      </c>
      <c r="T7">
        <f>'pH,Flow,S.Vol.'!AO49</f>
        <v>8.6300000000000008</v>
      </c>
      <c r="W7" s="12">
        <v>144.85</v>
      </c>
    </row>
    <row r="8" spans="1:23">
      <c r="A8" s="12">
        <f>'Group Fluoride'!B6</f>
        <v>166.15</v>
      </c>
      <c r="B8" s="12">
        <f>'Group Fluoride'!N6</f>
        <v>214.66666666666666</v>
      </c>
      <c r="C8" s="12">
        <f>'Group Fluoride'!H6</f>
        <v>3.5700077512356674</v>
      </c>
      <c r="D8" s="12">
        <f>'Group Fluoride'!I6</f>
        <v>0.34605743967626013</v>
      </c>
      <c r="E8" s="12">
        <f>'Group Fluoride'!J6</f>
        <v>0.16263634000401608</v>
      </c>
      <c r="F8" s="76">
        <f>'Group Fluoride'!O6</f>
        <v>2.9098680924821525</v>
      </c>
      <c r="H8" s="12"/>
      <c r="K8">
        <f>'Set 2 Alkalinity'!Y7</f>
        <v>400</v>
      </c>
      <c r="L8">
        <f>'Set 2 Alkalinity'!Z7</f>
        <v>25</v>
      </c>
      <c r="M8">
        <f>'Set 2 Alkalinity'!AI37</f>
        <v>450</v>
      </c>
      <c r="N8">
        <f>'Set 2 Alkalinity'!AJ37</f>
        <v>40.000000000000568</v>
      </c>
      <c r="O8">
        <f>'Set 2 Alkalinity'!AA7</f>
        <v>419.99999999999994</v>
      </c>
      <c r="P8">
        <f>'Set 2 Alkalinity'!AB7</f>
        <v>34.999999999999964</v>
      </c>
      <c r="Q8" s="77">
        <f>('Set 2 Alkalinity'!AC7+'Set 2 Alkalinity'!AE7+'Set 2 Alkalinity'!AG7)/3</f>
        <v>420.00000000000017</v>
      </c>
      <c r="R8" s="77">
        <f>('Set 2 Alkalinity'!AD7+'Set 2 Alkalinity'!AF7+'Set 2 Alkalinity'!AH7)/3</f>
        <v>29.999999999999954</v>
      </c>
      <c r="T8">
        <f>'pH,Flow,S.Vol.'!AO50</f>
        <v>8.68</v>
      </c>
      <c r="W8" s="12">
        <v>166.15</v>
      </c>
    </row>
    <row r="9" spans="1:23">
      <c r="A9" s="12">
        <f>'Group Fluoride'!B7</f>
        <v>191.75</v>
      </c>
      <c r="B9" s="12">
        <f>'Group Fluoride'!N7</f>
        <v>286.59999999999997</v>
      </c>
      <c r="C9" s="12">
        <f>'Group Fluoride'!H7</f>
        <v>3.5463259107275769</v>
      </c>
      <c r="D9" s="12">
        <f>'Group Fluoride'!I7</f>
        <v>0.31111580471908762</v>
      </c>
      <c r="E9" s="12">
        <f>'Group Fluoride'!J7</f>
        <v>0.11989706984470333</v>
      </c>
      <c r="F9" s="76">
        <f>'Group Fluoride'!O7</f>
        <v>2.9178589265254562</v>
      </c>
      <c r="H9" s="12"/>
      <c r="K9">
        <f>'Set 2 Alkalinity'!Y8</f>
        <v>390.00000000000023</v>
      </c>
      <c r="L9">
        <f>'Set 2 Alkalinity'!Z8</f>
        <v>39.999999999999858</v>
      </c>
      <c r="M9">
        <f>'Set 2 Alkalinity'!AI38</f>
        <v>419.99999999999955</v>
      </c>
      <c r="N9">
        <f>'Set 2 Alkalinity'!AJ38</f>
        <v>50</v>
      </c>
      <c r="O9">
        <f>'Set 2 Alkalinity'!AA8</f>
        <v>430.00000000000006</v>
      </c>
      <c r="P9">
        <f>'Set 2 Alkalinity'!AB8</f>
        <v>39.999999999999858</v>
      </c>
      <c r="Q9" s="77">
        <f>('Set 2 Alkalinity'!AC8+'Set 2 Alkalinity'!AE8+'Set 2 Alkalinity'!AG8)/3</f>
        <v>423.33333333333348</v>
      </c>
      <c r="R9" s="77">
        <f>('Set 2 Alkalinity'!AD8+'Set 2 Alkalinity'!AF8+'Set 2 Alkalinity'!AH8)/3</f>
        <v>39.999999999999858</v>
      </c>
      <c r="T9">
        <f>'pH,Flow,S.Vol.'!AO51</f>
        <v>8.74</v>
      </c>
      <c r="W9" s="12">
        <v>191.75</v>
      </c>
    </row>
    <row r="10" spans="1:23">
      <c r="A10" s="12">
        <f>'Group Fluoride'!B8</f>
        <v>262.61666666666667</v>
      </c>
      <c r="B10" s="12">
        <f>'Group Fluoride'!N8</f>
        <v>334.76666666666659</v>
      </c>
      <c r="C10" s="12">
        <f>'Group Fluoride'!H8</f>
        <v>3.4807293866795406</v>
      </c>
      <c r="D10" s="12">
        <f>'Group Fluoride'!I8</f>
        <v>0.27442520065174097</v>
      </c>
      <c r="E10" s="12">
        <f>'Group Fluoride'!J8</f>
        <v>0.1386760922945445</v>
      </c>
      <c r="F10" s="76">
        <f>'Group Fluoride'!O8</f>
        <v>2.8596852300242133</v>
      </c>
      <c r="H10" s="12"/>
      <c r="K10">
        <f>'Set 2 Alkalinity'!Y9</f>
        <v>440.00000000000023</v>
      </c>
      <c r="L10">
        <f>'Set 2 Alkalinity'!Z9</f>
        <v>30.000000000000071</v>
      </c>
      <c r="M10">
        <f>'Set 2 Alkalinity'!AI39</f>
        <v>429.99999999999972</v>
      </c>
      <c r="N10">
        <f>'Set 2 Alkalinity'!AJ39</f>
        <v>60.000000000000142</v>
      </c>
      <c r="O10">
        <f>'Set 2 Alkalinity'!AA9</f>
        <v>450</v>
      </c>
      <c r="P10">
        <f>'Set 2 Alkalinity'!AB9</f>
        <v>29.999999999999716</v>
      </c>
      <c r="Q10" s="77">
        <f>('Set 2 Alkalinity'!AC9+'Set 2 Alkalinity'!AE9+'Set 2 Alkalinity'!AG9)/3</f>
        <v>416.66666666666669</v>
      </c>
      <c r="R10" s="77">
        <f>('Set 2 Alkalinity'!AD9+'Set 2 Alkalinity'!AF9+'Set 2 Alkalinity'!AH9)/3</f>
        <v>43.333333333333236</v>
      </c>
      <c r="T10">
        <f>'pH,Flow,S.Vol.'!AO52</f>
        <v>8.74</v>
      </c>
      <c r="W10" s="12">
        <v>262.61666666666667</v>
      </c>
    </row>
    <row r="11" spans="1:23">
      <c r="A11" s="12">
        <f>'Group Fluoride'!B9</f>
        <v>311.38333333333333</v>
      </c>
      <c r="B11" s="12">
        <f>'Group Fluoride'!N9</f>
        <v>380.89999999999992</v>
      </c>
      <c r="C11" s="12">
        <f>'Group Fluoride'!H9</f>
        <v>3.4119546195160222</v>
      </c>
      <c r="D11" s="12">
        <f>'Group Fluoride'!I9</f>
        <v>0.28142538169090581</v>
      </c>
      <c r="E11" s="12">
        <f>'Group Fluoride'!J9</f>
        <v>7.2546027727302898E-2</v>
      </c>
      <c r="F11" s="76">
        <f>'Group Fluoride'!O9</f>
        <v>3.0462469733656174</v>
      </c>
      <c r="H11" s="12"/>
      <c r="K11">
        <f>'Set 2 Alkalinity'!Y10</f>
        <v>400</v>
      </c>
      <c r="L11">
        <f>'Set 2 Alkalinity'!Z10</f>
        <v>39.999999999999858</v>
      </c>
      <c r="M11">
        <f>'Set 2 Alkalinity'!AI40</f>
        <v>419.99999999999994</v>
      </c>
      <c r="N11">
        <f>'Set 2 Alkalinity'!AJ40</f>
        <v>50</v>
      </c>
      <c r="O11">
        <f>'Set 2 Alkalinity'!AA10</f>
        <v>419.99999999999994</v>
      </c>
      <c r="P11">
        <f>'Set 2 Alkalinity'!AB10</f>
        <v>40.000000000000213</v>
      </c>
      <c r="Q11" s="77">
        <f>('Set 2 Alkalinity'!AC10+'Set 2 Alkalinity'!AE10+'Set 2 Alkalinity'!AG10)/3</f>
        <v>415.00000000000006</v>
      </c>
      <c r="R11" s="77">
        <f>('Set 2 Alkalinity'!AD10+'Set 2 Alkalinity'!AF10+'Set 2 Alkalinity'!AH10)/3</f>
        <v>38.333333333333286</v>
      </c>
      <c r="S11">
        <f>'pH,Flow,S.Vol.'!AS22</f>
        <v>8.7100000000000009</v>
      </c>
      <c r="T11">
        <f>'pH,Flow,S.Vol.'!AO53</f>
        <v>8.84</v>
      </c>
      <c r="U11">
        <f>'pH,Flow,S.Vol.'!Y22</f>
        <v>8.92</v>
      </c>
      <c r="V11" s="12">
        <f>('pH,Flow,S.Vol.'!AC22+'pH,Flow,S.Vol.'!AG22+'pH,Flow,S.Vol.'!AK22)/3</f>
        <v>8.7633333333333336</v>
      </c>
      <c r="W11" s="12">
        <v>311.38333333333333</v>
      </c>
    </row>
    <row r="12" spans="1:23">
      <c r="A12" s="12">
        <f>'Group Fluoride'!B10</f>
        <v>334.28333333333336</v>
      </c>
      <c r="B12" s="12">
        <f>'Group Fluoride'!N10</f>
        <v>459.88333333333327</v>
      </c>
      <c r="C12" s="12">
        <f>'Group Fluoride'!H10</f>
        <v>3.3442057409530705</v>
      </c>
      <c r="D12" s="12">
        <f>'Group Fluoride'!I10</f>
        <v>0.32089191961861085</v>
      </c>
      <c r="E12" s="12">
        <f>'Group Fluoride'!J10</f>
        <v>5.2813297329698992E-2</v>
      </c>
      <c r="F12" s="76">
        <f>'Group Fluoride'!O10</f>
        <v>3.1256053268765136</v>
      </c>
      <c r="H12" s="12"/>
      <c r="K12">
        <f>'Set 2 Alkalinity'!Y11</f>
        <v>450</v>
      </c>
      <c r="L12">
        <f>'Set 2 Alkalinity'!Z11</f>
        <v>19.999999999999929</v>
      </c>
      <c r="M12">
        <f>'Set 2 Alkalinity'!AI41</f>
        <v>380</v>
      </c>
      <c r="N12">
        <f>'Set 2 Alkalinity'!AJ41</f>
        <v>60.000000000000057</v>
      </c>
      <c r="O12">
        <f>'Set 2 Alkalinity'!AA11</f>
        <v>439.99999999999989</v>
      </c>
      <c r="P12">
        <f>'Set 2 Alkalinity'!AB11</f>
        <v>30.000000000000071</v>
      </c>
      <c r="Q12" s="77">
        <f>('Set 2 Alkalinity'!AC11+'Set 2 Alkalinity'!AE11+'Set 2 Alkalinity'!AG11)/3</f>
        <v>420.00000000000006</v>
      </c>
      <c r="R12" s="77">
        <f>('Set 2 Alkalinity'!AD11+'Set 2 Alkalinity'!AF11+'Set 2 Alkalinity'!AH11)/3</f>
        <v>43.333333333333236</v>
      </c>
      <c r="S12">
        <f>'pH,Flow,S.Vol.'!AS23</f>
        <v>8.69</v>
      </c>
      <c r="T12">
        <f>'pH,Flow,S.Vol.'!AO54</f>
        <v>8.75</v>
      </c>
      <c r="U12">
        <f>'pH,Flow,S.Vol.'!Y23</f>
        <v>8.8699999999999992</v>
      </c>
      <c r="V12" s="12">
        <f>('pH,Flow,S.Vol.'!AC23+'pH,Flow,S.Vol.'!AG23+'pH,Flow,S.Vol.'!AK23)/3</f>
        <v>8.6766666666666676</v>
      </c>
      <c r="W12" s="12">
        <v>334.28333333333336</v>
      </c>
    </row>
    <row r="13" spans="1:23">
      <c r="A13" s="12">
        <f>'Group Fluoride'!B11</f>
        <v>358.4</v>
      </c>
      <c r="B13" s="12">
        <f>'Group Fluoride'!N11</f>
        <v>507.81666666666661</v>
      </c>
      <c r="C13" s="12">
        <f>'Group Fluoride'!H11</f>
        <v>3.3295930070363595</v>
      </c>
      <c r="D13" s="12">
        <f>'Group Fluoride'!I11</f>
        <v>0.22925513778246176</v>
      </c>
      <c r="E13" s="12">
        <f>'Group Fluoride'!J11</f>
        <v>5.9940183435658753E-2</v>
      </c>
      <c r="F13" s="76">
        <f>'Group Fluoride'!O11</f>
        <v>3.1033568372205145</v>
      </c>
      <c r="H13" s="12"/>
      <c r="K13">
        <f>'Set 2 Alkalinity'!Y12</f>
        <v>440.00000000000023</v>
      </c>
      <c r="L13">
        <f>'Set 2 Alkalinity'!Z12</f>
        <v>19.999999999999929</v>
      </c>
      <c r="M13">
        <f>'Set 2 Alkalinity'!AI42</f>
        <v>519.99999999999955</v>
      </c>
      <c r="N13">
        <f>'Set 2 Alkalinity'!AJ42</f>
        <v>40.000000000000213</v>
      </c>
      <c r="O13">
        <f>'Set 2 Alkalinity'!AA12</f>
        <v>440.00000000000023</v>
      </c>
      <c r="P13">
        <f>'Set 2 Alkalinity'!AB12</f>
        <v>19.999999999999929</v>
      </c>
      <c r="Q13" s="77">
        <f>('Set 2 Alkalinity'!AC12+'Set 2 Alkalinity'!AE12+'Set 2 Alkalinity'!AG12)/3</f>
        <v>430.00000000000017</v>
      </c>
      <c r="R13" s="77">
        <f>('Set 2 Alkalinity'!AD12+'Set 2 Alkalinity'!AF12+'Set 2 Alkalinity'!AH12)/3</f>
        <v>49.999999999999766</v>
      </c>
      <c r="S13">
        <f>'pH,Flow,S.Vol.'!AS24</f>
        <v>8.6300000000000008</v>
      </c>
      <c r="T13">
        <f>'pH,Flow,S.Vol.'!AO55</f>
        <v>8.82</v>
      </c>
      <c r="U13">
        <f>'pH,Flow,S.Vol.'!Y24</f>
        <v>8.8699999999999992</v>
      </c>
      <c r="V13" s="12">
        <f>('pH,Flow,S.Vol.'!AC24+'pH,Flow,S.Vol.'!AG24+'pH,Flow,S.Vol.'!AK24)/3</f>
        <v>8.7000000000000011</v>
      </c>
      <c r="W13" s="12">
        <v>358.4</v>
      </c>
    </row>
    <row r="14" spans="1:23">
      <c r="A14" s="12">
        <f>'Group Fluoride'!B12</f>
        <v>430.51666666666665</v>
      </c>
      <c r="B14" s="12">
        <f>'Group Fluoride'!N12</f>
        <v>625.1</v>
      </c>
      <c r="C14" s="12">
        <f>'Group Fluoride'!H12</f>
        <v>3.3913600529018524</v>
      </c>
      <c r="D14" s="12">
        <f>'Group Fluoride'!I12</f>
        <v>0.19584017854375252</v>
      </c>
      <c r="E14" s="12">
        <f>'Group Fluoride'!J12</f>
        <v>6.3121497518935019E-2</v>
      </c>
      <c r="F14" s="76">
        <f>'Group Fluoride'!O12</f>
        <v>2.9270475501717597</v>
      </c>
      <c r="H14" s="12"/>
      <c r="K14">
        <f>'Set 2 Alkalinity'!Y13</f>
        <v>450</v>
      </c>
      <c r="L14">
        <f>'Set 2 Alkalinity'!Z13</f>
        <v>9.9999999999997868</v>
      </c>
      <c r="M14" t="e">
        <f>'Set 2 Alkalinity'!AI43</f>
        <v>#VALUE!</v>
      </c>
      <c r="N14" t="e">
        <f>'Set 2 Alkalinity'!AJ43</f>
        <v>#VALUE!</v>
      </c>
      <c r="O14">
        <f>'Set 2 Alkalinity'!AA13</f>
        <v>400.00000000000034</v>
      </c>
      <c r="P14">
        <f>'Set 2 Alkalinity'!AB13</f>
        <v>50</v>
      </c>
      <c r="Q14" s="77">
        <f>('Set 2 Alkalinity'!AC13+'Set 2 Alkalinity'!AE13+'Set 2 Alkalinity'!AG13)/3</f>
        <v>440.00000000000017</v>
      </c>
      <c r="R14" s="77">
        <f>('Set 2 Alkalinity'!AD13+'Set 2 Alkalinity'!AF13+'Set 2 Alkalinity'!AH13)/3</f>
        <v>36.66666666666648</v>
      </c>
      <c r="S14">
        <f>'pH,Flow,S.Vol.'!AS25</f>
        <v>8.73</v>
      </c>
      <c r="T14">
        <f>'pH,Flow,S.Vol.'!AO56</f>
        <v>8.8000000000000007</v>
      </c>
      <c r="U14">
        <f>'pH,Flow,S.Vol.'!Y25</f>
        <v>8.94</v>
      </c>
      <c r="V14" s="12">
        <f>('pH,Flow,S.Vol.'!AC25+'pH,Flow,S.Vol.'!AG25+'pH,Flow,S.Vol.'!AK25)/3</f>
        <v>8.7533333333333321</v>
      </c>
      <c r="W14" s="12">
        <v>430.51666666666665</v>
      </c>
    </row>
    <row r="15" spans="1:23">
      <c r="A15" s="12">
        <f>'Group Fluoride'!B13</f>
        <v>453.28333333333336</v>
      </c>
      <c r="B15" s="12">
        <f>'Group Fluoride'!N13</f>
        <v>717.73333333333335</v>
      </c>
      <c r="C15" s="12">
        <f>'Group Fluoride'!H13</f>
        <v>3.2035894733579244</v>
      </c>
      <c r="D15" s="12">
        <f>'Group Fluoride'!I13</f>
        <v>0.14268001611853318</v>
      </c>
      <c r="E15" s="12">
        <f>'Group Fluoride'!J13</f>
        <v>1.5968912502821682E-2</v>
      </c>
      <c r="F15" s="76">
        <f>'Group Fluoride'!O13</f>
        <v>3.1012173808232388</v>
      </c>
      <c r="K15">
        <f>'Set 2 Alkalinity'!Y14</f>
        <v>450</v>
      </c>
      <c r="L15">
        <f>'Set 2 Alkalinity'!Z14</f>
        <v>19.999999999999929</v>
      </c>
      <c r="M15">
        <f>'Set 2 Alkalinity'!AI44</f>
        <v>430.00000000000006</v>
      </c>
      <c r="N15">
        <f>'Set 2 Alkalinity'!AJ44</f>
        <v>29.999999999999893</v>
      </c>
      <c r="O15">
        <f>'Set 2 Alkalinity'!AA14</f>
        <v>419.99999999999994</v>
      </c>
      <c r="P15">
        <f>'Set 2 Alkalinity'!AB14</f>
        <v>39.999999999999858</v>
      </c>
      <c r="Q15" s="77">
        <f>('Set 2 Alkalinity'!AC14+'Set 2 Alkalinity'!AE14+'Set 2 Alkalinity'!AG14)/3</f>
        <v>440.00000000000017</v>
      </c>
      <c r="R15" s="77">
        <f>('Set 2 Alkalinity'!AD14+'Set 2 Alkalinity'!AF14+'Set 2 Alkalinity'!AH14)/3</f>
        <v>39.999999999999858</v>
      </c>
      <c r="S15">
        <f>'pH,Flow,S.Vol.'!AS26</f>
        <v>8.6</v>
      </c>
      <c r="T15">
        <f>'pH,Flow,S.Vol.'!AO57</f>
        <v>8.8000000000000007</v>
      </c>
      <c r="U15">
        <f>'pH,Flow,S.Vol.'!Y26</f>
        <v>8.8800000000000008</v>
      </c>
      <c r="V15" s="12">
        <f>('pH,Flow,S.Vol.'!AC26+'pH,Flow,S.Vol.'!AG26+'pH,Flow,S.Vol.'!AK26)/3</f>
        <v>8.6966666666666672</v>
      </c>
      <c r="W15" s="12">
        <v>453.28333333333336</v>
      </c>
    </row>
    <row r="16" spans="1:23">
      <c r="A16" s="12">
        <f>'Group Fluoride'!B14</f>
        <v>478.11666666666667</v>
      </c>
      <c r="B16" s="12">
        <f>'Group Fluoride'!N14</f>
        <v>790.18333333333328</v>
      </c>
      <c r="C16" s="12">
        <f>'Group Fluoride'!H14</f>
        <v>3.2560244016132622</v>
      </c>
      <c r="D16" s="12">
        <f>'Group Fluoride'!I14</f>
        <v>0.23353803125190004</v>
      </c>
      <c r="E16" s="12">
        <f>'Group Fluoride'!J14</f>
        <v>1.297408281646026E-2</v>
      </c>
      <c r="F16" s="76">
        <f>'Group Fluoride'!O14</f>
        <v>3.0620745012932185</v>
      </c>
      <c r="K16">
        <f>'Set 2 Alkalinity'!Y15</f>
        <v>459.99999999999977</v>
      </c>
      <c r="L16">
        <f>'Set 2 Alkalinity'!Z15</f>
        <v>10.000000000000142</v>
      </c>
      <c r="M16">
        <f>'Set 2 Alkalinity'!AI45</f>
        <v>379.99999999999989</v>
      </c>
      <c r="N16">
        <f>'Set 2 Alkalinity'!AJ45</f>
        <v>30.000000000000071</v>
      </c>
      <c r="O16">
        <f>'Set 2 Alkalinity'!AA15</f>
        <v>400.00000000000034</v>
      </c>
      <c r="P16">
        <f>'Set 2 Alkalinity'!AB15</f>
        <v>150</v>
      </c>
      <c r="Q16" s="77">
        <f>('Set 2 Alkalinity'!AC15+'Set 2 Alkalinity'!AE15+'Set 2 Alkalinity'!AG15)/3</f>
        <v>433.33333333333309</v>
      </c>
      <c r="R16" s="77">
        <f>('Set 2 Alkalinity'!AD15+'Set 2 Alkalinity'!AF15+'Set 2 Alkalinity'!AH15)/3</f>
        <v>40.000000000000092</v>
      </c>
      <c r="S16">
        <f>'pH,Flow,S.Vol.'!AS27</f>
        <v>8.68</v>
      </c>
      <c r="T16">
        <f>'pH,Flow,S.Vol.'!AO58</f>
        <v>8.65</v>
      </c>
      <c r="U16">
        <f>'pH,Flow,S.Vol.'!Y27</f>
        <v>8.91</v>
      </c>
      <c r="V16" s="12">
        <f>('pH,Flow,S.Vol.'!AC27+'pH,Flow,S.Vol.'!AG27+'pH,Flow,S.Vol.'!AK27)/3</f>
        <v>8.7033333333333331</v>
      </c>
      <c r="W16" s="12">
        <v>478.11666666666667</v>
      </c>
    </row>
    <row r="17" spans="1:23">
      <c r="A17" s="12">
        <f>'Group Fluoride'!B15</f>
        <v>509.06666666666666</v>
      </c>
      <c r="B17" s="12">
        <f>'Group Fluoride'!N15</f>
        <v>838.58333333333337</v>
      </c>
      <c r="C17" s="12">
        <f>'Group Fluoride'!H15</f>
        <v>3.2881376542834562</v>
      </c>
      <c r="D17" s="12">
        <f>'Group Fluoride'!I15</f>
        <v>0.30017632394965643</v>
      </c>
      <c r="E17" s="12">
        <f>'Group Fluoride'!J15</f>
        <v>0.12955006702661684</v>
      </c>
      <c r="F17" s="76">
        <f>'Group Fluoride'!O15</f>
        <v>3.1197490858281056</v>
      </c>
      <c r="K17">
        <f>'Set 2 Alkalinity'!Y16</f>
        <v>409.99999999999977</v>
      </c>
      <c r="L17">
        <f>'Set 2 Alkalinity'!Z16</f>
        <v>30.000000000000071</v>
      </c>
      <c r="M17">
        <f>'Set 2 Alkalinity'!AI46</f>
        <v>369.99999999999994</v>
      </c>
      <c r="N17">
        <f>'Set 2 Alkalinity'!AJ46</f>
        <v>30.000000000000071</v>
      </c>
      <c r="O17">
        <f>'Set 2 Alkalinity'!AA16</f>
        <v>469.99999999999994</v>
      </c>
      <c r="P17">
        <f>'Set 2 Alkalinity'!AB16</f>
        <v>30.000000000000071</v>
      </c>
      <c r="Q17" s="77">
        <f>('Set 2 Alkalinity'!AC16+'Set 2 Alkalinity'!AE16+'Set 2 Alkalinity'!AG16)/3</f>
        <v>430</v>
      </c>
      <c r="R17" s="77">
        <f>('Set 2 Alkalinity'!AD16+'Set 2 Alkalinity'!AF16+'Set 2 Alkalinity'!AH16)/3</f>
        <v>36.666666666666714</v>
      </c>
      <c r="S17">
        <f>'pH,Flow,S.Vol.'!AS28</f>
        <v>8.58</v>
      </c>
      <c r="T17">
        <f>'pH,Flow,S.Vol.'!AO59</f>
        <v>8.7899999999999991</v>
      </c>
      <c r="U17">
        <f>'pH,Flow,S.Vol.'!Y28</f>
        <v>8.93</v>
      </c>
      <c r="V17" s="12">
        <f>('pH,Flow,S.Vol.'!AC28+'pH,Flow,S.Vol.'!AG28+'pH,Flow,S.Vol.'!AK28)/3</f>
        <v>8.7566666666666677</v>
      </c>
      <c r="W17" s="12">
        <v>509.06666666666666</v>
      </c>
    </row>
    <row r="18" spans="1:23" ht="16" thickBot="1">
      <c r="A18" s="56">
        <f>'Group Fluoride'!B16</f>
        <v>527.65</v>
      </c>
      <c r="B18" s="12">
        <f>'Group Fluoride'!N16</f>
        <v>958.73333333333335</v>
      </c>
      <c r="C18" s="12">
        <f>'Group Fluoride'!H16</f>
        <v>3.2742040088364646</v>
      </c>
      <c r="D18" s="12">
        <f>'Group Fluoride'!I16</f>
        <v>0.2428406396303277</v>
      </c>
      <c r="E18" s="12">
        <f>'Group Fluoride'!J16</f>
        <v>0.11765726963541022</v>
      </c>
      <c r="F18" s="76">
        <f>'Group Fluoride'!O16</f>
        <v>3.2353437000435981</v>
      </c>
      <c r="G18" s="12"/>
      <c r="I18" s="12">
        <f>('TOC 1&amp;2'!CK3)*100</f>
        <v>0</v>
      </c>
      <c r="J18" s="76">
        <f>('TOC 1&amp;2'!CZ3)*100</f>
        <v>0</v>
      </c>
      <c r="K18">
        <f>'Set 2 Alkalinity'!Y17</f>
        <v>369.99999999999994</v>
      </c>
      <c r="L18">
        <f>'Set 2 Alkalinity'!Z17</f>
        <v>40.000000000000213</v>
      </c>
      <c r="M18">
        <f>'Set 2 Alkalinity'!AI47</f>
        <v>400</v>
      </c>
      <c r="N18">
        <f>'Set 2 Alkalinity'!AJ47</f>
        <v>40.000000000000568</v>
      </c>
      <c r="O18">
        <f>'Set 2 Alkalinity'!AA17</f>
        <v>430.00000000000006</v>
      </c>
      <c r="P18">
        <f>'Set 2 Alkalinity'!AB17</f>
        <v>30.000000000000071</v>
      </c>
      <c r="Q18" s="77">
        <f>('Set 2 Alkalinity'!AC17+'Set 2 Alkalinity'!AE17+'Set 2 Alkalinity'!AG17)/3</f>
        <v>390.00000000000017</v>
      </c>
      <c r="R18" s="77">
        <f>('Set 2 Alkalinity'!AD17+'Set 2 Alkalinity'!AF17+'Set 2 Alkalinity'!AH17)/3</f>
        <v>26.666666666666572</v>
      </c>
      <c r="S18">
        <f>'pH,Flow,S.Vol.'!AS29</f>
        <v>8.5299999999999994</v>
      </c>
      <c r="T18">
        <f>'pH,Flow,S.Vol.'!AO60</f>
        <v>8.77</v>
      </c>
      <c r="U18">
        <f>'pH,Flow,S.Vol.'!Y29</f>
        <v>8.93</v>
      </c>
      <c r="V18" s="12">
        <f>('pH,Flow,S.Vol.'!AC29+'pH,Flow,S.Vol.'!AG29+'pH,Flow,S.Vol.'!AK29)/3</f>
        <v>8.7466666666666661</v>
      </c>
      <c r="W18" s="12">
        <v>527.65</v>
      </c>
    </row>
    <row r="19" spans="1:23">
      <c r="A19" s="12">
        <f>'Group Fluoride'!B17</f>
        <v>599</v>
      </c>
      <c r="B19" s="12">
        <f>'Group Fluoride'!N17</f>
        <v>1029.5999999999999</v>
      </c>
      <c r="C19" s="12">
        <f>'Group Fluoride'!H17</f>
        <v>3.3400246943083602</v>
      </c>
      <c r="D19" s="12">
        <f>'Group Fluoride'!I17</f>
        <v>0.31834747281634607</v>
      </c>
      <c r="E19" s="12">
        <f>'Group Fluoride'!J17</f>
        <v>0.3731758612139342</v>
      </c>
      <c r="F19" s="76">
        <f>'Group Fluoride'!O17</f>
        <v>3.5364045923557619</v>
      </c>
      <c r="G19" s="12"/>
      <c r="I19" s="12">
        <f>('TOC 1&amp;2'!CK4)*100</f>
        <v>0</v>
      </c>
      <c r="J19" s="76">
        <f>('TOC 1&amp;2'!CZ4)*100</f>
        <v>0</v>
      </c>
      <c r="K19">
        <f>'Set 2 Alkalinity'!Y18</f>
        <v>509.99999999999977</v>
      </c>
      <c r="L19">
        <f>'Set 2 Alkalinity'!Z18</f>
        <v>10.000000000000142</v>
      </c>
      <c r="M19">
        <f>'Set 2 Alkalinity'!AI48</f>
        <v>439.99999999999989</v>
      </c>
      <c r="N19">
        <f>'Set 2 Alkalinity'!AJ48</f>
        <v>19.999999999999929</v>
      </c>
      <c r="O19">
        <f>'Set 2 Alkalinity'!AA18</f>
        <v>479.99999999999972</v>
      </c>
      <c r="P19">
        <f>'Set 2 Alkalinity'!AB18</f>
        <v>40.000000000000213</v>
      </c>
      <c r="Q19" s="77">
        <f>('Set 2 Alkalinity'!AC18+'Set 2 Alkalinity'!AE18+'Set 2 Alkalinity'!AG18)/3</f>
        <v>430</v>
      </c>
      <c r="R19" s="77">
        <f>('Set 2 Alkalinity'!AD18+'Set 2 Alkalinity'!AF18+'Set 2 Alkalinity'!AH18)/3</f>
        <v>36.666666666666714</v>
      </c>
      <c r="S19">
        <f>'pH,Flow,S.Vol.'!AS30</f>
        <v>8.7100000000000009</v>
      </c>
      <c r="T19">
        <f>'pH,Flow,S.Vol.'!AO61</f>
        <v>8.73</v>
      </c>
      <c r="U19">
        <f>'pH,Flow,S.Vol.'!Y30</f>
        <v>8.8699999999999992</v>
      </c>
      <c r="V19" s="12">
        <f>('pH,Flow,S.Vol.'!AC30+'pH,Flow,S.Vol.'!AG30+'pH,Flow,S.Vol.'!AK30)/3</f>
        <v>8.7000000000000011</v>
      </c>
      <c r="W19" s="12">
        <v>599</v>
      </c>
    </row>
    <row r="20" spans="1:23">
      <c r="A20" s="12">
        <f>'Group Fluoride'!B18</f>
        <v>623</v>
      </c>
      <c r="B20" s="12">
        <f>'Group Fluoride'!N18</f>
        <v>1080.9166666666665</v>
      </c>
      <c r="C20" s="12">
        <f>'Group Fluoride'!H18</f>
        <v>2.9225415222846216</v>
      </c>
      <c r="D20" s="12">
        <f>'Group Fluoride'!I18</f>
        <v>0.42776914804636157</v>
      </c>
      <c r="E20" s="12">
        <f>'Group Fluoride'!J18</f>
        <v>0.14526729519241305</v>
      </c>
      <c r="F20" s="76">
        <f>'Group Fluoride'!O18</f>
        <v>3.0949967004619356</v>
      </c>
      <c r="G20" s="12"/>
      <c r="I20" s="12">
        <f>('TOC 1&amp;2'!CK5)*100</f>
        <v>0</v>
      </c>
      <c r="J20" s="76">
        <f>('TOC 1&amp;2'!CZ5)*100</f>
        <v>0</v>
      </c>
      <c r="K20">
        <f>'Set 2 Alkalinity'!Y19</f>
        <v>410.00000000000011</v>
      </c>
      <c r="L20">
        <f>'Set 2 Alkalinity'!Z19</f>
        <v>29.999999999999716</v>
      </c>
      <c r="M20">
        <f>'Set 2 Alkalinity'!AI49</f>
        <v>429.99999999999989</v>
      </c>
      <c r="N20">
        <f>'Set 2 Alkalinity'!AJ49</f>
        <v>29.999999999999893</v>
      </c>
      <c r="O20">
        <f>'Set 2 Alkalinity'!AA19</f>
        <v>479.99999999999972</v>
      </c>
      <c r="P20">
        <f>'Set 2 Alkalinity'!AB19</f>
        <v>50</v>
      </c>
      <c r="Q20" s="77">
        <f>('Set 2 Alkalinity'!AC19+'Set 2 Alkalinity'!AE19+'Set 2 Alkalinity'!AG19)/3</f>
        <v>430.00000000000017</v>
      </c>
      <c r="R20" s="77">
        <f>('Set 2 Alkalinity'!AD19+'Set 2 Alkalinity'!AF19+'Set 2 Alkalinity'!AH19)/3</f>
        <v>33.333333333333336</v>
      </c>
      <c r="S20">
        <f>'pH,Flow,S.Vol.'!AS31</f>
        <v>8.7200000000000006</v>
      </c>
      <c r="T20">
        <f>'pH,Flow,S.Vol.'!AO62</f>
        <v>8.8000000000000007</v>
      </c>
      <c r="U20">
        <f>'pH,Flow,S.Vol.'!Y31</f>
        <v>8.84</v>
      </c>
      <c r="V20" s="12">
        <f>('pH,Flow,S.Vol.'!AC31+'pH,Flow,S.Vol.'!AG31+'pH,Flow,S.Vol.'!AK31)/3</f>
        <v>8.7133333333333329</v>
      </c>
      <c r="W20" s="12">
        <v>623</v>
      </c>
    </row>
    <row r="21" spans="1:23">
      <c r="A21" s="12">
        <f>'Group Fluoride'!B19</f>
        <v>646.56666666666672</v>
      </c>
      <c r="B21" s="12">
        <f>'Group Fluoride'!N19</f>
        <v>1129.2166666666665</v>
      </c>
      <c r="C21" s="12">
        <f>'Group Fluoride'!H19</f>
        <v>2.7957341914456926</v>
      </c>
      <c r="D21" s="12">
        <f>'Group Fluoride'!I19</f>
        <v>0.21770475571645162</v>
      </c>
      <c r="E21" s="12">
        <f>'Group Fluoride'!J19</f>
        <v>0.14213072978203103</v>
      </c>
      <c r="F21" s="76">
        <f>'Group Fluoride'!O19</f>
        <v>3.0745418288861455</v>
      </c>
      <c r="G21" s="12"/>
      <c r="I21" s="12">
        <f>('TOC 1&amp;2'!CK6)*100</f>
        <v>0</v>
      </c>
      <c r="J21" s="76">
        <f>('TOC 1&amp;2'!CZ6)*100</f>
        <v>0</v>
      </c>
      <c r="K21">
        <f>'Set 2 Alkalinity'!Y20</f>
        <v>410.00000000000011</v>
      </c>
      <c r="L21">
        <f>'Set 2 Alkalinity'!Z20</f>
        <v>39.999999999999858</v>
      </c>
      <c r="M21">
        <f>'Set 2 Alkalinity'!AI50</f>
        <v>400</v>
      </c>
      <c r="N21">
        <f>'Set 2 Alkalinity'!AJ50</f>
        <v>39.999999999999858</v>
      </c>
      <c r="O21">
        <f>'Set 2 Alkalinity'!AA20</f>
        <v>400</v>
      </c>
      <c r="P21">
        <f>'Set 2 Alkalinity'!AB20</f>
        <v>50</v>
      </c>
      <c r="Q21" s="77">
        <f>('Set 2 Alkalinity'!AC20+'Set 2 Alkalinity'!AE20+'Set 2 Alkalinity'!AG20)/3</f>
        <v>430.00000000000017</v>
      </c>
      <c r="R21" s="77">
        <f>('Set 2 Alkalinity'!AD20+'Set 2 Alkalinity'!AF20+'Set 2 Alkalinity'!AH20)/3</f>
        <v>39.999999999999858</v>
      </c>
      <c r="S21">
        <f>'pH,Flow,S.Vol.'!AS32</f>
        <v>8.6300000000000008</v>
      </c>
      <c r="T21">
        <f>'pH,Flow,S.Vol.'!AO63</f>
        <v>8.65</v>
      </c>
      <c r="U21">
        <f>'pH,Flow,S.Vol.'!Y32</f>
        <v>8.8800000000000008</v>
      </c>
      <c r="V21" s="12">
        <f>('pH,Flow,S.Vol.'!AC32+'pH,Flow,S.Vol.'!AG32+'pH,Flow,S.Vol.'!AK32)/3</f>
        <v>8.7333333333333343</v>
      </c>
      <c r="W21" s="12">
        <v>646.56666666666672</v>
      </c>
    </row>
    <row r="22" spans="1:23">
      <c r="A22" s="12">
        <f>'Group Fluoride'!B20</f>
        <v>699.03</v>
      </c>
      <c r="B22" s="12">
        <f>'Group Fluoride'!N20</f>
        <v>1197.6666666666665</v>
      </c>
      <c r="C22" s="12">
        <f>'Group Fluoride'!H20</f>
        <v>2.8177955176005853</v>
      </c>
      <c r="D22" s="12">
        <f>'Group Fluoride'!I20</f>
        <v>0.19428200129954518</v>
      </c>
      <c r="E22" s="12">
        <f>'Group Fluoride'!J20</f>
        <v>9.2576702981917031E-2</v>
      </c>
      <c r="F22" s="76">
        <f>'Group Fluoride'!O20</f>
        <v>3.0916342227708671</v>
      </c>
      <c r="G22" s="12"/>
      <c r="I22" s="12">
        <f>('TOC 1&amp;2'!CK7)*100</f>
        <v>0</v>
      </c>
      <c r="J22" s="76">
        <f>('TOC 1&amp;2'!CZ7)*100</f>
        <v>0</v>
      </c>
      <c r="K22">
        <f>'Set 2 Alkalinity'!Y21</f>
        <v>440.00000000000023</v>
      </c>
      <c r="L22">
        <f>'Set 2 Alkalinity'!Z21</f>
        <v>19.999999999999929</v>
      </c>
      <c r="M22">
        <f>'Set 2 Alkalinity'!AI51</f>
        <v>400</v>
      </c>
      <c r="N22">
        <f>'Set 2 Alkalinity'!AJ51</f>
        <v>30.000000000000071</v>
      </c>
      <c r="O22">
        <f>'Set 2 Alkalinity'!AA21</f>
        <v>450</v>
      </c>
      <c r="P22">
        <f>'Set 2 Alkalinity'!AB21</f>
        <v>30.000000000000071</v>
      </c>
      <c r="Q22" s="77">
        <f>('Set 2 Alkalinity'!AC21+'Set 2 Alkalinity'!AE21+'Set 2 Alkalinity'!AG21)/3</f>
        <v>436.66666666666697</v>
      </c>
      <c r="R22" s="77">
        <f>('Set 2 Alkalinity'!AD21+'Set 2 Alkalinity'!AF21+'Set 2 Alkalinity'!AH21)/3</f>
        <v>33.333333333333094</v>
      </c>
      <c r="S22">
        <f>'pH,Flow,S.Vol.'!AS33</f>
        <v>8.61</v>
      </c>
      <c r="T22">
        <f>'pH,Flow,S.Vol.'!AO64</f>
        <v>8.74</v>
      </c>
      <c r="U22">
        <f>'pH,Flow,S.Vol.'!Y33</f>
        <v>8.8699999999999992</v>
      </c>
      <c r="V22" s="12">
        <f>('pH,Flow,S.Vol.'!AC33+'pH,Flow,S.Vol.'!AG33+'pH,Flow,S.Vol.'!AK33)/3</f>
        <v>8.6933333333333334</v>
      </c>
      <c r="W22" s="12">
        <v>699.03</v>
      </c>
    </row>
    <row r="23" spans="1:23">
      <c r="A23" s="12">
        <f>'Group Fluoride'!B21</f>
        <v>766.58</v>
      </c>
      <c r="B23" s="12">
        <f>'Group Fluoride'!N21</f>
        <v>1246.0333333333331</v>
      </c>
      <c r="C23" s="12">
        <f>'Group Fluoride'!H21</f>
        <v>2.874614519838691</v>
      </c>
      <c r="D23" s="12">
        <f>'Group Fluoride'!I21</f>
        <v>0.15359386119620039</v>
      </c>
      <c r="E23" s="12">
        <f>'Group Fluoride'!J21</f>
        <v>3.7359132276710935E-2</v>
      </c>
      <c r="F23" s="76">
        <f>'Group Fluoride'!O21</f>
        <v>3.1912132434400022</v>
      </c>
      <c r="G23" s="12"/>
      <c r="I23" s="12">
        <f>('TOC 1&amp;2'!CK8)*100</f>
        <v>0</v>
      </c>
      <c r="J23" s="76">
        <f>('TOC 1&amp;2'!CZ8)*100</f>
        <v>0</v>
      </c>
      <c r="K23">
        <f>'Set 2 Alkalinity'!Y22</f>
        <v>459.99999999999977</v>
      </c>
      <c r="L23">
        <f>'Set 2 Alkalinity'!Z22</f>
        <v>40.000000000000213</v>
      </c>
      <c r="M23">
        <f>'Set 2 Alkalinity'!AI52</f>
        <v>350</v>
      </c>
      <c r="N23">
        <f>'Set 2 Alkalinity'!AJ52</f>
        <v>50</v>
      </c>
      <c r="O23">
        <f>'Set 2 Alkalinity'!AA22</f>
        <v>400.00000000000034</v>
      </c>
      <c r="P23">
        <f>'Set 2 Alkalinity'!AB22</f>
        <v>50</v>
      </c>
      <c r="Q23" s="77">
        <f>('Set 2 Alkalinity'!AC22+'Set 2 Alkalinity'!AE22+'Set 2 Alkalinity'!AG22)/3</f>
        <v>446.66666666666634</v>
      </c>
      <c r="R23" s="77">
        <f>('Set 2 Alkalinity'!AD22+'Set 2 Alkalinity'!AF22+'Set 2 Alkalinity'!AH22)/3</f>
        <v>26.66666666666681</v>
      </c>
      <c r="S23">
        <f>'pH,Flow,S.Vol.'!AS34</f>
        <v>8.74</v>
      </c>
      <c r="T23">
        <f>'pH,Flow,S.Vol.'!AO65</f>
        <v>8.6999999999999993</v>
      </c>
      <c r="U23">
        <f>'pH,Flow,S.Vol.'!Y34</f>
        <v>8.8800000000000008</v>
      </c>
      <c r="V23" s="12">
        <f>('pH,Flow,S.Vol.'!AC34+'pH,Flow,S.Vol.'!AG34+'pH,Flow,S.Vol.'!AK34)/3</f>
        <v>8.7299999999999986</v>
      </c>
      <c r="W23" s="12">
        <v>766.58</v>
      </c>
    </row>
    <row r="24" spans="1:23">
      <c r="A24" s="12">
        <f>'Group Fluoride'!B22</f>
        <v>815.1</v>
      </c>
      <c r="B24" s="12">
        <f>'Group Fluoride'!N22</f>
        <v>1295.8499999999997</v>
      </c>
      <c r="C24" s="12">
        <f>'Group Fluoride'!H22</f>
        <v>2.5855001064379772</v>
      </c>
      <c r="D24" s="12">
        <f>'Group Fluoride'!I22</f>
        <v>0.15883587263935772</v>
      </c>
      <c r="E24" s="12">
        <f>'Group Fluoride'!J22</f>
        <v>0.11614839075686037</v>
      </c>
      <c r="F24" s="76">
        <f>'Group Fluoride'!O22</f>
        <v>3.2861904761904763</v>
      </c>
      <c r="G24" s="12"/>
      <c r="I24" s="12">
        <f>('TOC 1&amp;2'!CK9)*100</f>
        <v>0</v>
      </c>
      <c r="J24" s="76">
        <f>('TOC 1&amp;2'!CZ9)*100</f>
        <v>0</v>
      </c>
      <c r="K24">
        <f>'Set 2 Alkalinity'!Y23</f>
        <v>500</v>
      </c>
      <c r="L24">
        <f>'Set 2 Alkalinity'!Z23</f>
        <v>10.000000000000142</v>
      </c>
      <c r="M24">
        <f>'Set 2 Alkalinity'!AI53</f>
        <v>319.99999999999994</v>
      </c>
      <c r="N24">
        <f>'Set 2 Alkalinity'!AJ53</f>
        <v>19.999999999999929</v>
      </c>
      <c r="O24">
        <f>'Set 2 Alkalinity'!AA23</f>
        <v>489.99999999999989</v>
      </c>
      <c r="P24">
        <f>'Set 2 Alkalinity'!AB23</f>
        <v>50</v>
      </c>
      <c r="Q24" s="77">
        <f>('Set 2 Alkalinity'!AC23+'Set 2 Alkalinity'!AE23+'Set 2 Alkalinity'!AG23)/3</f>
        <v>470</v>
      </c>
      <c r="R24" s="77">
        <f>('Set 2 Alkalinity'!AD23+'Set 2 Alkalinity'!AF23+'Set 2 Alkalinity'!AH23)/3</f>
        <v>26.666666666666572</v>
      </c>
      <c r="S24">
        <f>'pH,Flow,S.Vol.'!AS35</f>
        <v>8.61</v>
      </c>
      <c r="T24">
        <f>'pH,Flow,S.Vol.'!AO66</f>
        <v>8.73</v>
      </c>
      <c r="U24">
        <f>'pH,Flow,S.Vol.'!Y35</f>
        <v>8.7799999999999994</v>
      </c>
      <c r="V24" s="12">
        <f>('pH,Flow,S.Vol.'!AC35+'pH,Flow,S.Vol.'!AG35+'pH,Flow,S.Vol.'!AK35)/3</f>
        <v>8.6033333333333335</v>
      </c>
      <c r="W24" s="12">
        <v>815.1</v>
      </c>
    </row>
    <row r="25" spans="1:23">
      <c r="A25" s="12">
        <f>'Group Fluoride'!B23</f>
        <v>862.92</v>
      </c>
      <c r="B25" s="12">
        <f>'Group Fluoride'!N23</f>
        <v>1413.5999999999997</v>
      </c>
      <c r="C25" s="12">
        <f>'Group Fluoride'!H23</f>
        <v>2.6130523370738685</v>
      </c>
      <c r="D25" s="12">
        <f>'Group Fluoride'!I23</f>
        <v>0.18526290180336347</v>
      </c>
      <c r="E25" s="12">
        <f>'Group Fluoride'!J23</f>
        <v>0.12608842187249447</v>
      </c>
      <c r="F25" s="76">
        <f>'Group Fluoride'!O23</f>
        <v>3.1673650793650796</v>
      </c>
      <c r="G25" s="12"/>
      <c r="I25" s="12">
        <f>('TOC 1&amp;2'!CK10)*100</f>
        <v>0</v>
      </c>
      <c r="J25" s="76">
        <f>('TOC 1&amp;2'!CZ10)*100</f>
        <v>0</v>
      </c>
      <c r="K25">
        <f>'Set 2 Alkalinity'!Y24</f>
        <v>480.00000000000006</v>
      </c>
      <c r="L25">
        <f>'Set 2 Alkalinity'!Z24</f>
        <v>50</v>
      </c>
      <c r="M25">
        <f>'Set 2 Alkalinity'!AI54</f>
        <v>209.99999999999977</v>
      </c>
      <c r="N25">
        <f>'Set 2 Alkalinity'!AJ54</f>
        <v>29.999999999999353</v>
      </c>
      <c r="O25">
        <f>'Set 2 Alkalinity'!AA24</f>
        <v>459.99999999999977</v>
      </c>
      <c r="P25">
        <f>'Set 2 Alkalinity'!AB24</f>
        <v>39.999999999999858</v>
      </c>
      <c r="Q25" s="77">
        <f>('Set 2 Alkalinity'!AC24+'Set 2 Alkalinity'!AE24+'Set 2 Alkalinity'!AG24)/3</f>
        <v>436.66666666666646</v>
      </c>
      <c r="R25" s="77">
        <f>('Set 2 Alkalinity'!AD24+'Set 2 Alkalinity'!AF24+'Set 2 Alkalinity'!AH24)/3</f>
        <v>30.000000000000188</v>
      </c>
      <c r="S25">
        <f>'pH,Flow,S.Vol.'!AS36</f>
        <v>8.6300000000000008</v>
      </c>
      <c r="T25">
        <f>'pH,Flow,S.Vol.'!AO67</f>
        <v>8.82</v>
      </c>
      <c r="U25">
        <f>'pH,Flow,S.Vol.'!Y36</f>
        <v>8.77</v>
      </c>
      <c r="V25" s="12">
        <f>('pH,Flow,S.Vol.'!AC36+'pH,Flow,S.Vol.'!AG36+'pH,Flow,S.Vol.'!AK36)/3</f>
        <v>8.6233333333333331</v>
      </c>
      <c r="W25" s="12">
        <v>862.92</v>
      </c>
    </row>
    <row r="26" spans="1:23">
      <c r="A26" s="12">
        <f>'Group Fluoride'!B24</f>
        <v>935.88</v>
      </c>
      <c r="B26" s="12">
        <f>'Group Fluoride'!N24</f>
        <v>1461.333333333333</v>
      </c>
      <c r="C26" s="12">
        <f>'Group Fluoride'!H24</f>
        <v>2.5130817342294396</v>
      </c>
      <c r="D26" s="12">
        <f>'Group Fluoride'!I24</f>
        <v>0.12982392117507527</v>
      </c>
      <c r="E26" s="12">
        <f>'Group Fluoride'!J24</f>
        <v>6.7404325987768771E-2</v>
      </c>
      <c r="F26" s="76">
        <f>'Group Fluoride'!O24</f>
        <v>3.1867111069962659</v>
      </c>
      <c r="G26" s="12"/>
      <c r="I26" s="12">
        <f>('TOC 1&amp;2'!CK11)*100</f>
        <v>0</v>
      </c>
      <c r="J26" s="76">
        <f>('TOC 1&amp;2'!CZ11)*100</f>
        <v>0</v>
      </c>
      <c r="K26">
        <f>'Set 2 Alkalinity'!Y25</f>
        <v>439.99999999999989</v>
      </c>
      <c r="L26">
        <f>'Set 2 Alkalinity'!Z25</f>
        <v>19.999999999999929</v>
      </c>
      <c r="M26">
        <f>'Set 2 Alkalinity'!AI55</f>
        <v>270.00000000000063</v>
      </c>
      <c r="N26">
        <f>'Set 2 Alkalinity'!AJ55</f>
        <v>29.999999999999353</v>
      </c>
      <c r="O26">
        <f>'Set 2 Alkalinity'!AA25</f>
        <v>450.00000000000034</v>
      </c>
      <c r="P26">
        <f>'Set 2 Alkalinity'!AB25</f>
        <v>30.000000000000071</v>
      </c>
      <c r="Q26" s="77">
        <f>('Set 2 Alkalinity'!AC25+'Set 2 Alkalinity'!AE25+'Set 2 Alkalinity'!AG25)/3</f>
        <v>413.33333333333348</v>
      </c>
      <c r="R26" s="77">
        <f>('Set 2 Alkalinity'!AD25+'Set 2 Alkalinity'!AF25+'Set 2 Alkalinity'!AH25)/3</f>
        <v>36.66666666666648</v>
      </c>
      <c r="S26">
        <f>'pH,Flow,S.Vol.'!AS37</f>
        <v>8.68</v>
      </c>
      <c r="T26">
        <f>'pH,Flow,S.Vol.'!AO68</f>
        <v>8.74</v>
      </c>
      <c r="U26">
        <f>'pH,Flow,S.Vol.'!Y37</f>
        <v>8.83</v>
      </c>
      <c r="V26" s="12">
        <f>('pH,Flow,S.Vol.'!AC37+'pH,Flow,S.Vol.'!AG37+'pH,Flow,S.Vol.'!AK37)/3</f>
        <v>8.67</v>
      </c>
      <c r="W26" s="12">
        <v>935.88</v>
      </c>
    </row>
    <row r="27" spans="1:23">
      <c r="A27" s="12">
        <f>'Group Fluoride'!B25</f>
        <v>982.4</v>
      </c>
      <c r="B27" s="12">
        <f>'Group Fluoride'!N25</f>
        <v>1581.3499999999997</v>
      </c>
      <c r="C27" s="12">
        <f>'Group Fluoride'!H25</f>
        <v>2.524680933812316</v>
      </c>
      <c r="D27" s="12">
        <f>'Group Fluoride'!I25</f>
        <v>0.12628573183088213</v>
      </c>
      <c r="E27" s="12">
        <f>'Group Fluoride'!J25</f>
        <v>4.1053873211906712E-2</v>
      </c>
      <c r="F27" s="76">
        <f>'Group Fluoride'!O25</f>
        <v>3.7757306422244854</v>
      </c>
      <c r="G27" s="12"/>
      <c r="I27" s="12">
        <f>('TOC 1&amp;2'!CK12)*100</f>
        <v>0</v>
      </c>
      <c r="J27" s="76">
        <f>('TOC 1&amp;2'!CZ12)*100</f>
        <v>0</v>
      </c>
      <c r="K27">
        <f>'Set 2 Alkalinity'!Y26</f>
        <v>350</v>
      </c>
      <c r="L27">
        <f>'Set 2 Alkalinity'!Z26</f>
        <v>9.9999999999997868</v>
      </c>
      <c r="M27">
        <f>'Set 2 Alkalinity'!AI56</f>
        <v>450</v>
      </c>
      <c r="N27">
        <f>'Set 2 Alkalinity'!AJ56</f>
        <v>29.999999999999353</v>
      </c>
      <c r="O27">
        <f>'Set 2 Alkalinity'!AA26</f>
        <v>350</v>
      </c>
      <c r="P27">
        <f>'Set 2 Alkalinity'!AB26</f>
        <v>30.000000000000071</v>
      </c>
      <c r="Q27" s="77">
        <f>('Set 2 Alkalinity'!AC26+'Set 2 Alkalinity'!AE26+'Set 2 Alkalinity'!AG26)/3</f>
        <v>396.66666666666714</v>
      </c>
      <c r="R27" s="77">
        <f>('Set 2 Alkalinity'!AD26+'Set 2 Alkalinity'!AF26+'Set 2 Alkalinity'!AH26)/3</f>
        <v>26.666666666666334</v>
      </c>
      <c r="S27">
        <f>'pH,Flow,S.Vol.'!AS38</f>
        <v>8.51</v>
      </c>
      <c r="T27">
        <f>'pH,Flow,S.Vol.'!AO70</f>
        <v>8.51</v>
      </c>
      <c r="U27">
        <f>'pH,Flow,S.Vol.'!Y38</f>
        <v>8.7899999999999991</v>
      </c>
      <c r="V27" s="12">
        <f>('pH,Flow,S.Vol.'!AC38+'pH,Flow,S.Vol.'!AG38+'pH,Flow,S.Vol.'!AK38)/3</f>
        <v>8.5833333333333339</v>
      </c>
      <c r="W27" s="12">
        <v>982.4</v>
      </c>
    </row>
    <row r="28" spans="1:23">
      <c r="A28" s="12">
        <f>'Group Fluoride'!B26</f>
        <v>1006.7833333333333</v>
      </c>
      <c r="B28" s="12">
        <f>'Group Fluoride'!N26</f>
        <v>1701.5999999999997</v>
      </c>
      <c r="C28" s="12">
        <f>'Group Fluoride'!H26</f>
        <v>2.429692857215962</v>
      </c>
      <c r="D28" s="12">
        <f>'Group Fluoride'!I26</f>
        <v>9.3370996960299685E-2</v>
      </c>
      <c r="E28" s="12">
        <f>'Group Fluoride'!J26</f>
        <v>0.23349459131452641</v>
      </c>
      <c r="F28" s="76">
        <f>'Group Fluoride'!O26</f>
        <v>3.6395395488072095</v>
      </c>
      <c r="G28" s="12"/>
      <c r="I28" s="12">
        <f>('TOC 1&amp;2'!CK13)*100</f>
        <v>0</v>
      </c>
      <c r="J28" s="76">
        <f>('TOC 1&amp;2'!CZ13)*100</f>
        <v>0</v>
      </c>
      <c r="K28">
        <f>'Set 2 Alkalinity'!Y27</f>
        <v>460.00000000000011</v>
      </c>
      <c r="L28">
        <f>'Set 2 Alkalinity'!Z27</f>
        <v>0</v>
      </c>
      <c r="M28">
        <f>'Set 2 Alkalinity'!AI57</f>
        <v>300</v>
      </c>
      <c r="N28">
        <f>'Set 2 Alkalinity'!AJ57</f>
        <v>90.000000000000199</v>
      </c>
      <c r="O28">
        <f>'Set 2 Alkalinity'!AA27</f>
        <v>459.99999999999977</v>
      </c>
      <c r="P28">
        <f>'Set 2 Alkalinity'!AB27</f>
        <v>19.999999999999929</v>
      </c>
      <c r="Q28" s="77">
        <f>('Set 2 Alkalinity'!AC27+'Set 2 Alkalinity'!AE27+'Set 2 Alkalinity'!AG27)/3</f>
        <v>459.99999999999983</v>
      </c>
      <c r="R28" s="77">
        <f>('Set 2 Alkalinity'!AD27+'Set 2 Alkalinity'!AF27+'Set 2 Alkalinity'!AH27)/3</f>
        <v>10.000000000000142</v>
      </c>
      <c r="S28">
        <f>'pH,Flow,S.Vol.'!AS39</f>
        <v>8.11</v>
      </c>
      <c r="T28">
        <f>'pH,Flow,S.Vol.'!AO71</f>
        <v>8.66</v>
      </c>
      <c r="U28">
        <f>'pH,Flow,S.Vol.'!Y39</f>
        <v>8.58</v>
      </c>
      <c r="V28" s="12">
        <f>('pH,Flow,S.Vol.'!AC39+'pH,Flow,S.Vol.'!AG39+'pH,Flow,S.Vol.'!AK39)/3</f>
        <v>8.4166666666666661</v>
      </c>
      <c r="W28" s="12">
        <v>1006.7833333333333</v>
      </c>
    </row>
    <row r="29" spans="1:23">
      <c r="A29" s="12">
        <f>'Group Fluoride'!B27</f>
        <v>1106.5999999999999</v>
      </c>
      <c r="B29" s="12">
        <f>'Group Fluoride'!N27</f>
        <v>1749.133333333333</v>
      </c>
      <c r="C29" s="12">
        <f>'Group Fluoride'!H27</f>
        <v>2.6506186864810091</v>
      </c>
      <c r="D29" s="12">
        <f>'Group Fluoride'!I27</f>
        <v>0.11105652614449324</v>
      </c>
      <c r="E29" s="12">
        <f>'Group Fluoride'!J27</f>
        <v>0.15838805657742039</v>
      </c>
      <c r="F29" s="76">
        <f>'Group Fluoride'!O27</f>
        <v>3.8806148867313914</v>
      </c>
      <c r="G29" s="12"/>
      <c r="I29" s="12">
        <f>('TOC 1&amp;2'!CK14)*100</f>
        <v>0</v>
      </c>
      <c r="J29" s="76">
        <f>('TOC 1&amp;2'!CZ14)*100</f>
        <v>0</v>
      </c>
      <c r="K29">
        <f>'Set 2 Alkalinity'!Y28</f>
        <v>469.99999999999994</v>
      </c>
      <c r="L29">
        <f>'Set 2 Alkalinity'!Z28</f>
        <v>0</v>
      </c>
      <c r="M29">
        <f>'Set 2 Alkalinity'!AI58</f>
        <v>450</v>
      </c>
      <c r="N29">
        <f>'Set 2 Alkalinity'!AJ58</f>
        <v>30.000000000000153</v>
      </c>
      <c r="O29">
        <f>'Set 2 Alkalinity'!AA28</f>
        <v>410.00000000000011</v>
      </c>
      <c r="P29">
        <f>'Set 2 Alkalinity'!AB28</f>
        <v>19.999999999999929</v>
      </c>
      <c r="Q29" s="77">
        <f>('Set 2 Alkalinity'!AC28+'Set 2 Alkalinity'!AE28+'Set 2 Alkalinity'!AG28)/3</f>
        <v>460.00000000000017</v>
      </c>
      <c r="R29" s="77">
        <f>('Set 2 Alkalinity'!AD28+'Set 2 Alkalinity'!AF28+'Set 2 Alkalinity'!AH28)/3</f>
        <v>9.9999999999999059</v>
      </c>
      <c r="S29">
        <f>'pH,Flow,S.Vol.'!AS40</f>
        <v>8.52</v>
      </c>
      <c r="T29">
        <f>'pH,Flow,S.Vol.'!AO72</f>
        <v>8.8000000000000007</v>
      </c>
      <c r="U29">
        <f>'pH,Flow,S.Vol.'!Y40</f>
        <v>8.68</v>
      </c>
      <c r="V29" s="12">
        <f>('pH,Flow,S.Vol.'!AC40+'pH,Flow,S.Vol.'!AG40+'pH,Flow,S.Vol.'!AK40)/3</f>
        <v>8.4799999999999986</v>
      </c>
      <c r="W29" s="12">
        <v>1106.5999999999999</v>
      </c>
    </row>
    <row r="30" spans="1:23">
      <c r="A30" s="12">
        <f>'Group Fluoride'!B28</f>
        <v>1151.2</v>
      </c>
      <c r="B30" s="12">
        <f>'Group Fluoride'!N28</f>
        <v>1796.583333333333</v>
      </c>
      <c r="C30" s="12">
        <f>'Group Fluoride'!H28</f>
        <v>2.5530659145513419</v>
      </c>
      <c r="D30" s="12">
        <f>'Group Fluoride'!I28</f>
        <v>0.10366656220620495</v>
      </c>
      <c r="E30" s="12">
        <f>'Group Fluoride'!J28</f>
        <v>0.17714433987192371</v>
      </c>
      <c r="F30" s="76">
        <f>'Group Fluoride'!O28</f>
        <v>3.8356634304207122</v>
      </c>
      <c r="G30" s="12"/>
      <c r="I30" s="12">
        <f>('TOC 1&amp;2'!CK15)*100</f>
        <v>0</v>
      </c>
      <c r="J30" s="76">
        <f>('TOC 1&amp;2'!CZ15)*100</f>
        <v>0</v>
      </c>
      <c r="K30">
        <f>'Set 2 Alkalinity'!Y29</f>
        <v>429.99999999999972</v>
      </c>
      <c r="L30">
        <f>'Set 2 Alkalinity'!Z29</f>
        <v>10.000000000000142</v>
      </c>
      <c r="M30">
        <f>'Set 2 Alkalinity'!AI59</f>
        <v>269.99999999999955</v>
      </c>
      <c r="N30">
        <f>'Set 2 Alkalinity'!AJ59</f>
        <v>59.999999999999787</v>
      </c>
      <c r="O30">
        <f>'Set 2 Alkalinity'!AA29</f>
        <v>440.00000000000023</v>
      </c>
      <c r="P30">
        <f>'Set 2 Alkalinity'!AB29</f>
        <v>30.000000000000071</v>
      </c>
      <c r="Q30" s="77">
        <f>('Set 2 Alkalinity'!AC29+'Set 2 Alkalinity'!AE29+'Set 2 Alkalinity'!AG29)/3</f>
        <v>453.33333333333326</v>
      </c>
      <c r="R30" s="77">
        <f>('Set 2 Alkalinity'!AD29+'Set 2 Alkalinity'!AF29+'Set 2 Alkalinity'!AH29)/3</f>
        <v>26.666666666666689</v>
      </c>
      <c r="S30">
        <f>'pH,Flow,S.Vol.'!AS41</f>
        <v>8.27</v>
      </c>
      <c r="T30">
        <f>'pH,Flow,S.Vol.'!AO73</f>
        <v>8.75</v>
      </c>
      <c r="U30">
        <f>'pH,Flow,S.Vol.'!Y41</f>
        <v>8.61</v>
      </c>
      <c r="V30" s="12">
        <f>('pH,Flow,S.Vol.'!AC41+'pH,Flow,S.Vol.'!AG41+'pH,Flow,S.Vol.'!AK41)/3</f>
        <v>8.4033333333333342</v>
      </c>
      <c r="W30" s="12">
        <v>1151.2</v>
      </c>
    </row>
    <row r="31" spans="1:23">
      <c r="A31" s="12">
        <f>'Group Fluoride'!B29</f>
        <v>1176</v>
      </c>
      <c r="B31" s="12">
        <f>'Group Fluoride'!N29</f>
        <v>1867.3999999999999</v>
      </c>
      <c r="C31" s="12">
        <f>'Group Fluoride'!H29</f>
        <v>2.4365193774156482</v>
      </c>
      <c r="D31" s="12">
        <f>'Group Fluoride'!I29</f>
        <v>0.11685991852083986</v>
      </c>
      <c r="E31" s="12">
        <f>'Group Fluoride'!J29</f>
        <v>0.16141647797993824</v>
      </c>
      <c r="F31" s="76">
        <f>'Group Fluoride'!O29</f>
        <v>3.3074285714285714</v>
      </c>
      <c r="G31" s="12"/>
      <c r="I31" s="12">
        <f>('TOC 1&amp;2'!CK16)*100</f>
        <v>0</v>
      </c>
      <c r="J31" s="76">
        <f>('TOC 1&amp;2'!CZ16)*100</f>
        <v>0</v>
      </c>
      <c r="K31">
        <f>'Set 2 Alkalinity'!Y30</f>
        <v>279.99999999999972</v>
      </c>
      <c r="L31">
        <f>'Set 2 Alkalinity'!Z30</f>
        <v>20.000000000000284</v>
      </c>
      <c r="M31">
        <f>'Set 2 Alkalinity'!AI60</f>
        <v>450</v>
      </c>
      <c r="N31">
        <f>'Set 2 Alkalinity'!AJ60</f>
        <v>89.999999999999133</v>
      </c>
      <c r="O31">
        <f>'Set 2 Alkalinity'!AA30</f>
        <v>319.99999999999994</v>
      </c>
      <c r="P31">
        <f>'Set 2 Alkalinity'!AB30</f>
        <v>20.000000000000284</v>
      </c>
      <c r="Q31" s="77">
        <f>('Set 2 Alkalinity'!AC30+'Set 2 Alkalinity'!AE30+'Set 2 Alkalinity'!AG30)/3</f>
        <v>313.33333333333303</v>
      </c>
      <c r="R31" s="77">
        <f>('Set 2 Alkalinity'!AD30+'Set 2 Alkalinity'!AF30+'Set 2 Alkalinity'!AH30)/3</f>
        <v>20.000000000000167</v>
      </c>
      <c r="S31">
        <f>'pH,Flow,S.Vol.'!AS42</f>
        <v>8.41</v>
      </c>
      <c r="T31">
        <f>'pH,Flow,S.Vol.'!AO74</f>
        <v>8.91</v>
      </c>
      <c r="U31">
        <f>'pH,Flow,S.Vol.'!Y42</f>
        <v>8.69</v>
      </c>
      <c r="V31" s="12">
        <f>('pH,Flow,S.Vol.'!AC42+'pH,Flow,S.Vol.'!AG42+'pH,Flow,S.Vol.'!AK42)/3</f>
        <v>8.5499999999999989</v>
      </c>
      <c r="W31" s="12">
        <v>1174.9666666666667</v>
      </c>
    </row>
    <row r="32" spans="1:23">
      <c r="A32" s="12">
        <f>'Group Fluoride'!B30</f>
        <v>1200.1166666666666</v>
      </c>
      <c r="B32" s="12">
        <f>'Group Fluoride'!N30</f>
        <v>1916.1999999999998</v>
      </c>
      <c r="C32" s="12">
        <f>'Group Fluoride'!H30</f>
        <v>2.3050558863470183</v>
      </c>
      <c r="D32" s="12">
        <f>'Group Fluoride'!I30</f>
        <v>0.17104356001253529</v>
      </c>
      <c r="E32" s="12">
        <f>'Group Fluoride'!J30</f>
        <v>0.14711633446276448</v>
      </c>
      <c r="F32" s="76">
        <f>'Group Fluoride'!O30</f>
        <v>3.4336507936507941</v>
      </c>
      <c r="G32" s="12"/>
      <c r="I32" s="12">
        <f>('TOC 1&amp;2'!CK17)*100</f>
        <v>0</v>
      </c>
      <c r="J32" s="76">
        <f>('TOC 1&amp;2'!CZ17)*100</f>
        <v>0</v>
      </c>
      <c r="K32">
        <f>'Set 2 Alkalinity'!Y31</f>
        <v>350</v>
      </c>
      <c r="L32">
        <f>'Set 2 Alkalinity'!Z31</f>
        <v>0</v>
      </c>
      <c r="M32">
        <f>'Set 2 Alkalinity'!AI61</f>
        <v>269.99999999999955</v>
      </c>
      <c r="N32">
        <f>'Set 2 Alkalinity'!AJ61</f>
        <v>60.000000000000853</v>
      </c>
      <c r="O32">
        <f>'Set 2 Alkalinity'!AA31</f>
        <v>319.99999999999994</v>
      </c>
      <c r="P32">
        <f>'Set 2 Alkalinity'!AB31</f>
        <v>19.999999999999929</v>
      </c>
      <c r="Q32" s="77">
        <f>('Set 2 Alkalinity'!AC31+'Set 2 Alkalinity'!AE31+'Set 2 Alkalinity'!AG31)/3</f>
        <v>333.33333333333309</v>
      </c>
      <c r="R32" s="77">
        <f>('Set 2 Alkalinity'!AD31+'Set 2 Alkalinity'!AF31+'Set 2 Alkalinity'!AH31)/3</f>
        <v>20.000000000000167</v>
      </c>
      <c r="S32">
        <f>'pH,Flow,S.Vol.'!AS43</f>
        <v>8.32</v>
      </c>
      <c r="T32">
        <f>'pH,Flow,S.Vol.'!AO75</f>
        <v>8.8800000000000008</v>
      </c>
      <c r="U32">
        <f>'pH,Flow,S.Vol.'!Y43</f>
        <v>8.7799999999999994</v>
      </c>
      <c r="V32" s="12">
        <f>('pH,Flow,S.Vol.'!AC43+'pH,Flow,S.Vol.'!AG43+'pH,Flow,S.Vol.'!AK43)/3</f>
        <v>8.5533333333333346</v>
      </c>
      <c r="W32" s="12">
        <v>1198.6833333333334</v>
      </c>
    </row>
    <row r="33" spans="1:25">
      <c r="A33" s="12">
        <f>'Group Fluoride'!B31</f>
        <v>1223.9833333333333</v>
      </c>
      <c r="B33" s="12">
        <f>'Group Fluoride'!N31</f>
        <v>1964.883333333333</v>
      </c>
      <c r="C33" s="12">
        <f>'Group Fluoride'!H31</f>
        <v>2.4585850251937411</v>
      </c>
      <c r="D33" s="12">
        <f>'Group Fluoride'!I31</f>
        <v>0.24059286324660401</v>
      </c>
      <c r="E33" s="12">
        <f>'Group Fluoride'!J31</f>
        <v>7.4327854119078454E-2</v>
      </c>
      <c r="F33" s="76">
        <f>'Group Fluoride'!O31</f>
        <v>3.552</v>
      </c>
      <c r="G33" s="12"/>
      <c r="I33" s="12">
        <f>('TOC 1&amp;2'!CK18)*100</f>
        <v>0</v>
      </c>
      <c r="J33" s="76">
        <f>('TOC 1&amp;2'!CZ18)*100</f>
        <v>0</v>
      </c>
      <c r="K33">
        <f>'Set 2 Alkalinity'!Y32</f>
        <v>389.99999999999989</v>
      </c>
      <c r="L33">
        <f>'Set 2 Alkalinity'!Z32</f>
        <v>10.000000000000142</v>
      </c>
      <c r="M33">
        <f>'Set 2 Alkalinity'!AI62</f>
        <v>209.99999999999977</v>
      </c>
      <c r="N33">
        <f>'Set 2 Alkalinity'!AJ62</f>
        <v>0</v>
      </c>
      <c r="O33">
        <f>'Set 2 Alkalinity'!AA32</f>
        <v>369.99999999999994</v>
      </c>
      <c r="P33">
        <f>'Set 2 Alkalinity'!AB32</f>
        <v>19.999999999999929</v>
      </c>
      <c r="Q33" s="77">
        <f>('Set 2 Alkalinity'!AC32+'Set 2 Alkalinity'!AE32+'Set 2 Alkalinity'!AG32)/3</f>
        <v>346.66666666666634</v>
      </c>
      <c r="R33" s="77">
        <f>('Set 2 Alkalinity'!AD32+'Set 2 Alkalinity'!AF32+'Set 2 Alkalinity'!AH32)/3</f>
        <v>16.666666666666902</v>
      </c>
      <c r="S33">
        <f>'pH,Flow,S.Vol.'!AS44</f>
        <v>8.5</v>
      </c>
      <c r="T33">
        <f>'pH,Flow,S.Vol.'!AO76</f>
        <v>8.86</v>
      </c>
      <c r="U33">
        <f>'pH,Flow,S.Vol.'!Y44</f>
        <v>8.74</v>
      </c>
      <c r="V33" s="12">
        <f>('pH,Flow,S.Vol.'!AC44+'pH,Flow,S.Vol.'!AG44+'pH,Flow,S.Vol.'!AK44)/3</f>
        <v>8.5299999999999994</v>
      </c>
      <c r="W33" s="12">
        <v>1222.4333333333334</v>
      </c>
    </row>
    <row r="34" spans="1:25">
      <c r="A34" s="12">
        <f>'Group Fluoride'!B32</f>
        <v>1442.9166666666667</v>
      </c>
      <c r="B34" s="12">
        <f>'Group Fluoride'!N32</f>
        <v>2060.8833333333332</v>
      </c>
      <c r="C34" s="12">
        <f>'Group Fluoride'!H32</f>
        <v>2.6703204958206874</v>
      </c>
      <c r="D34" s="12">
        <f>'Group Fluoride'!I32</f>
        <v>0.2989067978902083</v>
      </c>
      <c r="E34" s="12">
        <f>'Group Fluoride'!J32</f>
        <v>0.52598051337416041</v>
      </c>
      <c r="F34" s="76">
        <f>'Group Fluoride'!O32</f>
        <v>3.6269674541870014</v>
      </c>
      <c r="G34" s="12"/>
      <c r="I34" s="12">
        <f>('TOC 1&amp;2'!CK19)*100</f>
        <v>0</v>
      </c>
      <c r="J34" s="76">
        <f>('TOC 1&amp;2'!CZ19)*100</f>
        <v>0</v>
      </c>
      <c r="K34">
        <f>'Set 2 Alkalinity'!Y34</f>
        <v>230.00000000000006</v>
      </c>
      <c r="L34">
        <f>'Set 2 Alkalinity'!Z34</f>
        <v>0</v>
      </c>
      <c r="M34" t="str">
        <f>'Set 2 Alkalinity'!AI64</f>
        <v>nm</v>
      </c>
      <c r="N34" t="str">
        <f>'Set 2 Alkalinity'!AJ64</f>
        <v>nm</v>
      </c>
      <c r="O34">
        <f>'Set 2 Alkalinity'!AA34</f>
        <v>1250</v>
      </c>
      <c r="P34">
        <f>'Set 2 Alkalinity'!AB34</f>
        <v>100</v>
      </c>
      <c r="Q34" s="77">
        <f>('Set 2 Alkalinity'!AC34+'Set 2 Alkalinity'!AE34+'Set 2 Alkalinity'!AG34)/3</f>
        <v>1013.3333333333335</v>
      </c>
      <c r="R34" s="77">
        <f>('Set 2 Alkalinity'!AD34+'Set 2 Alkalinity'!AF34+'Set 2 Alkalinity'!AH34)/3</f>
        <v>143.33333333333334</v>
      </c>
      <c r="S34">
        <f>'pH,Flow,S.Vol.'!AS46</f>
        <v>8.36</v>
      </c>
      <c r="T34">
        <f>'pH,Flow,S.Vol.'!AO77</f>
        <v>8.8510000000000009</v>
      </c>
      <c r="U34">
        <f>'pH,Flow,S.Vol.'!Y46</f>
        <v>8.76</v>
      </c>
      <c r="V34" s="12">
        <f>('pH,Flow,S.Vol.'!AC46+'pH,Flow,S.Vol.'!AG46+'pH,Flow,S.Vol.'!AK46)/3</f>
        <v>8.6433333333333326</v>
      </c>
      <c r="W34" s="12">
        <v>1459.4333333333334</v>
      </c>
    </row>
    <row r="35" spans="1:25">
      <c r="A35" s="12">
        <f>'Group Fluoride'!B33</f>
        <v>1462.7833333333333</v>
      </c>
      <c r="B35" s="12">
        <f>'Group Fluoride'!N33</f>
        <v>2116.3666666666668</v>
      </c>
      <c r="C35" s="12">
        <f>'Group Fluoride'!H33</f>
        <v>3.0484525247763012</v>
      </c>
      <c r="D35" s="12">
        <f>'Group Fluoride'!I33</f>
        <v>0.12744202492854406</v>
      </c>
      <c r="E35" s="12">
        <f>'Group Fluoride'!J33</f>
        <v>0.54437695670158837</v>
      </c>
      <c r="F35" s="76">
        <f>'Group Fluoride'!O33</f>
        <v>3.1270482531269193</v>
      </c>
      <c r="G35" s="12"/>
      <c r="I35" s="12">
        <f>('TOC 1&amp;2'!CK20)*100</f>
        <v>0</v>
      </c>
      <c r="J35" s="76">
        <f>('TOC 1&amp;2'!CZ20)*100</f>
        <v>0</v>
      </c>
      <c r="K35">
        <f>'Set 2 Alkalinity'!Y35</f>
        <v>230.00000000000003</v>
      </c>
      <c r="L35">
        <f>'Set 2 Alkalinity'!Z35</f>
        <v>69.999999999999972</v>
      </c>
      <c r="M35">
        <f>'Set 2 Alkalinity'!AI65</f>
        <v>329.99999999999983</v>
      </c>
      <c r="N35">
        <f>'Set 2 Alkalinity'!AJ65</f>
        <v>60.000000000000306</v>
      </c>
      <c r="O35">
        <f>'Set 2 Alkalinity'!AA35</f>
        <v>400</v>
      </c>
      <c r="P35">
        <f>'Set 2 Alkalinity'!AB35</f>
        <v>70.000000000000014</v>
      </c>
      <c r="Q35" s="77">
        <f>('Set 2 Alkalinity'!AC35+'Set 2 Alkalinity'!AE35+'Set 2 Alkalinity'!AG35)/3</f>
        <v>306.66666666666657</v>
      </c>
      <c r="R35" s="77">
        <f>('Set 2 Alkalinity'!AD35+'Set 2 Alkalinity'!AF35+'Set 2 Alkalinity'!AH35)/3</f>
        <v>86.6666666666667</v>
      </c>
      <c r="S35">
        <f>'pH,Flow,S.Vol.'!AS47</f>
        <v>8.4499999999999993</v>
      </c>
      <c r="T35">
        <f>'pH,Flow,S.Vol.'!AO78</f>
        <v>0</v>
      </c>
      <c r="U35">
        <f>'pH,Flow,S.Vol.'!Y47</f>
        <v>8.99</v>
      </c>
      <c r="V35" s="12">
        <f>('pH,Flow,S.Vol.'!AC47+'pH,Flow,S.Vol.'!AG47+'pH,Flow,S.Vol.'!AK47)/3</f>
        <v>8.5433333333333348</v>
      </c>
      <c r="W35" s="12">
        <v>1483.75</v>
      </c>
    </row>
    <row r="36" spans="1:25">
      <c r="A36" s="12">
        <f>'Group Fluoride'!B34</f>
        <v>1487.9666666666667</v>
      </c>
      <c r="B36" s="12">
        <f>'Group Fluoride'!N34</f>
        <v>0</v>
      </c>
      <c r="C36" s="12">
        <f>'Group Fluoride'!H34</f>
        <v>2.5530843305532049</v>
      </c>
      <c r="D36" s="12">
        <f>'Group Fluoride'!I34</f>
        <v>0.13395986945485311</v>
      </c>
      <c r="E36" s="12">
        <f>'Group Fluoride'!J34</f>
        <v>0.48742393825328162</v>
      </c>
      <c r="F36" s="76">
        <f>'Group Fluoride'!O34</f>
        <v>0</v>
      </c>
      <c r="G36" s="12"/>
      <c r="I36" s="12">
        <f>('TOC 1&amp;2'!CK21)*100</f>
        <v>0</v>
      </c>
      <c r="J36" s="76">
        <f>('TOC 1&amp;2'!CZ21)*100</f>
        <v>0</v>
      </c>
      <c r="K36">
        <f>'Set 2 Alkalinity'!Y36</f>
        <v>389.99999999999994</v>
      </c>
      <c r="L36">
        <f>'Set 2 Alkalinity'!Z36</f>
        <v>20.000000000000018</v>
      </c>
      <c r="M36">
        <f>'Set 2 Alkalinity'!AI66</f>
        <v>0</v>
      </c>
      <c r="N36">
        <f>'Set 2 Alkalinity'!AJ66</f>
        <v>0</v>
      </c>
      <c r="O36">
        <f>'Set 2 Alkalinity'!AA36</f>
        <v>390.00000000000006</v>
      </c>
      <c r="P36">
        <f>'Set 2 Alkalinity'!AB36</f>
        <v>40.000000000000036</v>
      </c>
      <c r="Q36" s="77">
        <f>('Set 2 Alkalinity'!AC36+'Set 2 Alkalinity'!AE36+'Set 2 Alkalinity'!AG36)/3</f>
        <v>366.6666666666668</v>
      </c>
      <c r="R36" s="77">
        <f>('Set 2 Alkalinity'!AD36+'Set 2 Alkalinity'!AF36+'Set 2 Alkalinity'!AH36)/3</f>
        <v>36.666666666666536</v>
      </c>
      <c r="S36">
        <f>'pH,Flow,S.Vol.'!AS48</f>
        <v>8.56</v>
      </c>
      <c r="T36">
        <f>'pH,Flow,S.Vol.'!AO79</f>
        <v>8.7347187500000008</v>
      </c>
      <c r="U36">
        <f>'pH,Flow,S.Vol.'!Y48</f>
        <v>8.67</v>
      </c>
      <c r="V36" s="12">
        <f>('pH,Flow,S.Vol.'!AC48+'pH,Flow,S.Vol.'!AG48+'pH,Flow,S.Vol.'!AK48)/3</f>
        <v>8.5899999999999981</v>
      </c>
      <c r="W36" s="12">
        <v>1603.2666666666667</v>
      </c>
    </row>
    <row r="37" spans="1:25">
      <c r="A37" s="12">
        <f>'Group Fluoride'!B35</f>
        <v>1607.6666666666667</v>
      </c>
      <c r="B37" s="12">
        <f>'Group Fluoride'!N35</f>
        <v>0</v>
      </c>
      <c r="C37" s="12">
        <f>'Group Fluoride'!H35</f>
        <v>2.4211591925540916</v>
      </c>
      <c r="D37" s="12">
        <f>'Group Fluoride'!I35</f>
        <v>0.23851686208146983</v>
      </c>
      <c r="E37" s="12">
        <f>'Group Fluoride'!J35</f>
        <v>0.46663990041090364</v>
      </c>
      <c r="F37" s="76">
        <f>'Group Fluoride'!O35</f>
        <v>0</v>
      </c>
      <c r="G37" s="12"/>
      <c r="I37" s="12">
        <f>('TOC 1&amp;2'!CK22)*100</f>
        <v>0</v>
      </c>
      <c r="J37" s="76">
        <f>('TOC 1&amp;2'!CZ22)*100</f>
        <v>0</v>
      </c>
      <c r="K37">
        <f>'Set 2 Alkalinity'!Y37</f>
        <v>459.99999999999994</v>
      </c>
      <c r="L37">
        <f>'Set 2 Alkalinity'!Z37</f>
        <v>50</v>
      </c>
      <c r="M37">
        <f>'Set 2 Alkalinity'!AI67</f>
        <v>0</v>
      </c>
      <c r="N37">
        <f>'Set 2 Alkalinity'!AJ67</f>
        <v>0</v>
      </c>
      <c r="O37">
        <f>'Set 2 Alkalinity'!AA37</f>
        <v>520.00000000000011</v>
      </c>
      <c r="P37">
        <f>'Set 2 Alkalinity'!AB37</f>
        <v>69.999999999999929</v>
      </c>
      <c r="Q37" s="77">
        <f>('Set 2 Alkalinity'!AC37+'Set 2 Alkalinity'!AE37+'Set 2 Alkalinity'!AG37)/3</f>
        <v>436.66666666666657</v>
      </c>
      <c r="R37" s="77">
        <f>('Set 2 Alkalinity'!AD37+'Set 2 Alkalinity'!AF37+'Set 2 Alkalinity'!AH37)/3</f>
        <v>29.999999999999954</v>
      </c>
      <c r="S37">
        <f>'pH,Flow,S.Vol.'!AS49</f>
        <v>8.5299999999999994</v>
      </c>
      <c r="T37">
        <f>'pH,Flow,S.Vol.'!AO80</f>
        <v>0.10500821300444607</v>
      </c>
      <c r="U37">
        <f>'pH,Flow,S.Vol.'!Y49</f>
        <v>8.83</v>
      </c>
      <c r="V37" s="12">
        <f>('pH,Flow,S.Vol.'!AC49+'pH,Flow,S.Vol.'!AG49+'pH,Flow,S.Vol.'!AK49)/3</f>
        <v>8.6033333333333317</v>
      </c>
      <c r="W37" s="12">
        <v>1651.7333333333333</v>
      </c>
    </row>
    <row r="38" spans="1:25">
      <c r="A38" s="12">
        <f>'Group Fluoride'!B36</f>
        <v>1655.8333333333333</v>
      </c>
      <c r="B38" s="12">
        <f>'Group Fluoride'!N36</f>
        <v>0</v>
      </c>
      <c r="C38" s="12">
        <f>'Group Fluoride'!H36</f>
        <v>2.571129194943055</v>
      </c>
      <c r="D38" s="12">
        <f>'Group Fluoride'!I36</f>
        <v>0.22271512089074297</v>
      </c>
      <c r="E38" s="12">
        <f>'Group Fluoride'!J36</f>
        <v>0.3023936521492076</v>
      </c>
      <c r="F38" s="76">
        <f>'Group Fluoride'!O36</f>
        <v>0</v>
      </c>
      <c r="G38" s="12"/>
      <c r="I38" s="12">
        <f>('TOC 1&amp;2'!CK23)*100</f>
        <v>0</v>
      </c>
      <c r="J38" s="76">
        <f>('TOC 1&amp;2'!CZ23)*100</f>
        <v>0</v>
      </c>
      <c r="K38">
        <f>'Set 2 Alkalinity'!Y38</f>
        <v>450</v>
      </c>
      <c r="L38">
        <f>'Set 2 Alkalinity'!Z38</f>
        <v>50</v>
      </c>
      <c r="M38">
        <f>'Set 2 Alkalinity'!AI68</f>
        <v>0</v>
      </c>
      <c r="N38">
        <f>'Set 2 Alkalinity'!AJ68</f>
        <v>0</v>
      </c>
      <c r="O38">
        <f>'Set 2 Alkalinity'!AA38</f>
        <v>459.99999999999994</v>
      </c>
      <c r="P38">
        <f>'Set 2 Alkalinity'!AB38</f>
        <v>29.999999999999893</v>
      </c>
      <c r="Q38" s="77">
        <f>('Set 2 Alkalinity'!AC38+'Set 2 Alkalinity'!AE38+'Set 2 Alkalinity'!AG38)/3</f>
        <v>413.33333333333331</v>
      </c>
      <c r="R38" s="77">
        <f>('Set 2 Alkalinity'!AD38+'Set 2 Alkalinity'!AF38+'Set 2 Alkalinity'!AH38)/3</f>
        <v>36.666666666666835</v>
      </c>
      <c r="S38">
        <f>'pH,Flow,S.Vol.'!AS50</f>
        <v>8.6</v>
      </c>
      <c r="T38">
        <f>'pH,Flow,S.Vol.'!AO81</f>
        <v>0</v>
      </c>
      <c r="U38">
        <f>'pH,Flow,S.Vol.'!Y50</f>
        <v>8.67</v>
      </c>
      <c r="V38" s="12">
        <f>('pH,Flow,S.Vol.'!AC50+'pH,Flow,S.Vol.'!AG50+'pH,Flow,S.Vol.'!AK50)/3</f>
        <v>8.5</v>
      </c>
      <c r="W38" s="12">
        <v>1723.5</v>
      </c>
    </row>
    <row r="39" spans="1:25">
      <c r="A39" s="12">
        <f>'Group Fluoride'!B37</f>
        <v>1727.7666666666667</v>
      </c>
      <c r="B39" s="12">
        <f>'Group Fluoride'!N37</f>
        <v>0</v>
      </c>
      <c r="C39" s="12">
        <f>'Group Fluoride'!H37</f>
        <v>2.6917359499397748</v>
      </c>
      <c r="D39" s="12">
        <f>'Group Fluoride'!I37</f>
        <v>0.34398777872440434</v>
      </c>
      <c r="E39" s="12">
        <f>'Group Fluoride'!J37</f>
        <v>0.2213416690311247</v>
      </c>
      <c r="F39" s="76">
        <f>'Group Fluoride'!O37</f>
        <v>0</v>
      </c>
      <c r="G39" s="12"/>
      <c r="I39" s="12">
        <f>('TOC 1&amp;2'!CK24)*100</f>
        <v>0</v>
      </c>
      <c r="J39" s="76">
        <f>('TOC 1&amp;2'!CZ24)*100</f>
        <v>0</v>
      </c>
      <c r="K39">
        <f>'Set 2 Alkalinity'!Y39</f>
        <v>540</v>
      </c>
      <c r="L39">
        <f>'Set 2 Alkalinity'!Z39</f>
        <v>50</v>
      </c>
      <c r="M39">
        <f>'Set 2 Alkalinity'!AI69</f>
        <v>0</v>
      </c>
      <c r="N39">
        <f>'Set 2 Alkalinity'!AJ69</f>
        <v>0</v>
      </c>
      <c r="O39">
        <f>'Set 2 Alkalinity'!AA39</f>
        <v>520.00000000000011</v>
      </c>
      <c r="P39">
        <f>'Set 2 Alkalinity'!AB39</f>
        <v>59.999999999999964</v>
      </c>
      <c r="Q39" s="77">
        <f>('Set 2 Alkalinity'!AC39+'Set 2 Alkalinity'!AE39+'Set 2 Alkalinity'!AG39)/3</f>
        <v>546.66666666666686</v>
      </c>
      <c r="R39" s="77">
        <f>('Set 2 Alkalinity'!AD39+'Set 2 Alkalinity'!AF39+'Set 2 Alkalinity'!AH39)/3</f>
        <v>29.999999999999833</v>
      </c>
      <c r="S39">
        <f>'pH,Flow,S.Vol.'!AS51</f>
        <v>8.65</v>
      </c>
      <c r="T39">
        <f>'pH,Flow,S.Vol.'!AO82</f>
        <v>0</v>
      </c>
      <c r="U39">
        <f>'pH,Flow,S.Vol.'!Y51</f>
        <v>8.6999999999999993</v>
      </c>
      <c r="V39" s="12">
        <f>('pH,Flow,S.Vol.'!AC51+'pH,Flow,S.Vol.'!AG51+'pH,Flow,S.Vol.'!AK51)/3</f>
        <v>8.5133333333333336</v>
      </c>
      <c r="W39" s="12">
        <v>1771.9166666666667</v>
      </c>
    </row>
    <row r="40" spans="1:25">
      <c r="A40" s="12">
        <f>'Group Fluoride'!B38</f>
        <v>1776.1166666666666</v>
      </c>
      <c r="B40" s="12">
        <f>'Group Fluoride'!N38</f>
        <v>0</v>
      </c>
      <c r="C40" s="12">
        <f>'Group Fluoride'!H38</f>
        <v>2.5997881355932204</v>
      </c>
      <c r="D40" s="12">
        <f>'Group Fluoride'!I38</f>
        <v>8.6955205811138025E-2</v>
      </c>
      <c r="E40" s="12">
        <f>'Group Fluoride'!J38</f>
        <v>0.15456404907396362</v>
      </c>
      <c r="F40" s="76">
        <f>'Group Fluoride'!O38</f>
        <v>0</v>
      </c>
      <c r="G40" s="12"/>
      <c r="I40" s="12">
        <f>('TOC 1&amp;2'!CK25)*100</f>
        <v>0</v>
      </c>
      <c r="J40" s="76">
        <f>('TOC 1&amp;2'!CZ25)*100</f>
        <v>0</v>
      </c>
      <c r="K40">
        <f>'Set 2 Alkalinity'!Y40</f>
        <v>509.99999999999994</v>
      </c>
      <c r="L40">
        <f>'Set 2 Alkalinity'!Z40</f>
        <v>40</v>
      </c>
      <c r="M40">
        <f>'Set 2 Alkalinity'!AI70</f>
        <v>0</v>
      </c>
      <c r="N40">
        <f>'Set 2 Alkalinity'!AJ70</f>
        <v>0</v>
      </c>
      <c r="O40">
        <f>'Set 2 Alkalinity'!AA40</f>
        <v>509.99999999999977</v>
      </c>
      <c r="P40">
        <f>'Set 2 Alkalinity'!AB40</f>
        <v>40.000000000000213</v>
      </c>
      <c r="Q40" s="77">
        <f>('Set 2 Alkalinity'!AC40+'Set 2 Alkalinity'!AE40+'Set 2 Alkalinity'!AG40)/3</f>
        <v>526.66666666666663</v>
      </c>
      <c r="R40" s="77">
        <f>('Set 2 Alkalinity'!AD40+'Set 2 Alkalinity'!AF40+'Set 2 Alkalinity'!AH40)/3</f>
        <v>46.666666666666622</v>
      </c>
      <c r="S40">
        <f>'pH,Flow,S.Vol.'!AS52</f>
        <v>8.76</v>
      </c>
      <c r="T40">
        <f>'pH,Flow,S.Vol.'!AO83</f>
        <v>0</v>
      </c>
      <c r="U40">
        <f>'pH,Flow,S.Vol.'!Y52</f>
        <v>8.7100000000000009</v>
      </c>
      <c r="V40" s="12">
        <f>('pH,Flow,S.Vol.'!AC52+'pH,Flow,S.Vol.'!AG52+'pH,Flow,S.Vol.'!AK52)/3</f>
        <v>8.5299999999999994</v>
      </c>
      <c r="W40" s="12">
        <v>1817.7</v>
      </c>
    </row>
    <row r="41" spans="1:25">
      <c r="A41" s="12">
        <f>'Group Fluoride'!B39</f>
        <v>1822.25</v>
      </c>
      <c r="B41" s="12">
        <f>'Group Fluoride'!N39</f>
        <v>0</v>
      </c>
      <c r="C41" s="12">
        <f>'Group Fluoride'!H39</f>
        <v>2.6989709443099272</v>
      </c>
      <c r="D41" s="12">
        <f>'Group Fluoride'!I39</f>
        <v>7.7481840193704604E-2</v>
      </c>
      <c r="E41" s="12">
        <f>'Group Fluoride'!J39</f>
        <v>0.23186346017459525</v>
      </c>
      <c r="F41" s="76">
        <f>'Group Fluoride'!O39</f>
        <v>0</v>
      </c>
      <c r="G41" s="12"/>
      <c r="I41" s="12">
        <f>('TOC 1&amp;2'!CK26)*100</f>
        <v>0</v>
      </c>
      <c r="J41" s="76">
        <f>('TOC 1&amp;2'!CZ26)*100</f>
        <v>0</v>
      </c>
      <c r="K41">
        <f>'Set 2 Alkalinity'!Y41</f>
        <v>459.99999999999994</v>
      </c>
      <c r="L41">
        <f>'Set 2 Alkalinity'!Z41</f>
        <v>60.000000000000007</v>
      </c>
      <c r="M41">
        <f>'Set 2 Alkalinity'!AI71</f>
        <v>0</v>
      </c>
      <c r="N41">
        <f>'Set 2 Alkalinity'!AJ71</f>
        <v>0</v>
      </c>
      <c r="O41">
        <f>'Set 2 Alkalinity'!AA41</f>
        <v>569.99999999999955</v>
      </c>
      <c r="P41">
        <f>'Set 2 Alkalinity'!AB41</f>
        <v>50</v>
      </c>
      <c r="Q41" s="77">
        <f>('Set 2 Alkalinity'!AC41+'Set 2 Alkalinity'!AE41+'Set 2 Alkalinity'!AG41)/3</f>
        <v>576.66666666666663</v>
      </c>
      <c r="R41" s="77">
        <f>('Set 2 Alkalinity'!AD41+'Set 2 Alkalinity'!AF41+'Set 2 Alkalinity'!AH41)/3</f>
        <v>26.666666666666689</v>
      </c>
      <c r="S41">
        <f>'pH,Flow,S.Vol.'!AS53</f>
        <v>8.67</v>
      </c>
      <c r="T41">
        <f>'pH,Flow,S.Vol.'!AO84</f>
        <v>0</v>
      </c>
      <c r="U41">
        <f>'pH,Flow,S.Vol.'!Y53</f>
        <v>8.7899999999999991</v>
      </c>
      <c r="V41" s="12">
        <f>('pH,Flow,S.Vol.'!AC53+'pH,Flow,S.Vol.'!AG53+'pH,Flow,S.Vol.'!AK53)/3</f>
        <v>8.5933333333333337</v>
      </c>
      <c r="W41" s="12">
        <v>1896.55</v>
      </c>
    </row>
    <row r="42" spans="1:25">
      <c r="A42" s="12">
        <f>'Group Fluoride'!B40</f>
        <v>1901.2333333333333</v>
      </c>
      <c r="B42" s="12">
        <f>'Group Fluoride'!N40</f>
        <v>0</v>
      </c>
      <c r="C42" s="12">
        <f>'Group Fluoride'!H40</f>
        <v>2.0079398708635998</v>
      </c>
      <c r="D42" s="12">
        <f>'Group Fluoride'!I40</f>
        <v>7.4909200968523007E-2</v>
      </c>
      <c r="E42" s="12">
        <f>'Group Fluoride'!J40</f>
        <v>0.14555266922837695</v>
      </c>
      <c r="F42" s="76">
        <f>'Group Fluoride'!O40</f>
        <v>0</v>
      </c>
      <c r="G42" s="12"/>
      <c r="I42" s="12">
        <f>('TOC 1&amp;2'!CK27)*100</f>
        <v>0</v>
      </c>
      <c r="J42" s="76">
        <f>('TOC 1&amp;2'!CZ27)*100</f>
        <v>0</v>
      </c>
      <c r="K42">
        <f>'Set 2 Alkalinity'!Y42</f>
        <v>460.00000000000006</v>
      </c>
      <c r="L42">
        <f>'Set 2 Alkalinity'!Z42</f>
        <v>50</v>
      </c>
      <c r="M42">
        <f>'Set 2 Alkalinity'!AI72</f>
        <v>0</v>
      </c>
      <c r="N42">
        <f>'Set 2 Alkalinity'!AJ72</f>
        <v>0</v>
      </c>
      <c r="O42">
        <f>'Set 2 Alkalinity'!AA42</f>
        <v>520.00000000000011</v>
      </c>
      <c r="P42">
        <f>'Set 2 Alkalinity'!AB42</f>
        <v>39.999999999999858</v>
      </c>
      <c r="Q42" s="77">
        <f>('Set 2 Alkalinity'!AC42+'Set 2 Alkalinity'!AE42+'Set 2 Alkalinity'!AG42)/3</f>
        <v>503.33333333333331</v>
      </c>
      <c r="R42" s="77">
        <f>('Set 2 Alkalinity'!AD42+'Set 2 Alkalinity'!AF42+'Set 2 Alkalinity'!AH42)/3</f>
        <v>39.999999999999979</v>
      </c>
      <c r="S42">
        <f>'pH,Flow,S.Vol.'!AS54</f>
        <v>8.6999999999999993</v>
      </c>
      <c r="T42">
        <f>'pH,Flow,S.Vol.'!AO85</f>
        <v>0</v>
      </c>
      <c r="U42">
        <f>'pH,Flow,S.Vol.'!Y54</f>
        <v>8.8000000000000007</v>
      </c>
      <c r="V42" s="12">
        <f>('pH,Flow,S.Vol.'!AC54+'pH,Flow,S.Vol.'!AG54+'pH,Flow,S.Vol.'!AK54)/3</f>
        <v>8.67</v>
      </c>
      <c r="W42" s="12">
        <v>1944.5</v>
      </c>
    </row>
    <row r="43" spans="1:25">
      <c r="A43" s="12">
        <f>'Group Fluoride'!B41</f>
        <v>1949.1666666666667</v>
      </c>
      <c r="B43" s="12">
        <f>'Group Fluoride'!N41</f>
        <v>0</v>
      </c>
      <c r="C43" s="12">
        <f>'Group Fluoride'!H41</f>
        <v>2.7197613451455438</v>
      </c>
      <c r="D43" s="12">
        <f>'Group Fluoride'!I41</f>
        <v>0.14876755258241425</v>
      </c>
      <c r="E43" s="12">
        <f>'Group Fluoride'!J41</f>
        <v>0.72084873246357639</v>
      </c>
      <c r="F43" s="76">
        <f>'Group Fluoride'!O41</f>
        <v>0</v>
      </c>
      <c r="G43" s="12"/>
      <c r="I43" s="12">
        <f>('TOC 1&amp;2'!CK28)*100</f>
        <v>0</v>
      </c>
      <c r="J43" s="76">
        <f>('TOC 1&amp;2'!CZ28)*100</f>
        <v>0</v>
      </c>
      <c r="S43">
        <f>'pH,Flow,S.Vol.'!AS55</f>
        <v>8.7200000000000006</v>
      </c>
      <c r="U43">
        <f>'pH,Flow,S.Vol.'!Y55</f>
        <v>8.91</v>
      </c>
      <c r="V43" s="12">
        <f>('pH,Flow,S.Vol.'!AC55+'pH,Flow,S.Vol.'!AG55+'pH,Flow,S.Vol.'!AK55)/3</f>
        <v>9.0233333333333317</v>
      </c>
      <c r="W43" s="12">
        <v>2061.85</v>
      </c>
    </row>
    <row r="44" spans="1:25">
      <c r="A44" s="12">
        <f>'Group Fluoride'!B42</f>
        <v>2066.4500000000003</v>
      </c>
      <c r="B44" s="12">
        <f>'Group Fluoride'!N42</f>
        <v>0</v>
      </c>
      <c r="C44" s="12">
        <f>'Group Fluoride'!H42</f>
        <v>2.5979429076518215</v>
      </c>
      <c r="D44" s="12">
        <f>'Group Fluoride'!I42</f>
        <v>0.16458747664677878</v>
      </c>
      <c r="E44" s="12">
        <f>'Group Fluoride'!J42</f>
        <v>0.75037987904535342</v>
      </c>
      <c r="F44" s="76">
        <f>'Group Fluoride'!O42</f>
        <v>0</v>
      </c>
      <c r="G44" s="12"/>
      <c r="I44" s="12">
        <f>('TOC 1&amp;2'!CK29)*100</f>
        <v>0</v>
      </c>
      <c r="J44" s="76">
        <f>('TOC 1&amp;2'!CZ29)*100</f>
        <v>0</v>
      </c>
      <c r="K44" t="e">
        <f>'Set 2 Alkalinity'!Y43</f>
        <v>#VALUE!</v>
      </c>
      <c r="L44" t="e">
        <f>'Set 2 Alkalinity'!Z43</f>
        <v>#VALUE!</v>
      </c>
      <c r="M44">
        <f>'Set 2 Alkalinity'!AI73</f>
        <v>0</v>
      </c>
      <c r="N44">
        <f>'Set 2 Alkalinity'!AJ73</f>
        <v>0</v>
      </c>
      <c r="O44" t="e">
        <f>'Set 2 Alkalinity'!AA43</f>
        <v>#VALUE!</v>
      </c>
      <c r="P44" t="e">
        <f>'Set 2 Alkalinity'!AB43</f>
        <v>#VALUE!</v>
      </c>
      <c r="Q44" s="77" t="e">
        <f>('Set 2 Alkalinity'!AC43+'Set 2 Alkalinity'!AE43+'Set 2 Alkalinity'!AG43)/3</f>
        <v>#VALUE!</v>
      </c>
      <c r="R44" s="77" t="e">
        <f>('Set 2 Alkalinity'!AD43+'Set 2 Alkalinity'!AF43+'Set 2 Alkalinity'!AH43)/3</f>
        <v>#VALUE!</v>
      </c>
    </row>
    <row r="45" spans="1:25">
      <c r="A45" s="12">
        <f>'Group Fluoride'!B43</f>
        <v>2159.0833333333335</v>
      </c>
      <c r="B45" s="12">
        <f>'Group Fluoride'!N43</f>
        <v>0</v>
      </c>
      <c r="C45" s="12">
        <f>'Group Fluoride'!H43</f>
        <v>3.0364310251310798</v>
      </c>
      <c r="D45" s="12">
        <f>'Group Fluoride'!I43</f>
        <v>0.24212017115651177</v>
      </c>
      <c r="E45" s="12">
        <f>'Group Fluoride'!J43</f>
        <v>0.67153526101368244</v>
      </c>
      <c r="F45" s="76">
        <f>'Group Fluoride'!O43</f>
        <v>0</v>
      </c>
    </row>
    <row r="46" spans="1:25">
      <c r="A46" s="12">
        <f>'Group Fluoride'!B44</f>
        <v>2230.4666666666667</v>
      </c>
      <c r="B46" s="12">
        <f>'Group Fluoride'!N44</f>
        <v>0</v>
      </c>
      <c r="C46" s="12">
        <f>'Group Fluoride'!H44</f>
        <v>3.207063650147159</v>
      </c>
      <c r="D46" s="12">
        <f>'Group Fluoride'!I44</f>
        <v>0.15069714897285727</v>
      </c>
      <c r="E46" s="12">
        <f>'Group Fluoride'!J44</f>
        <v>0.85529936901960857</v>
      </c>
      <c r="F46" s="76">
        <f>'Group Fluoride'!O44</f>
        <v>0</v>
      </c>
    </row>
    <row r="47" spans="1:25">
      <c r="A47" s="12">
        <f>'Group Fluoride'!B45</f>
        <v>2278.8666666666668</v>
      </c>
      <c r="B47" s="12">
        <f>'Group Fluoride'!N45</f>
        <v>0</v>
      </c>
      <c r="C47" s="12">
        <f>'Group Fluoride'!H45</f>
        <v>2.8381246841275973</v>
      </c>
      <c r="D47" s="12">
        <f>'Group Fluoride'!I45</f>
        <v>0.17486696197639501</v>
      </c>
      <c r="E47" s="12">
        <f>'Group Fluoride'!J45</f>
        <v>0.31042255680076741</v>
      </c>
      <c r="F47" s="76">
        <f>'Group Fluoride'!O45</f>
        <v>0</v>
      </c>
    </row>
    <row r="48" spans="1:25">
      <c r="A48" s="12">
        <f>'Group Fluoride'!B46</f>
        <v>2399.0166666666669</v>
      </c>
      <c r="B48" s="12">
        <f>'Group Fluoride'!N46</f>
        <v>0</v>
      </c>
      <c r="C48" s="12">
        <f>'Group Fluoride'!H46</f>
        <v>3.1572736520854527</v>
      </c>
      <c r="D48" s="12">
        <f>'Group Fluoride'!I46</f>
        <v>0.18904229036477255</v>
      </c>
      <c r="E48" s="12">
        <f>'Group Fluoride'!J46</f>
        <v>0.17270995255599966</v>
      </c>
      <c r="F48" s="76">
        <f>'Group Fluoride'!O46</f>
        <v>0</v>
      </c>
      <c r="W48" s="12" t="s">
        <v>263</v>
      </c>
      <c r="X48" t="s">
        <v>945</v>
      </c>
      <c r="Y48" t="s">
        <v>151</v>
      </c>
    </row>
    <row r="49" spans="1:25">
      <c r="A49" s="12">
        <f>'Group Fluoride'!B47</f>
        <v>0</v>
      </c>
      <c r="B49" s="12">
        <f>'Group Fluoride'!N47</f>
        <v>0</v>
      </c>
      <c r="C49" s="12">
        <f>'Group Fluoride'!H47</f>
        <v>0</v>
      </c>
      <c r="D49" s="12">
        <f>'Group Fluoride'!I47</f>
        <v>0</v>
      </c>
      <c r="E49" s="12">
        <f>'Group Fluoride'!J47</f>
        <v>0</v>
      </c>
      <c r="F49" s="76">
        <f>'Group Fluoride'!O47</f>
        <v>0</v>
      </c>
      <c r="V49" s="12" t="s">
        <v>943</v>
      </c>
      <c r="W49" s="12">
        <f>AVERAGE(T4:T13)</f>
        <v>8.6870000000000012</v>
      </c>
      <c r="X49">
        <f>AVERAGE(U11:U43)</f>
        <v>8.8081818181818203</v>
      </c>
      <c r="Y49" s="12">
        <f>AVERAGE(V11:V43)</f>
        <v>8.6360606060606049</v>
      </c>
    </row>
    <row r="50" spans="1:25">
      <c r="A50" s="12">
        <f>'Group Fluoride'!B48</f>
        <v>0</v>
      </c>
      <c r="B50" s="12">
        <f>'Group Fluoride'!N48</f>
        <v>0</v>
      </c>
      <c r="C50" s="12">
        <f>'Group Fluoride'!H48</f>
        <v>0</v>
      </c>
      <c r="D50" s="12">
        <f>'Group Fluoride'!I48</f>
        <v>0</v>
      </c>
      <c r="E50" s="12">
        <f>'Group Fluoride'!J48</f>
        <v>0</v>
      </c>
      <c r="F50" s="76">
        <f>'Group Fluoride'!O48</f>
        <v>0</v>
      </c>
      <c r="V50" s="12" t="s">
        <v>946</v>
      </c>
      <c r="W50" s="12">
        <f>AVERAGE(M5:M13)</f>
        <v>413.33333333333314</v>
      </c>
      <c r="X50">
        <f>AVERAGE(O4:O33)</f>
        <v>423.5</v>
      </c>
      <c r="Y50" s="77">
        <f>AVERAGE(Q4:Q33)</f>
        <v>422.16666666666669</v>
      </c>
    </row>
    <row r="51" spans="1:25">
      <c r="A51" s="12">
        <f>'Group Fluoride'!B49</f>
        <v>0</v>
      </c>
      <c r="B51" s="12">
        <f>'Group Fluoride'!N49</f>
        <v>0</v>
      </c>
      <c r="C51" s="12">
        <f>'Group Fluoride'!H49</f>
        <v>0</v>
      </c>
      <c r="D51" s="12">
        <f>'Group Fluoride'!I49</f>
        <v>0</v>
      </c>
      <c r="E51" s="12">
        <f>'Group Fluoride'!J49</f>
        <v>0</v>
      </c>
      <c r="F51" s="76">
        <f>'Group Fluoride'!O49</f>
        <v>0</v>
      </c>
    </row>
    <row r="52" spans="1:25">
      <c r="A52" s="12">
        <f>'Group Fluoride'!B50</f>
        <v>0</v>
      </c>
      <c r="B52" s="12">
        <f>'Group Fluoride'!N50</f>
        <v>0</v>
      </c>
      <c r="C52" s="12">
        <f>'Group Fluoride'!H50</f>
        <v>0</v>
      </c>
      <c r="D52" s="12">
        <f>'Group Fluoride'!I50</f>
        <v>0</v>
      </c>
      <c r="E52" s="12">
        <f>'Group Fluoride'!J50</f>
        <v>0</v>
      </c>
      <c r="F52" s="76">
        <f>'Group Fluoride'!O50</f>
        <v>0</v>
      </c>
    </row>
    <row r="53" spans="1:25">
      <c r="A53" s="12">
        <f>'Group Fluoride'!B51</f>
        <v>0</v>
      </c>
      <c r="B53" s="12">
        <f>'Group Fluoride'!N51</f>
        <v>0</v>
      </c>
      <c r="C53" s="12">
        <f>'Group Fluoride'!H51</f>
        <v>0</v>
      </c>
      <c r="D53" s="12">
        <f>'Group Fluoride'!I51</f>
        <v>0</v>
      </c>
      <c r="E53" s="12">
        <f>'Group Fluoride'!J51</f>
        <v>0</v>
      </c>
      <c r="F53" s="76">
        <f>'Group Fluoride'!O51</f>
        <v>0</v>
      </c>
    </row>
    <row r="54" spans="1:25">
      <c r="A54" s="12">
        <f>'Group Fluoride'!B52</f>
        <v>0</v>
      </c>
      <c r="B54" s="12">
        <f>'Group Fluoride'!N52</f>
        <v>0</v>
      </c>
      <c r="C54" s="12">
        <f>'Group Fluoride'!H52</f>
        <v>0</v>
      </c>
      <c r="D54" s="12">
        <f>'Group Fluoride'!I52</f>
        <v>0</v>
      </c>
      <c r="E54" s="12">
        <f>'Group Fluoride'!J52</f>
        <v>0</v>
      </c>
      <c r="F54" s="76">
        <f>'Group Fluoride'!O52</f>
        <v>0</v>
      </c>
    </row>
    <row r="55" spans="1:25">
      <c r="A55" s="12">
        <f>'Group Fluoride'!B53</f>
        <v>0</v>
      </c>
      <c r="B55" s="12">
        <f>'Group Fluoride'!N53</f>
        <v>0</v>
      </c>
      <c r="C55" s="12">
        <f>'Group Fluoride'!H53</f>
        <v>0</v>
      </c>
      <c r="D55" s="12">
        <f>'Group Fluoride'!I53</f>
        <v>0</v>
      </c>
      <c r="E55" s="12">
        <f>'Group Fluoride'!J53</f>
        <v>0</v>
      </c>
      <c r="F55" s="76">
        <f>'Group Fluoride'!O53</f>
        <v>0</v>
      </c>
    </row>
    <row r="56" spans="1:25">
      <c r="A56" s="12">
        <f>'Group Fluoride'!B54</f>
        <v>0</v>
      </c>
      <c r="B56" s="12">
        <f>'Group Fluoride'!N54</f>
        <v>0</v>
      </c>
      <c r="C56" s="12">
        <f>'Group Fluoride'!H54</f>
        <v>0</v>
      </c>
      <c r="D56" s="12">
        <f>'Group Fluoride'!I54</f>
        <v>0</v>
      </c>
      <c r="E56" s="12">
        <f>'Group Fluoride'!J54</f>
        <v>0</v>
      </c>
      <c r="F56" s="76">
        <f>'Group Fluoride'!O54</f>
        <v>0</v>
      </c>
    </row>
    <row r="57" spans="1:25">
      <c r="A57" s="12">
        <f>'Group Fluoride'!B55</f>
        <v>0</v>
      </c>
      <c r="B57" s="12">
        <f>'Group Fluoride'!N55</f>
        <v>0</v>
      </c>
      <c r="C57" s="12">
        <f>'Group Fluoride'!H55</f>
        <v>0</v>
      </c>
      <c r="D57" s="12">
        <f>'Group Fluoride'!I55</f>
        <v>0</v>
      </c>
      <c r="E57" s="12">
        <f>'Group Fluoride'!J55</f>
        <v>0</v>
      </c>
      <c r="F57" s="76">
        <f>'Group Fluoride'!O55</f>
        <v>0</v>
      </c>
    </row>
    <row r="58" spans="1:25">
      <c r="A58" s="12">
        <f>'Group Fluoride'!B56</f>
        <v>0</v>
      </c>
      <c r="B58" s="12">
        <f>'Group Fluoride'!N56</f>
        <v>0</v>
      </c>
      <c r="C58" s="12">
        <f>'Group Fluoride'!H56</f>
        <v>0</v>
      </c>
      <c r="D58" s="12">
        <f>'Group Fluoride'!I56</f>
        <v>0</v>
      </c>
      <c r="E58" s="12">
        <f>'Group Fluoride'!J56</f>
        <v>0</v>
      </c>
      <c r="F58" s="76">
        <f>'Group Fluoride'!O56</f>
        <v>0</v>
      </c>
    </row>
    <row r="59" spans="1:25">
      <c r="A59" s="12">
        <f>'Group Fluoride'!B57</f>
        <v>0</v>
      </c>
      <c r="B59" s="12">
        <f>'Group Fluoride'!N57</f>
        <v>0</v>
      </c>
      <c r="C59" s="12">
        <f>'Group Fluoride'!H57</f>
        <v>0</v>
      </c>
      <c r="D59" s="12">
        <f>'Group Fluoride'!I57</f>
        <v>0</v>
      </c>
      <c r="E59" s="12">
        <f>'Group Fluoride'!J57</f>
        <v>0</v>
      </c>
      <c r="F59" s="76">
        <f>'Group Fluoride'!O57</f>
        <v>0</v>
      </c>
    </row>
    <row r="60" spans="1:25">
      <c r="A60" s="12">
        <f>'Group Fluoride'!B58</f>
        <v>0</v>
      </c>
      <c r="B60" s="12">
        <f>'Group Fluoride'!N58</f>
        <v>0</v>
      </c>
      <c r="C60" s="12">
        <f>'Group Fluoride'!H58</f>
        <v>0</v>
      </c>
      <c r="D60" s="12">
        <f>'Group Fluoride'!I58</f>
        <v>0</v>
      </c>
      <c r="E60" s="12">
        <f>'Group Fluoride'!J58</f>
        <v>0</v>
      </c>
      <c r="F60" s="76">
        <f>'Group Fluoride'!O58</f>
        <v>0</v>
      </c>
    </row>
    <row r="61" spans="1:25">
      <c r="A61" s="12">
        <f>'Group Fluoride'!B59</f>
        <v>0</v>
      </c>
      <c r="B61" s="12">
        <f>'Group Fluoride'!N59</f>
        <v>0</v>
      </c>
      <c r="C61" s="12">
        <f>'Group Fluoride'!H59</f>
        <v>0</v>
      </c>
      <c r="D61" s="12">
        <f>'Group Fluoride'!I59</f>
        <v>0</v>
      </c>
      <c r="E61" s="12">
        <f>'Group Fluoride'!J59</f>
        <v>0</v>
      </c>
      <c r="F61" s="76">
        <f>'Group Fluoride'!O59</f>
        <v>0</v>
      </c>
    </row>
    <row r="62" spans="1:25">
      <c r="A62" s="12">
        <f>'Group Fluoride'!B60</f>
        <v>0</v>
      </c>
      <c r="B62" s="12">
        <f>'Group Fluoride'!N60</f>
        <v>0</v>
      </c>
      <c r="C62" s="12">
        <f>'Group Fluoride'!H60</f>
        <v>0</v>
      </c>
      <c r="D62" s="12">
        <f>'Group Fluoride'!I60</f>
        <v>0</v>
      </c>
      <c r="E62" s="12">
        <f>'Group Fluoride'!J60</f>
        <v>0</v>
      </c>
      <c r="F62" s="76">
        <f>'Group Fluoride'!O60</f>
        <v>0</v>
      </c>
    </row>
    <row r="63" spans="1:25">
      <c r="A63" s="12">
        <f>'Group Fluoride'!B61</f>
        <v>0</v>
      </c>
      <c r="B63" s="12">
        <f>'Group Fluoride'!N61</f>
        <v>0</v>
      </c>
      <c r="C63" s="12">
        <f>'Group Fluoride'!H61</f>
        <v>0</v>
      </c>
      <c r="D63" s="12">
        <f>'Group Fluoride'!I61</f>
        <v>0</v>
      </c>
      <c r="E63" s="12">
        <f>'Group Fluoride'!J61</f>
        <v>0</v>
      </c>
      <c r="F63" s="76">
        <f>'Group Fluoride'!O61</f>
        <v>0</v>
      </c>
    </row>
    <row r="64" spans="1:25">
      <c r="A64" s="12">
        <f>'Group Fluoride'!B62</f>
        <v>0</v>
      </c>
      <c r="B64" s="12">
        <f>'Group Fluoride'!N62</f>
        <v>0</v>
      </c>
      <c r="C64" s="12">
        <f>'Group Fluoride'!H62</f>
        <v>0</v>
      </c>
      <c r="D64" s="12">
        <f>'Group Fluoride'!I62</f>
        <v>0</v>
      </c>
      <c r="E64" s="12">
        <f>'Group Fluoride'!J62</f>
        <v>0</v>
      </c>
      <c r="F64" s="76">
        <f>'Group Fluoride'!O62</f>
        <v>0</v>
      </c>
    </row>
    <row r="65" spans="1:6">
      <c r="A65" s="12">
        <f>'Group Fluoride'!B63</f>
        <v>0</v>
      </c>
      <c r="B65" s="12">
        <f>'Group Fluoride'!N63</f>
        <v>0</v>
      </c>
      <c r="C65" s="12">
        <f>'Group Fluoride'!H63</f>
        <v>0</v>
      </c>
      <c r="D65" s="12">
        <f>'Group Fluoride'!I63</f>
        <v>0</v>
      </c>
      <c r="E65" s="12">
        <f>'Group Fluoride'!J63</f>
        <v>0</v>
      </c>
      <c r="F65" s="76">
        <f>'Group Fluoride'!O63</f>
        <v>0</v>
      </c>
    </row>
    <row r="66" spans="1:6">
      <c r="A66" s="12">
        <f>'Group Fluoride'!B64</f>
        <v>0</v>
      </c>
      <c r="B66" s="12">
        <f>'Group Fluoride'!N64</f>
        <v>0</v>
      </c>
      <c r="C66" s="12">
        <f>'Group Fluoride'!H64</f>
        <v>0</v>
      </c>
      <c r="D66" s="12">
        <f>'Group Fluoride'!I64</f>
        <v>0</v>
      </c>
      <c r="E66" s="12">
        <f>'Group Fluoride'!J64</f>
        <v>0</v>
      </c>
      <c r="F66" s="76">
        <f>'Group Fluoride'!O64</f>
        <v>0</v>
      </c>
    </row>
    <row r="67" spans="1:6">
      <c r="A67" s="12">
        <f>'Group Fluoride'!B65</f>
        <v>0</v>
      </c>
      <c r="B67" s="12">
        <f>'Group Fluoride'!N65</f>
        <v>0</v>
      </c>
      <c r="C67" s="12">
        <f>'Group Fluoride'!H65</f>
        <v>0</v>
      </c>
      <c r="D67" s="12">
        <f>'Group Fluoride'!I65</f>
        <v>0</v>
      </c>
      <c r="E67" s="12">
        <f>'Group Fluoride'!J65</f>
        <v>0</v>
      </c>
      <c r="F67" s="76">
        <f>'Group Fluoride'!O65</f>
        <v>0</v>
      </c>
    </row>
    <row r="68" spans="1:6">
      <c r="A68" s="12">
        <f>'Group Fluoride'!B66</f>
        <v>0</v>
      </c>
      <c r="B68" s="12">
        <f>'Group Fluoride'!N66</f>
        <v>0</v>
      </c>
      <c r="C68" s="12">
        <f>'Group Fluoride'!H66</f>
        <v>0</v>
      </c>
      <c r="D68" s="12">
        <f>'Group Fluoride'!I66</f>
        <v>0</v>
      </c>
      <c r="E68" s="12">
        <f>'Group Fluoride'!J66</f>
        <v>0</v>
      </c>
      <c r="F68" s="76">
        <f>'Group Fluoride'!O66</f>
        <v>0</v>
      </c>
    </row>
    <row r="69" spans="1:6">
      <c r="A69" s="12">
        <f>'Group Fluoride'!B67</f>
        <v>0</v>
      </c>
      <c r="B69" s="12">
        <f>'Group Fluoride'!N67</f>
        <v>0</v>
      </c>
      <c r="C69" s="12">
        <f>'Group Fluoride'!H67</f>
        <v>0</v>
      </c>
      <c r="D69" s="12">
        <f>'Group Fluoride'!I67</f>
        <v>0</v>
      </c>
      <c r="E69" s="12">
        <f>'Group Fluoride'!J67</f>
        <v>0</v>
      </c>
      <c r="F69" s="76">
        <f>'Group Fluoride'!O67</f>
        <v>0</v>
      </c>
    </row>
    <row r="70" spans="1:6">
      <c r="A70" s="12">
        <f>'Group Fluoride'!B68</f>
        <v>0</v>
      </c>
      <c r="B70" s="12">
        <f>'Group Fluoride'!N68</f>
        <v>0</v>
      </c>
      <c r="C70" s="12">
        <f>'Group Fluoride'!H68</f>
        <v>0</v>
      </c>
      <c r="D70" s="12">
        <f>'Group Fluoride'!I68</f>
        <v>0</v>
      </c>
      <c r="E70" s="12">
        <f>'Group Fluoride'!J68</f>
        <v>0</v>
      </c>
      <c r="F70" s="76">
        <f>'Group Fluoride'!O68</f>
        <v>0</v>
      </c>
    </row>
    <row r="71" spans="1:6">
      <c r="A71" s="12">
        <f>'Group Fluoride'!B69</f>
        <v>0</v>
      </c>
      <c r="B71" s="12">
        <f>'Group Fluoride'!N69</f>
        <v>0</v>
      </c>
      <c r="C71" s="12">
        <f>'Group Fluoride'!H69</f>
        <v>0</v>
      </c>
      <c r="D71" s="12">
        <f>'Group Fluoride'!I69</f>
        <v>0</v>
      </c>
      <c r="E71" s="12">
        <f>'Group Fluoride'!J69</f>
        <v>0</v>
      </c>
      <c r="F71" s="76">
        <f>'Group Fluoride'!O69</f>
        <v>0</v>
      </c>
    </row>
    <row r="72" spans="1:6">
      <c r="A72" s="12">
        <f>'Group Fluoride'!B70</f>
        <v>0</v>
      </c>
      <c r="B72" s="12">
        <f>'Group Fluoride'!N70</f>
        <v>0</v>
      </c>
      <c r="C72" s="12">
        <f>'Group Fluoride'!H70</f>
        <v>0</v>
      </c>
      <c r="D72" s="12">
        <f>'Group Fluoride'!I70</f>
        <v>0</v>
      </c>
      <c r="E72" s="12">
        <f>'Group Fluoride'!J70</f>
        <v>0</v>
      </c>
      <c r="F72" s="76">
        <f>'Group Fluoride'!O70</f>
        <v>0</v>
      </c>
    </row>
    <row r="73" spans="1:6">
      <c r="A73" s="12">
        <f>'Group Fluoride'!B71</f>
        <v>0</v>
      </c>
      <c r="B73" s="12">
        <f>'Group Fluoride'!N71</f>
        <v>0</v>
      </c>
      <c r="C73" s="12">
        <f>'Group Fluoride'!H71</f>
        <v>0</v>
      </c>
      <c r="D73" s="12">
        <f>'Group Fluoride'!I71</f>
        <v>0</v>
      </c>
      <c r="E73" s="12">
        <f>'Group Fluoride'!J71</f>
        <v>0</v>
      </c>
      <c r="F73" s="76">
        <f>'Group Fluoride'!O71</f>
        <v>0</v>
      </c>
    </row>
    <row r="74" spans="1:6">
      <c r="A74" s="12">
        <f>'Group Fluoride'!B72</f>
        <v>0</v>
      </c>
      <c r="B74" s="12">
        <f>'Group Fluoride'!N72</f>
        <v>0</v>
      </c>
      <c r="C74" s="12">
        <f>'Group Fluoride'!H72</f>
        <v>0</v>
      </c>
      <c r="D74" s="12">
        <f>'Group Fluoride'!I72</f>
        <v>0</v>
      </c>
      <c r="E74" s="12">
        <f>'Group Fluoride'!J72</f>
        <v>0</v>
      </c>
      <c r="F74" s="76">
        <f>'Group Fluoride'!O72</f>
        <v>0</v>
      </c>
    </row>
  </sheetData>
  <mergeCells count="19">
    <mergeCell ref="S2:S3"/>
    <mergeCell ref="T2:T3"/>
    <mergeCell ref="U2:U3"/>
    <mergeCell ref="V2:V3"/>
    <mergeCell ref="A2:A3"/>
    <mergeCell ref="B2:B3"/>
    <mergeCell ref="C2:C3"/>
    <mergeCell ref="D2:D3"/>
    <mergeCell ref="E2:E3"/>
    <mergeCell ref="I2:I3"/>
    <mergeCell ref="J2:J3"/>
    <mergeCell ref="C1:F1"/>
    <mergeCell ref="G1:J1"/>
    <mergeCell ref="F2:F3"/>
    <mergeCell ref="K1:R1"/>
    <mergeCell ref="K2:L2"/>
    <mergeCell ref="M2:N2"/>
    <mergeCell ref="O2:P2"/>
    <mergeCell ref="Q2:R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6BF74-722C-2045-B7A1-A8B41FD8AB50}">
  <dimension ref="A1:U41"/>
  <sheetViews>
    <sheetView workbookViewId="0">
      <pane xSplit="2" ySplit="1" topLeftCell="C2" activePane="bottomRight" state="frozen"/>
      <selection pane="topRight" activeCell="C1" sqref="C1"/>
      <selection pane="bottomLeft" activeCell="A2" sqref="A2"/>
      <selection pane="bottomRight" activeCell="Z15" sqref="Z15"/>
    </sheetView>
  </sheetViews>
  <sheetFormatPr defaultColWidth="10.6640625" defaultRowHeight="15.5"/>
  <cols>
    <col min="20" max="21" width="10.83203125" style="12"/>
  </cols>
  <sheetData>
    <row r="1" spans="1:21">
      <c r="C1" s="688" t="s">
        <v>306</v>
      </c>
      <c r="D1" s="688"/>
      <c r="E1" s="688"/>
      <c r="F1" s="688"/>
      <c r="G1" s="688" t="s">
        <v>307</v>
      </c>
      <c r="H1" s="688"/>
      <c r="I1" s="688"/>
      <c r="J1" s="688"/>
      <c r="K1" t="s">
        <v>312</v>
      </c>
      <c r="Q1" t="s">
        <v>86</v>
      </c>
    </row>
    <row r="2" spans="1:21">
      <c r="A2" s="688" t="s">
        <v>159</v>
      </c>
      <c r="B2" s="688" t="s">
        <v>311</v>
      </c>
      <c r="C2" s="688" t="s">
        <v>154</v>
      </c>
      <c r="D2" s="688" t="s">
        <v>155</v>
      </c>
      <c r="E2" s="688" t="s">
        <v>156</v>
      </c>
      <c r="F2" s="781" t="s">
        <v>254</v>
      </c>
      <c r="G2" s="688" t="s">
        <v>135</v>
      </c>
      <c r="H2" s="688" t="s">
        <v>254</v>
      </c>
      <c r="I2" s="688" t="s">
        <v>155</v>
      </c>
      <c r="J2" s="781" t="s">
        <v>154</v>
      </c>
      <c r="K2" t="s">
        <v>155</v>
      </c>
      <c r="M2" t="s">
        <v>254</v>
      </c>
      <c r="O2" t="s">
        <v>154</v>
      </c>
      <c r="Q2" s="688" t="s">
        <v>135</v>
      </c>
      <c r="R2" s="688" t="s">
        <v>254</v>
      </c>
      <c r="S2" s="688" t="s">
        <v>155</v>
      </c>
      <c r="T2" s="782" t="s">
        <v>154</v>
      </c>
    </row>
    <row r="3" spans="1:21">
      <c r="A3" s="688"/>
      <c r="B3" s="688"/>
      <c r="C3" s="688"/>
      <c r="D3" s="688"/>
      <c r="E3" s="688"/>
      <c r="F3" s="781"/>
      <c r="G3" s="688"/>
      <c r="H3" s="688"/>
      <c r="I3" s="688"/>
      <c r="J3" s="781"/>
      <c r="K3" t="s">
        <v>303</v>
      </c>
      <c r="L3" t="s">
        <v>304</v>
      </c>
      <c r="M3" t="s">
        <v>303</v>
      </c>
      <c r="N3" t="s">
        <v>304</v>
      </c>
      <c r="O3" t="s">
        <v>303</v>
      </c>
      <c r="P3" t="s">
        <v>304</v>
      </c>
      <c r="Q3" s="688"/>
      <c r="R3" s="688"/>
      <c r="S3" s="688"/>
      <c r="T3" s="782"/>
      <c r="U3" s="12" t="s">
        <v>356</v>
      </c>
    </row>
    <row r="4" spans="1:21">
      <c r="A4" s="12">
        <f>'Group Fluoride'!C2</f>
        <v>0.98333333333333328</v>
      </c>
      <c r="B4" s="12">
        <f>'Group Fluoride'!N2</f>
        <v>1.75</v>
      </c>
      <c r="C4" s="12">
        <f>'Group Fluoride'!K2</f>
        <v>1.8517561460043368</v>
      </c>
      <c r="D4" s="12">
        <f>'Group Fluoride'!L2</f>
        <v>1.4644008025779778</v>
      </c>
      <c r="E4" s="12">
        <f>'Group Fluoride'!M2</f>
        <v>2.9522356799728287</v>
      </c>
      <c r="F4" s="12">
        <f>'Group Fluoride'!P2</f>
        <v>3.411762972566815</v>
      </c>
      <c r="K4" s="12">
        <f>'Set 3 Salt'!E3</f>
        <v>556.79194330730343</v>
      </c>
      <c r="L4" s="12">
        <f>'Set 3 Salt'!F3</f>
        <v>175.2590130401432</v>
      </c>
      <c r="M4" s="12">
        <f>'Set 3 Salt'!M20</f>
        <v>433.81076060407997</v>
      </c>
      <c r="N4" s="12">
        <f>'Set 3 Salt'!N20</f>
        <v>262.49833802096651</v>
      </c>
      <c r="O4" s="12">
        <f>'Set 3 Salt'!O3</f>
        <v>824.96009494650662</v>
      </c>
      <c r="P4" s="12">
        <f>'Set 3 Salt'!P3</f>
        <v>318.64962072786165</v>
      </c>
      <c r="Q4">
        <f>'pH,Flow,S.Vol.'!BN28</f>
        <v>7.89</v>
      </c>
      <c r="R4">
        <f>'pH,Flow,S.Vol.'!BJ46</f>
        <v>9.1199999999999992</v>
      </c>
      <c r="S4">
        <f>'pH,Flow,S.Vol.'!AT28</f>
        <v>8.26</v>
      </c>
      <c r="T4" s="12">
        <f>('pH,Flow,S.Vol.'!AX28+'pH,Flow,S.Vol.'!BB28+'pH,Flow,S.Vol.'!BF28)/3</f>
        <v>8.3500000000000014</v>
      </c>
      <c r="U4" s="12">
        <v>0.98333333333333328</v>
      </c>
    </row>
    <row r="5" spans="1:21">
      <c r="A5" s="12">
        <f>'Group Fluoride'!C3</f>
        <v>19.600000000000001</v>
      </c>
      <c r="B5" s="12">
        <f>'Group Fluoride'!N3</f>
        <v>21.616666666666667</v>
      </c>
      <c r="C5" s="12">
        <f>'Group Fluoride'!K3</f>
        <v>3.2786121075778767</v>
      </c>
      <c r="D5" s="12">
        <f>'Group Fluoride'!L3</f>
        <v>0.27026205387000668</v>
      </c>
      <c r="E5" s="12">
        <f>'Group Fluoride'!M3</f>
        <v>1.1834483355756058</v>
      </c>
      <c r="F5" s="12">
        <f>'Group Fluoride'!P3</f>
        <v>4.2262132775436836</v>
      </c>
      <c r="K5" s="12">
        <f>'Set 3 Salt'!E4</f>
        <v>565.74546768034691</v>
      </c>
      <c r="L5" s="12">
        <f>'Set 3 Salt'!F4</f>
        <v>122.5617489133214</v>
      </c>
      <c r="M5" s="12">
        <f>'Set 3 Salt'!M21</f>
        <v>425.75544394372014</v>
      </c>
      <c r="N5" s="12">
        <f>'Set 3 Salt'!N21</f>
        <v>109.21094349271284</v>
      </c>
      <c r="O5" s="12">
        <f>'Set 3 Salt'!O4</f>
        <v>516.84170995447619</v>
      </c>
      <c r="P5" s="12">
        <f>'Set 3 Salt'!P4</f>
        <v>120.07824085911533</v>
      </c>
      <c r="Q5">
        <f>'pH,Flow,S.Vol.'!BN29</f>
        <v>7.92</v>
      </c>
      <c r="R5">
        <f>'pH,Flow,S.Vol.'!BJ47</f>
        <v>9.5500000000000007</v>
      </c>
      <c r="S5">
        <f>'pH,Flow,S.Vol.'!AT29</f>
        <v>10.050000000000001</v>
      </c>
      <c r="T5" s="12">
        <f>('pH,Flow,S.Vol.'!AX29+'pH,Flow,S.Vol.'!BB29+'pH,Flow,S.Vol.'!BF29)/3</f>
        <v>9.7299999999999986</v>
      </c>
      <c r="U5" s="12">
        <v>19.600000000000001</v>
      </c>
    </row>
    <row r="6" spans="1:21">
      <c r="A6" s="12">
        <f>'Group Fluoride'!C4</f>
        <v>90.816666666666663</v>
      </c>
      <c r="B6" s="12">
        <f>'Group Fluoride'!N4</f>
        <v>46.8</v>
      </c>
      <c r="C6" s="12">
        <f>'Group Fluoride'!K4</f>
        <v>2.768944691027746</v>
      </c>
      <c r="D6" s="12">
        <f>'Group Fluoride'!L4</f>
        <v>0.19334833100261439</v>
      </c>
      <c r="E6" s="12">
        <f>'Group Fluoride'!M4</f>
        <v>0.9052471128651769</v>
      </c>
      <c r="F6" s="12">
        <f>'Group Fluoride'!P4</f>
        <v>3.1998670373504172</v>
      </c>
      <c r="K6" s="12">
        <f>'Set 3 Salt'!E5</f>
        <v>112.3196532388455</v>
      </c>
      <c r="L6" s="12">
        <f>'Set 3 Salt'!F5</f>
        <v>25.849399130657122</v>
      </c>
      <c r="M6" s="12">
        <f>'Set 3 Salt'!M22</f>
        <v>415.77058034332106</v>
      </c>
      <c r="N6" s="12">
        <f>'Set 3 Salt'!N22</f>
        <v>92.916901048325229</v>
      </c>
      <c r="O6" s="12">
        <f>'Set 3 Salt'!O5</f>
        <v>108.33281731971057</v>
      </c>
      <c r="P6" s="12">
        <f>'Set 3 Salt'!P5</f>
        <v>26.910764510355406</v>
      </c>
      <c r="Q6">
        <f>'pH,Flow,S.Vol.'!BN30</f>
        <v>7.69</v>
      </c>
      <c r="R6">
        <f>'pH,Flow,S.Vol.'!BJ48</f>
        <v>9.4700000000000006</v>
      </c>
      <c r="S6">
        <f>'pH,Flow,S.Vol.'!AT30</f>
        <v>9.77</v>
      </c>
      <c r="T6" s="12">
        <f>('pH,Flow,S.Vol.'!AX30+'pH,Flow,S.Vol.'!BB30+'pH,Flow,S.Vol.'!BF30)/3</f>
        <v>9.4533333333333349</v>
      </c>
      <c r="U6" s="12">
        <v>90.816666666666663</v>
      </c>
    </row>
    <row r="7" spans="1:21">
      <c r="A7" s="12">
        <f>'Group Fluoride'!C5</f>
        <v>114.95</v>
      </c>
      <c r="B7" s="12">
        <f>'Group Fluoride'!N5</f>
        <v>166.5</v>
      </c>
      <c r="C7" s="12">
        <f>'Group Fluoride'!K5</f>
        <v>2.797128290914884</v>
      </c>
      <c r="D7" s="12">
        <f>'Group Fluoride'!L5</f>
        <v>0.20283187955550247</v>
      </c>
      <c r="E7" s="12">
        <f>'Group Fluoride'!M5</f>
        <v>0.45373777200198639</v>
      </c>
      <c r="F7" s="12">
        <f>'Group Fluoride'!P5</f>
        <v>3.1740299770337241</v>
      </c>
      <c r="K7" s="12">
        <f>'Set 3 Salt'!E6</f>
        <v>226.19818363204786</v>
      </c>
      <c r="L7" s="12">
        <f>'Set 3 Salt'!F6</f>
        <v>63.903093837893117</v>
      </c>
      <c r="M7" s="12">
        <f>'Set 3 Salt'!M23</f>
        <v>492.99614709828347</v>
      </c>
      <c r="N7" s="12">
        <f>'Set 3 Salt'!N23</f>
        <v>133.48222960879571</v>
      </c>
      <c r="O7" s="12">
        <f>'Set 3 Salt'!O6</f>
        <v>230.11730709690735</v>
      </c>
      <c r="P7" s="12">
        <f>'Set 3 Salt'!P6</f>
        <v>65.606664962072799</v>
      </c>
      <c r="Q7">
        <f>'pH,Flow,S.Vol.'!BN31</f>
        <v>7.38</v>
      </c>
      <c r="R7">
        <f>'pH,Flow,S.Vol.'!BJ49</f>
        <v>9.6199999999999992</v>
      </c>
      <c r="S7">
        <f>'pH,Flow,S.Vol.'!AT31</f>
        <v>9.9700000000000006</v>
      </c>
      <c r="T7" s="12">
        <f>('pH,Flow,S.Vol.'!AX31+'pH,Flow,S.Vol.'!BB31+'pH,Flow,S.Vol.'!BF31)/3</f>
        <v>9.7733333333333334</v>
      </c>
      <c r="U7" s="12">
        <v>114.95</v>
      </c>
    </row>
    <row r="8" spans="1:21">
      <c r="A8" s="12">
        <f>'Group Fluoride'!C6</f>
        <v>138.43333333333334</v>
      </c>
      <c r="B8" s="12">
        <f>'Group Fluoride'!N6</f>
        <v>214.66666666666666</v>
      </c>
      <c r="C8" s="12">
        <f>'Group Fluoride'!K6</f>
        <v>2.7895355673133451</v>
      </c>
      <c r="D8" s="12">
        <f>'Group Fluoride'!L6</f>
        <v>0.27228565240261143</v>
      </c>
      <c r="E8" s="12">
        <f>'Group Fluoride'!M6</f>
        <v>0.65530222043633202</v>
      </c>
      <c r="F8" s="12">
        <f>'Group Fluoride'!P6</f>
        <v>2.3337935897059254</v>
      </c>
      <c r="K8" s="12">
        <f>'Set 3 Salt'!E7</f>
        <v>236.88757783205477</v>
      </c>
      <c r="L8" s="12">
        <f>'Set 3 Salt'!F7</f>
        <v>67.66351316798773</v>
      </c>
      <c r="M8" s="12">
        <f>'Set 3 Salt'!M24</f>
        <v>403.18032843441654</v>
      </c>
      <c r="N8" s="12">
        <f>'Set 3 Salt'!N24</f>
        <v>118.94688452243352</v>
      </c>
      <c r="O8" s="12">
        <f>'Set 3 Salt'!O7</f>
        <v>232.3822628917404</v>
      </c>
      <c r="P8" s="12">
        <f>'Set 3 Salt'!P7</f>
        <v>66.74772010568482</v>
      </c>
      <c r="Q8">
        <f>'pH,Flow,S.Vol.'!BN32</f>
        <v>7.79</v>
      </c>
      <c r="R8">
        <f>'pH,Flow,S.Vol.'!BJ50</f>
        <v>9.61</v>
      </c>
      <c r="S8">
        <f>'pH,Flow,S.Vol.'!AT32</f>
        <v>9.64</v>
      </c>
      <c r="T8" s="12">
        <f>('pH,Flow,S.Vol.'!AX32+'pH,Flow,S.Vol.'!BB32+'pH,Flow,S.Vol.'!BF32)/3</f>
        <v>9.5299999999999994</v>
      </c>
      <c r="U8" s="12">
        <v>138.43333333333334</v>
      </c>
    </row>
    <row r="9" spans="1:21">
      <c r="A9" s="12">
        <f>'Group Fluoride'!C7</f>
        <v>190.9</v>
      </c>
      <c r="B9" s="12">
        <f>'Group Fluoride'!N7</f>
        <v>286.59999999999997</v>
      </c>
      <c r="C9" s="12">
        <f>'Group Fluoride'!K7</f>
        <v>2.496776921728189</v>
      </c>
      <c r="D9" s="12">
        <f>'Group Fluoride'!L7</f>
        <v>0.263467310250936</v>
      </c>
      <c r="E9" s="12">
        <f>'Group Fluoride'!M7</f>
        <v>0.71834312316552396</v>
      </c>
      <c r="F9" s="12">
        <f>'Group Fluoride'!P7</f>
        <v>2.0284085901465962</v>
      </c>
      <c r="K9" s="12">
        <f>'Set 3 Salt'!E8</f>
        <v>286.85472496473903</v>
      </c>
      <c r="L9" s="12">
        <f>'Set 3 Salt'!F8</f>
        <v>86.659933520838649</v>
      </c>
      <c r="M9" s="12">
        <f>'Set 3 Salt'!M25</f>
        <v>388.10253225695158</v>
      </c>
      <c r="N9" s="12">
        <f>'Set 3 Salt'!N25</f>
        <v>100.25506987496058</v>
      </c>
      <c r="O9" s="12">
        <f>'Set 3 Salt'!O8</f>
        <v>287.39562191108513</v>
      </c>
      <c r="P9" s="12">
        <f>'Set 3 Salt'!P8</f>
        <v>87.271627034858923</v>
      </c>
      <c r="Q9">
        <f>'pH,Flow,S.Vol.'!BN33</f>
        <v>7.35</v>
      </c>
      <c r="R9">
        <f>'pH,Flow,S.Vol.'!BJ51</f>
        <v>9.6300000000000008</v>
      </c>
      <c r="S9">
        <f>'pH,Flow,S.Vol.'!AT33</f>
        <v>9.7200000000000006</v>
      </c>
      <c r="T9" s="12">
        <f>('pH,Flow,S.Vol.'!AX33+'pH,Flow,S.Vol.'!BB33+'pH,Flow,S.Vol.'!BF33)/3</f>
        <v>9.7033333333333331</v>
      </c>
      <c r="U9" s="12">
        <v>190.9</v>
      </c>
    </row>
    <row r="10" spans="1:21">
      <c r="A10" s="12">
        <f>'Group Fluoride'!C8</f>
        <v>258.45</v>
      </c>
      <c r="B10" s="12">
        <f>'Group Fluoride'!N8</f>
        <v>334.76666666666659</v>
      </c>
      <c r="C10" s="12">
        <f>'Group Fluoride'!K8</f>
        <v>2.1507472384665367</v>
      </c>
      <c r="D10" s="12">
        <f>'Group Fluoride'!L8</f>
        <v>0.21442495126705652</v>
      </c>
      <c r="E10" s="12">
        <f>'Group Fluoride'!M8</f>
        <v>0.41334144652423105</v>
      </c>
      <c r="F10" s="12">
        <f>'Group Fluoride'!P8</f>
        <v>1.4207021791767558</v>
      </c>
      <c r="K10" s="12">
        <f>'Set 3 Salt'!E9</f>
        <v>274.37751556641098</v>
      </c>
      <c r="L10" s="12">
        <f>'Set 3 Salt'!F9</f>
        <v>99.338788033750959</v>
      </c>
      <c r="M10" s="12">
        <f>'Set 3 Salt'!M26</f>
        <v>342.88363347823088</v>
      </c>
      <c r="N10" s="12">
        <f>'Set 3 Salt'!N26</f>
        <v>104.23163812125671</v>
      </c>
      <c r="O10" s="12">
        <f>'Set 3 Salt'!O9</f>
        <v>285.98719139518619</v>
      </c>
      <c r="P10" s="12">
        <f>'Set 3 Salt'!P9</f>
        <v>104.34756669223556</v>
      </c>
      <c r="Q10">
        <f>'pH,Flow,S.Vol.'!BN34</f>
        <v>7.36</v>
      </c>
      <c r="R10">
        <f>'pH,Flow,S.Vol.'!BJ52</f>
        <v>9.8000000000000007</v>
      </c>
      <c r="S10">
        <f>'pH,Flow,S.Vol.'!AT34</f>
        <v>9.66</v>
      </c>
      <c r="T10" s="12">
        <f>('pH,Flow,S.Vol.'!AX34+'pH,Flow,S.Vol.'!BB34+'pH,Flow,S.Vol.'!BF34)/3</f>
        <v>9.74</v>
      </c>
      <c r="U10" s="12">
        <v>258.45</v>
      </c>
    </row>
    <row r="11" spans="1:21">
      <c r="A11" s="12">
        <f>'Group Fluoride'!C9</f>
        <v>306.97000000000003</v>
      </c>
      <c r="B11" s="12">
        <f>'Group Fluoride'!N9</f>
        <v>380.89999999999992</v>
      </c>
      <c r="C11" s="12">
        <f>'Group Fluoride'!K9</f>
        <v>1.688030289207189</v>
      </c>
      <c r="D11" s="12">
        <f>'Group Fluoride'!L9</f>
        <v>0</v>
      </c>
      <c r="E11" s="12">
        <f>'Group Fluoride'!M9</f>
        <v>0.34722893326406834</v>
      </c>
      <c r="F11" s="12">
        <f>'Group Fluoride'!P9</f>
        <v>1.7528753026634387</v>
      </c>
      <c r="K11" s="12">
        <f>'Set 3 Salt'!E10</f>
        <v>283.98121710413159</v>
      </c>
      <c r="L11" s="12">
        <f>'Set 3 Salt'!F10</f>
        <v>86.796982868831506</v>
      </c>
      <c r="M11" s="12">
        <f>'Set 3 Salt'!M27</f>
        <v>263.57569171324081</v>
      </c>
      <c r="N11" s="12">
        <f>'Set 3 Salt'!N27</f>
        <v>88.571240937270119</v>
      </c>
      <c r="O11" s="12">
        <f>'Set 3 Salt'!O10</f>
        <v>274.29667343217858</v>
      </c>
      <c r="P11" s="12">
        <f>'Set 3 Salt'!P10</f>
        <v>83.981590386090502</v>
      </c>
      <c r="Q11">
        <f>'pH,Flow,S.Vol.'!BN35</f>
        <v>8.61</v>
      </c>
      <c r="R11">
        <f>'pH,Flow,S.Vol.'!BJ53</f>
        <v>9.75</v>
      </c>
      <c r="S11">
        <f>'pH,Flow,S.Vol.'!AT35</f>
        <v>9.6199999999999992</v>
      </c>
      <c r="T11" s="12">
        <f>('pH,Flow,S.Vol.'!AX35+'pH,Flow,S.Vol.'!BB35+'pH,Flow,S.Vol.'!BF35)/3</f>
        <v>9.7033333333333331</v>
      </c>
      <c r="U11" s="12">
        <v>306.97000000000003</v>
      </c>
    </row>
    <row r="12" spans="1:21">
      <c r="A12" s="12">
        <f>'Group Fluoride'!C10</f>
        <v>354.78</v>
      </c>
      <c r="B12" s="12">
        <f>'Group Fluoride'!N10</f>
        <v>459.88333333333327</v>
      </c>
      <c r="C12" s="12">
        <f>'Group Fluoride'!K10</f>
        <v>1.1761396466259162</v>
      </c>
      <c r="D12" s="12">
        <f>'Group Fluoride'!L10</f>
        <v>0</v>
      </c>
      <c r="E12" s="12">
        <f>'Group Fluoride'!M10</f>
        <v>0.28820593664897115</v>
      </c>
      <c r="F12" s="12">
        <f>'Group Fluoride'!P10</f>
        <v>1.4131355932203391</v>
      </c>
      <c r="K12" s="12">
        <f>'Set 3 Salt'!E11</f>
        <v>216.61804671643335</v>
      </c>
      <c r="L12" s="12">
        <f>'Set 3 Salt'!F11</f>
        <v>71.57402198926107</v>
      </c>
      <c r="M12" s="12">
        <f>'Set 3 Salt'!M28</f>
        <v>380.06537638860141</v>
      </c>
      <c r="N12" s="12">
        <f>'Set 3 Salt'!N28</f>
        <v>142.56567195544812</v>
      </c>
      <c r="O12" s="12">
        <f>'Set 3 Salt'!O11</f>
        <v>209.059708509638</v>
      </c>
      <c r="P12" s="12">
        <f>'Set 3 Salt'!P11</f>
        <v>68.793232762294394</v>
      </c>
      <c r="Q12">
        <f>'pH,Flow,S.Vol.'!BN36</f>
        <v>7.15</v>
      </c>
      <c r="R12">
        <f>'pH,Flow,S.Vol.'!BJ54</f>
        <v>9.8800000000000008</v>
      </c>
      <c r="S12">
        <f>'pH,Flow,S.Vol.'!AT36</f>
        <v>9.69</v>
      </c>
      <c r="T12" s="12">
        <f>('pH,Flow,S.Vol.'!AX36+'pH,Flow,S.Vol.'!BB36+'pH,Flow,S.Vol.'!BF36)/3</f>
        <v>9.5766666666666662</v>
      </c>
      <c r="U12" s="12">
        <v>354.78</v>
      </c>
    </row>
    <row r="13" spans="1:21">
      <c r="A13" s="12">
        <f>'Group Fluoride'!C11</f>
        <v>427.75</v>
      </c>
      <c r="B13" s="12">
        <f>'Group Fluoride'!N11</f>
        <v>507.81666666666661</v>
      </c>
      <c r="C13" s="12">
        <f>'Group Fluoride'!K11</f>
        <v>0.96592464191223437</v>
      </c>
      <c r="D13" s="12">
        <f>'Group Fluoride'!L11</f>
        <v>0.20360064471003259</v>
      </c>
      <c r="E13" s="12">
        <f>'Group Fluoride'!M11</f>
        <v>0.21575964983378457</v>
      </c>
      <c r="F13" s="12">
        <f>'Group Fluoride'!P11</f>
        <v>2.1176098354727904</v>
      </c>
      <c r="K13" s="12">
        <f>'Set 3 Salt'!E12</f>
        <v>241.06144002201657</v>
      </c>
      <c r="L13" s="12">
        <f>'Set 3 Salt'!F12</f>
        <v>75.487087701355151</v>
      </c>
      <c r="M13" s="12">
        <f>'Set 3 Salt'!M29</f>
        <v>0</v>
      </c>
      <c r="N13" s="12">
        <f>'Set 3 Salt'!N29</f>
        <v>0</v>
      </c>
      <c r="O13" s="12">
        <f>'Set 3 Salt'!O12</f>
        <v>239.95613884206543</v>
      </c>
      <c r="P13" s="12">
        <f>'Set 3 Salt'!P12</f>
        <v>75.488877524929691</v>
      </c>
      <c r="Q13">
        <f>'pH,Flow,S.Vol.'!BN37</f>
        <v>6.98</v>
      </c>
      <c r="R13">
        <f>'pH,Flow,S.Vol.'!BJ55</f>
        <v>10.039999999999999</v>
      </c>
      <c r="S13">
        <f>'pH,Flow,S.Vol.'!AT37</f>
        <v>9.6199999999999992</v>
      </c>
      <c r="T13" s="12">
        <f>('pH,Flow,S.Vol.'!AX37+'pH,Flow,S.Vol.'!BB37+'pH,Flow,S.Vol.'!BF37)/3</f>
        <v>9.59</v>
      </c>
      <c r="U13" s="12">
        <v>427.75</v>
      </c>
    </row>
    <row r="14" spans="1:21">
      <c r="A14" s="12">
        <f>'Group Fluoride'!C12</f>
        <v>474.26666666666665</v>
      </c>
      <c r="B14" s="12">
        <f>'Group Fluoride'!N12</f>
        <v>625.1</v>
      </c>
      <c r="C14" s="12">
        <f>'Group Fluoride'!K12</f>
        <v>1.7399213976480705</v>
      </c>
      <c r="D14" s="12">
        <f>'Group Fluoride'!L12</f>
        <v>9.6717737726058524E-3</v>
      </c>
      <c r="E14" s="12">
        <f>'Group Fluoride'!M12</f>
        <v>0.2234203292824109</v>
      </c>
      <c r="F14" s="12">
        <f>'Group Fluoride'!P12</f>
        <v>1.5559271982161151</v>
      </c>
      <c r="K14" s="12">
        <f>'Set 3 Salt'!E13</f>
        <v>216.17977914616947</v>
      </c>
      <c r="L14" s="12">
        <f>'Set 3 Salt'!F13</f>
        <v>65.297366402454614</v>
      </c>
      <c r="M14" s="12">
        <f>'Set 3 Salt'!M30</f>
        <v>0</v>
      </c>
      <c r="N14" s="12">
        <f>'Set 3 Salt'!N30</f>
        <v>0</v>
      </c>
      <c r="O14" s="12">
        <f>'Set 3 Salt'!O13</f>
        <v>238.42908252777875</v>
      </c>
      <c r="P14" s="12">
        <f>'Set 3 Salt'!P13</f>
        <v>75.669905395039635</v>
      </c>
      <c r="Q14">
        <f>'pH,Flow,S.Vol.'!BN38</f>
        <v>6.76</v>
      </c>
      <c r="R14">
        <f>'pH,Flow,S.Vol.'!BJ56</f>
        <v>10.16</v>
      </c>
      <c r="S14">
        <f>'pH,Flow,S.Vol.'!AT38</f>
        <v>8.0399999999999991</v>
      </c>
      <c r="T14" s="12">
        <f>('pH,Flow,S.Vol.'!AX38+'pH,Flow,S.Vol.'!BB38+'pH,Flow,S.Vol.'!BF38)/3</f>
        <v>7.8566666666666665</v>
      </c>
      <c r="U14" s="12">
        <v>474.26666666666665</v>
      </c>
    </row>
    <row r="15" spans="1:21">
      <c r="A15" s="12">
        <f>'Group Fluoride'!C13</f>
        <v>497.58333333333331</v>
      </c>
      <c r="B15" s="12">
        <f>'Group Fluoride'!N13</f>
        <v>717.73333333333335</v>
      </c>
      <c r="C15" s="12">
        <f>'Group Fluoride'!K13</f>
        <v>0.98383432098007306</v>
      </c>
      <c r="D15" s="12">
        <f>'Group Fluoride'!L13</f>
        <v>0</v>
      </c>
      <c r="E15" s="12">
        <f>'Group Fluoride'!M13</f>
        <v>0.11420147072151794</v>
      </c>
      <c r="F15" s="12">
        <f>'Group Fluoride'!P13</f>
        <v>2.0446875188332432</v>
      </c>
      <c r="K15" s="12">
        <f>'Set 3 Salt'!E14</f>
        <v>307.49836595686128</v>
      </c>
      <c r="L15" s="12">
        <f>'Set 3 Salt'!F14</f>
        <v>95.963180772181019</v>
      </c>
      <c r="M15" s="12">
        <f>'Set 3 Salt'!M31</f>
        <v>0</v>
      </c>
      <c r="N15" s="12">
        <f>'Set 3 Salt'!N31</f>
        <v>0</v>
      </c>
      <c r="O15" s="12">
        <f>'Set 3 Salt'!O14</f>
        <v>302.70975953765179</v>
      </c>
      <c r="P15" s="12">
        <f>'Set 3 Salt'!P14</f>
        <v>94.872581607432025</v>
      </c>
      <c r="Q15">
        <f>'pH,Flow,S.Vol.'!BN39</f>
        <v>6.81</v>
      </c>
      <c r="R15">
        <f>'pH,Flow,S.Vol.'!BJ57</f>
        <v>10.08</v>
      </c>
      <c r="S15">
        <f>'pH,Flow,S.Vol.'!AT39</f>
        <v>9.57</v>
      </c>
      <c r="T15" s="12">
        <f>('pH,Flow,S.Vol.'!AX39+'pH,Flow,S.Vol.'!BB39+'pH,Flow,S.Vol.'!BF39)/3</f>
        <v>9.5233333333333334</v>
      </c>
      <c r="U15" s="12">
        <v>497.58333333333331</v>
      </c>
    </row>
    <row r="16" spans="1:21">
      <c r="A16" s="12">
        <f>'Group Fluoride'!C14</f>
        <v>598.85</v>
      </c>
      <c r="B16" s="12">
        <f>'Group Fluoride'!N14</f>
        <v>790.18333333333328</v>
      </c>
      <c r="C16" s="12">
        <f>'Group Fluoride'!K14</f>
        <v>1.3954987871902729</v>
      </c>
      <c r="D16" s="12">
        <f>'Group Fluoride'!L14</f>
        <v>4.9894071049157177E-2</v>
      </c>
      <c r="E16" s="12">
        <f>'Group Fluoride'!M14</f>
        <v>0.52417079929771881</v>
      </c>
      <c r="F16" s="12">
        <f>'Group Fluoride'!P14</f>
        <v>1.8264113922169036</v>
      </c>
      <c r="K16" s="12">
        <f>'Set 3 Salt'!E15</f>
        <v>333.43751075028376</v>
      </c>
      <c r="L16" s="12">
        <f>'Set 3 Salt'!F15</f>
        <v>98.657376630017893</v>
      </c>
      <c r="M16" s="12">
        <f>'Set 3 Salt'!M32</f>
        <v>0</v>
      </c>
      <c r="N16" s="12">
        <f>'Set 3 Salt'!N32</f>
        <v>0</v>
      </c>
      <c r="O16" s="12">
        <f>'Set 3 Salt'!O15</f>
        <v>334.5619044342771</v>
      </c>
      <c r="P16" s="12">
        <f>'Set 3 Salt'!P15</f>
        <v>99.537287991136111</v>
      </c>
      <c r="Q16">
        <f>'pH,Flow,S.Vol.'!BN40</f>
        <v>6.84</v>
      </c>
      <c r="R16">
        <f>'pH,Flow,S.Vol.'!BJ58</f>
        <v>9.85</v>
      </c>
      <c r="S16">
        <f>'pH,Flow,S.Vol.'!AT40</f>
        <v>9.43</v>
      </c>
      <c r="T16" s="12">
        <f>('pH,Flow,S.Vol.'!AX40+'pH,Flow,S.Vol.'!BB40+'pH,Flow,S.Vol.'!BF40)/3</f>
        <v>9.4066666666666663</v>
      </c>
      <c r="U16" s="12">
        <v>598.54999999999995</v>
      </c>
    </row>
    <row r="17" spans="1:21">
      <c r="A17" s="12">
        <f>'Group Fluoride'!C15</f>
        <v>643.25</v>
      </c>
      <c r="B17" s="12">
        <f>'Group Fluoride'!N15</f>
        <v>838.58333333333337</v>
      </c>
      <c r="C17" s="12">
        <f>'Group Fluoride'!K15</f>
        <v>1.4082575994985898</v>
      </c>
      <c r="D17" s="12">
        <f>'Group Fluoride'!L15</f>
        <v>5.3431526167345644E-2</v>
      </c>
      <c r="E17" s="12">
        <f>'Group Fluoride'!M15</f>
        <v>0.96563706342300648</v>
      </c>
      <c r="F17" s="12">
        <f>'Group Fluoride'!P15</f>
        <v>2.2368225466004694</v>
      </c>
      <c r="K17" s="12">
        <f>'Set 3 Salt'!E16</f>
        <v>320.20468540369461</v>
      </c>
      <c r="L17" s="12">
        <f>'Set 3 Salt'!F16</f>
        <v>90.746867808744554</v>
      </c>
      <c r="M17" s="12">
        <f>'Set 3 Salt'!M33</f>
        <v>0</v>
      </c>
      <c r="N17" s="12">
        <f>'Set 3 Salt'!N33</f>
        <v>0</v>
      </c>
      <c r="O17" s="12">
        <f>'Set 3 Salt'!O16</f>
        <v>379.02903436650723</v>
      </c>
      <c r="P17" s="12">
        <f>'Set 3 Salt'!P16</f>
        <v>115.63087019517599</v>
      </c>
      <c r="Q17">
        <f>'pH,Flow,S.Vol.'!BN41</f>
        <v>6.74</v>
      </c>
      <c r="R17">
        <f>'pH,Flow,S.Vol.'!BJ59</f>
        <v>10.09</v>
      </c>
      <c r="S17">
        <f>'pH,Flow,S.Vol.'!AT41</f>
        <v>9.49</v>
      </c>
      <c r="T17" s="12">
        <f>('pH,Flow,S.Vol.'!AX41+'pH,Flow,S.Vol.'!BB41+'pH,Flow,S.Vol.'!BF41)/3</f>
        <v>9.5466666666666669</v>
      </c>
      <c r="U17" s="12">
        <v>642.83333333333337</v>
      </c>
    </row>
    <row r="18" spans="1:21">
      <c r="A18" s="12">
        <f>'Group Fluoride'!C16</f>
        <v>667.73333333333335</v>
      </c>
      <c r="B18" s="12">
        <f>'Group Fluoride'!N16</f>
        <v>958.73333333333335</v>
      </c>
      <c r="C18" s="12">
        <f>'Group Fluoride'!K16</f>
        <v>1.5319649012848635</v>
      </c>
      <c r="D18" s="12">
        <f>'Group Fluoride'!L16</f>
        <v>0.12268881228455031</v>
      </c>
      <c r="E18" s="12">
        <f>'Group Fluoride'!M16</f>
        <v>0.11717020192366764</v>
      </c>
      <c r="F18" s="12">
        <f>'Group Fluoride'!P16</f>
        <v>1.8229908443540181</v>
      </c>
      <c r="K18" s="12">
        <f>'Set 3 Salt'!E17</f>
        <v>339.25470432419417</v>
      </c>
      <c r="L18" s="12">
        <f>'Set 3 Salt'!F17</f>
        <v>91.652518537458434</v>
      </c>
      <c r="M18" s="12">
        <f>'Set 3 Salt'!M34</f>
        <v>0</v>
      </c>
      <c r="N18" s="12">
        <f>'Set 3 Salt'!N34</f>
        <v>0</v>
      </c>
      <c r="O18" s="12">
        <f>'Set 3 Salt'!O17</f>
        <v>341.60921714999944</v>
      </c>
      <c r="P18" s="12">
        <f>'Set 3 Salt'!P17</f>
        <v>92.76621494928834</v>
      </c>
      <c r="Q18">
        <f>'pH,Flow,S.Vol.'!BN42</f>
        <v>7.05</v>
      </c>
      <c r="R18">
        <f>'pH,Flow,S.Vol.'!BJ60</f>
        <v>10.130000000000001</v>
      </c>
      <c r="S18">
        <f>'pH,Flow,S.Vol.'!AT42</f>
        <v>9.4499999999999993</v>
      </c>
      <c r="T18" s="12">
        <f>('pH,Flow,S.Vol.'!AX42+'pH,Flow,S.Vol.'!BB42+'pH,Flow,S.Vol.'!BF42)/3</f>
        <v>9.5666666666666682</v>
      </c>
      <c r="U18" s="12">
        <v>666.91666666666663</v>
      </c>
    </row>
    <row r="19" spans="1:21">
      <c r="A19" s="12">
        <f>'Group Fluoride'!C17</f>
        <v>691.86666666666667</v>
      </c>
      <c r="B19" s="12">
        <f>'Group Fluoride'!N17</f>
        <v>1029.5999999999999</v>
      </c>
      <c r="C19" s="12">
        <f>'Group Fluoride'!K17</f>
        <v>1.1413350047007209</v>
      </c>
      <c r="D19" s="12">
        <f>'Group Fluoride'!L17</f>
        <v>0.12770291444688187</v>
      </c>
      <c r="E19" s="12">
        <f>'Group Fluoride'!M17</f>
        <v>6.9976648371079031E-2</v>
      </c>
      <c r="F19" s="12">
        <f>'Group Fluoride'!P17</f>
        <v>1.7530882139223949</v>
      </c>
      <c r="K19" s="12">
        <f>'Set 3 Salt'!E18</f>
        <v>278.50149643950601</v>
      </c>
      <c r="L19" s="12">
        <f>'Set 3 Salt'!F18</f>
        <v>65.26029148555358</v>
      </c>
      <c r="M19" s="12">
        <f>'Set 3 Salt'!M35</f>
        <v>0</v>
      </c>
      <c r="N19" s="12">
        <f>'Set 3 Salt'!N35</f>
        <v>0</v>
      </c>
      <c r="O19" s="12">
        <f>'Set 3 Salt'!O18</f>
        <v>642.07150802114518</v>
      </c>
      <c r="P19" s="12">
        <f>'Set 3 Salt'!P18</f>
        <v>185.28679792039546</v>
      </c>
      <c r="Q19">
        <f>'pH,Flow,S.Vol.'!BN43</f>
        <v>6.89</v>
      </c>
      <c r="R19">
        <f>'pH,Flow,S.Vol.'!BJ61</f>
        <v>9.9499999999999993</v>
      </c>
      <c r="S19">
        <f>'pH,Flow,S.Vol.'!AT43</f>
        <v>9.4600000000000009</v>
      </c>
      <c r="T19" s="12">
        <f>('pH,Flow,S.Vol.'!AX43+'pH,Flow,S.Vol.'!BB43+'pH,Flow,S.Vol.'!BF43)/3</f>
        <v>9.5633333333333326</v>
      </c>
      <c r="U19" s="12">
        <v>690.56666666666672</v>
      </c>
    </row>
    <row r="20" spans="1:21">
      <c r="A20" s="12">
        <f>'Group Fluoride'!C18</f>
        <v>715.85</v>
      </c>
      <c r="B20" s="12">
        <f>'Group Fluoride'!N18</f>
        <v>1080.9166666666665</v>
      </c>
      <c r="C20" s="12">
        <f>'Group Fluoride'!K18</f>
        <v>1.5349029083301411</v>
      </c>
      <c r="D20" s="12">
        <f>'Group Fluoride'!L18</f>
        <v>0.34446179685888562</v>
      </c>
      <c r="E20" s="12">
        <f>'Group Fluoride'!M18</f>
        <v>0.28116767224598166</v>
      </c>
      <c r="F20" s="12">
        <f>'Group Fluoride'!P18</f>
        <v>1.9278301037854697</v>
      </c>
      <c r="K20" s="12">
        <f>'Set 3 Salt'!E19</f>
        <v>330.36086552684992</v>
      </c>
      <c r="L20" s="12">
        <f>'Set 3 Salt'!F19</f>
        <v>76.99028381488111</v>
      </c>
      <c r="M20" s="12">
        <f>'Set 3 Salt'!M36</f>
        <v>0</v>
      </c>
      <c r="N20" s="12">
        <f>'Set 3 Salt'!N36</f>
        <v>0</v>
      </c>
      <c r="O20" s="12">
        <f>'Set 3 Salt'!O19</f>
        <v>350.81180409829489</v>
      </c>
      <c r="P20" s="12">
        <f>'Set 3 Salt'!P19</f>
        <v>92.722151197477203</v>
      </c>
      <c r="Q20">
        <f>'pH,Flow,S.Vol.'!BN44</f>
        <v>7.07</v>
      </c>
      <c r="R20">
        <f>'pH,Flow,S.Vol.'!BJ62</f>
        <v>10.08</v>
      </c>
      <c r="S20">
        <f>'pH,Flow,S.Vol.'!AT44</f>
        <v>9.5</v>
      </c>
      <c r="T20" s="12">
        <f>('pH,Flow,S.Vol.'!AX44+'pH,Flow,S.Vol.'!BB44+'pH,Flow,S.Vol.'!BF44)/3</f>
        <v>9.5466666666666651</v>
      </c>
      <c r="U20" s="12">
        <v>714.41666666666663</v>
      </c>
    </row>
    <row r="21" spans="1:21">
      <c r="A21" s="12">
        <f>'Group Fluoride'!C19</f>
        <v>934.7833333333333</v>
      </c>
      <c r="B21" s="12">
        <f>'Group Fluoride'!N19</f>
        <v>1129.2166666666665</v>
      </c>
      <c r="C21" s="12">
        <f>'Group Fluoride'!K19</f>
        <v>1.4300763178831364</v>
      </c>
      <c r="D21" s="12">
        <f>'Group Fluoride'!L19</f>
        <v>0.31529009635501082</v>
      </c>
      <c r="E21" s="12">
        <f>'Group Fluoride'!M19</f>
        <v>7.0961364900176294E-2</v>
      </c>
      <c r="F21" s="12">
        <f>'Group Fluoride'!P19</f>
        <v>1.5992466685658215</v>
      </c>
      <c r="K21" s="12">
        <f>'Set 3 Salt'!E20</f>
        <v>269.24197598816608</v>
      </c>
      <c r="L21" s="12">
        <f>'Set 3 Salt'!F20</f>
        <v>64.158015852723082</v>
      </c>
      <c r="M21" s="12">
        <f>'Set 3 Salt'!M37</f>
        <v>0</v>
      </c>
      <c r="N21" s="12">
        <f>'Set 3 Salt'!N37</f>
        <v>0</v>
      </c>
      <c r="O21" s="12">
        <f>'Set 3 Salt'!O20</f>
        <v>269.57050466132301</v>
      </c>
      <c r="P21" s="12">
        <f>'Set 3 Salt'!P20</f>
        <v>64.644762635302143</v>
      </c>
      <c r="Q21">
        <f>'pH,Flow,S.Vol.'!BN46</f>
        <v>7.14</v>
      </c>
      <c r="R21">
        <f>'pH,Flow,S.Vol.'!BJ64</f>
        <v>10.09</v>
      </c>
      <c r="S21">
        <f>'pH,Flow,S.Vol.'!AT46</f>
        <v>9.48</v>
      </c>
      <c r="T21" s="12">
        <f>('pH,Flow,S.Vol.'!AX46+'pH,Flow,S.Vol.'!BB46+'pH,Flow,S.Vol.'!BF46)/3</f>
        <v>9.4</v>
      </c>
      <c r="U21" s="12">
        <v>953.23333333333335</v>
      </c>
    </row>
    <row r="22" spans="1:21">
      <c r="A22" s="12">
        <f>'Group Fluoride'!C20</f>
        <v>954.58333333333337</v>
      </c>
      <c r="B22" s="12">
        <f>'Group Fluoride'!N20</f>
        <v>1197.6666666666665</v>
      </c>
      <c r="C22" s="12">
        <f>'Group Fluoride'!K20</f>
        <v>1.2713262810501811</v>
      </c>
      <c r="D22" s="12">
        <f>'Group Fluoride'!L20</f>
        <v>0.23882488139788433</v>
      </c>
      <c r="E22" s="12">
        <f>'Group Fluoride'!M20</f>
        <v>1.6449265179016574E-2</v>
      </c>
      <c r="F22" s="12">
        <f>'Group Fluoride'!P20</f>
        <v>1.5212230557401956</v>
      </c>
      <c r="K22" s="12">
        <f>'Set 3 Salt'!E21</f>
        <v>333.69792562523651</v>
      </c>
      <c r="L22" s="12">
        <f>'Set 3 Salt'!F21</f>
        <v>82.884684223983641</v>
      </c>
      <c r="M22" s="12" t="str">
        <f>'Set 3 Salt'!M38</f>
        <v>3B</v>
      </c>
      <c r="N22" s="12">
        <f>'Set 3 Salt'!N38</f>
        <v>0</v>
      </c>
      <c r="O22" s="12">
        <f>'Set 3 Salt'!O21</f>
        <v>327.35325145917187</v>
      </c>
      <c r="P22" s="12">
        <f>'Set 3 Salt'!P21</f>
        <v>81.136793658910747</v>
      </c>
      <c r="Q22">
        <f>'pH,Flow,S.Vol.'!BN47</f>
        <v>7.53</v>
      </c>
      <c r="R22">
        <f>'pH,Flow,S.Vol.'!BJ65</f>
        <v>9.77</v>
      </c>
      <c r="S22">
        <f>'pH,Flow,S.Vol.'!AT47</f>
        <v>9.57</v>
      </c>
      <c r="T22" s="12">
        <f>('pH,Flow,S.Vol.'!AX47+'pH,Flow,S.Vol.'!BB47+'pH,Flow,S.Vol.'!BF47)/3</f>
        <v>9.4366666666666674</v>
      </c>
      <c r="U22" s="12">
        <v>978.6</v>
      </c>
    </row>
    <row r="23" spans="1:21">
      <c r="A23" s="12">
        <f>'Group Fluoride'!C21</f>
        <v>979.75</v>
      </c>
      <c r="B23" s="12">
        <f>'Group Fluoride'!N21</f>
        <v>1246.0333333333331</v>
      </c>
      <c r="C23" s="12">
        <f>'Group Fluoride'!K21</f>
        <v>1.1134110963374835</v>
      </c>
      <c r="D23" s="12">
        <f>'Group Fluoride'!L21</f>
        <v>7.5546959990330058E-4</v>
      </c>
      <c r="E23" s="12">
        <f>'Group Fluoride'!M21</f>
        <v>0.14240823510638681</v>
      </c>
      <c r="F23" s="12">
        <f>'Group Fluoride'!P21</f>
        <v>1.6190476190476191</v>
      </c>
      <c r="K23" s="12">
        <f>'Set 3 Salt'!E22</f>
        <v>313.48962812618254</v>
      </c>
      <c r="L23" s="12">
        <f>'Set 3 Salt'!F22</f>
        <v>78.162106878036312</v>
      </c>
      <c r="M23" s="12" t="str">
        <f>'Set 3 Salt'!M39</f>
        <v>Area Cl-</v>
      </c>
      <c r="N23" s="12" t="str">
        <f>'Set 3 Salt'!N39</f>
        <v>Area SO42-</v>
      </c>
      <c r="O23" s="12">
        <f>'Set 3 Salt'!O22</f>
        <v>321.07634708222963</v>
      </c>
      <c r="P23" s="12">
        <f>'Set 3 Salt'!P22</f>
        <v>80.817437995397597</v>
      </c>
      <c r="Q23">
        <f>'pH,Flow,S.Vol.'!BN48</f>
        <v>7.41</v>
      </c>
      <c r="R23">
        <f>'pH,Flow,S.Vol.'!BJ66</f>
        <v>10.01</v>
      </c>
      <c r="S23">
        <f>'pH,Flow,S.Vol.'!AT48</f>
        <v>9.44</v>
      </c>
      <c r="T23" s="12">
        <f>('pH,Flow,S.Vol.'!AX48+'pH,Flow,S.Vol.'!BB48+'pH,Flow,S.Vol.'!BF48)/3</f>
        <v>9.3333333333333339</v>
      </c>
      <c r="U23" s="12">
        <v>1098.1333333333334</v>
      </c>
    </row>
    <row r="24" spans="1:21">
      <c r="A24" s="12">
        <f>'Group Fluoride'!C22</f>
        <v>1099.45</v>
      </c>
      <c r="B24" s="12">
        <f>'Group Fluoride'!N22</f>
        <v>1295.8499999999997</v>
      </c>
      <c r="C24" s="12">
        <f>'Group Fluoride'!K22</f>
        <v>1.1286715822555298</v>
      </c>
      <c r="D24" s="12">
        <f>'Group Fluoride'!L22</f>
        <v>0.1328115556630001</v>
      </c>
      <c r="E24" s="12">
        <f>'Group Fluoride'!M22</f>
        <v>0.14476209023211217</v>
      </c>
      <c r="F24" s="12">
        <f>'Group Fluoride'!P22</f>
        <v>1.7085714285714286</v>
      </c>
      <c r="K24" s="12">
        <f>'Set 3 Salt'!E23</f>
        <v>383.84739757129586</v>
      </c>
      <c r="L24" s="12">
        <f>'Set 3 Salt'!F23</f>
        <v>88.445154691894658</v>
      </c>
      <c r="M24" s="12">
        <f>'Set 3 Salt'!M41</f>
        <v>320.63220000000001</v>
      </c>
      <c r="N24" s="12">
        <f>'Set 3 Salt'!N40</f>
        <v>0</v>
      </c>
      <c r="O24" s="12">
        <f>'Set 3 Salt'!O23</f>
        <v>367.84025364936298</v>
      </c>
      <c r="P24" s="12">
        <f>'Set 3 Salt'!P23</f>
        <v>84.009716185118904</v>
      </c>
      <c r="Q24">
        <f>'pH,Flow,S.Vol.'!BN49</f>
        <v>7.45</v>
      </c>
      <c r="R24">
        <f>'pH,Flow,S.Vol.'!BJ67</f>
        <v>10.18</v>
      </c>
      <c r="S24">
        <f>'pH,Flow,S.Vol.'!AT49</f>
        <v>9.4499999999999993</v>
      </c>
      <c r="T24" s="12">
        <f>('pH,Flow,S.Vol.'!AX49+'pH,Flow,S.Vol.'!BB49+'pH,Flow,S.Vol.'!BF49)/3</f>
        <v>9.5033333333333321</v>
      </c>
      <c r="U24" s="12">
        <v>1146.5999999999999</v>
      </c>
    </row>
    <row r="25" spans="1:21">
      <c r="A25" s="12">
        <f>'Group Fluoride'!C23</f>
        <v>1147.6166666666666</v>
      </c>
      <c r="B25" s="12">
        <f>'Group Fluoride'!N23</f>
        <v>1413.5999999999997</v>
      </c>
      <c r="C25" s="12">
        <f>'Group Fluoride'!K23</f>
        <v>1.8611005023649341</v>
      </c>
      <c r="D25" s="12">
        <f>'Group Fluoride'!L23</f>
        <v>0.58991157202032962</v>
      </c>
      <c r="E25" s="12">
        <f>'Group Fluoride'!M23</f>
        <v>0.17620437099147671</v>
      </c>
      <c r="F25" s="12">
        <f>'Group Fluoride'!P23</f>
        <v>1.5503174603174605</v>
      </c>
      <c r="K25" s="12">
        <f>'Set 3 Salt'!E24</f>
        <v>343.89291382046503</v>
      </c>
      <c r="L25" s="12">
        <f>'Set 3 Salt'!F24</f>
        <v>69.146527266995903</v>
      </c>
      <c r="M25" s="12">
        <f>'Set 3 Salt'!M42</f>
        <v>58.816299999999998</v>
      </c>
      <c r="N25" s="12">
        <f>'Set 3 Salt'!N41</f>
        <v>53.0366</v>
      </c>
      <c r="O25" s="12">
        <f>'Set 3 Salt'!O24</f>
        <v>443.4579337151269</v>
      </c>
      <c r="P25" s="12">
        <f>'Set 3 Salt'!P24</f>
        <v>143.05263388322649</v>
      </c>
      <c r="Q25">
        <f>'pH,Flow,S.Vol.'!BN50</f>
        <v>7.56</v>
      </c>
      <c r="R25">
        <f>'pH,Flow,S.Vol.'!BJ68</f>
        <v>10.14</v>
      </c>
      <c r="S25">
        <f>'pH,Flow,S.Vol.'!AT50</f>
        <v>9.4</v>
      </c>
      <c r="T25" s="12">
        <f>('pH,Flow,S.Vol.'!AX50+'pH,Flow,S.Vol.'!BB50+'pH,Flow,S.Vol.'!BF50)/3</f>
        <v>9.2999999999999989</v>
      </c>
      <c r="U25" s="12">
        <v>1218.3666666666666</v>
      </c>
    </row>
    <row r="26" spans="1:21">
      <c r="A26" s="12">
        <f>'Group Fluoride'!C24</f>
        <v>1219.55</v>
      </c>
      <c r="B26" s="12">
        <f>'Group Fluoride'!N24</f>
        <v>1461.333333333333</v>
      </c>
      <c r="C26" s="12">
        <f>'Group Fluoride'!K24</f>
        <v>1.7622433091453922</v>
      </c>
      <c r="D26" s="12">
        <f>'Group Fluoride'!L24</f>
        <v>0.58976468168865126</v>
      </c>
      <c r="E26" s="12">
        <f>'Group Fluoride'!M24</f>
        <v>0.14569279159901338</v>
      </c>
      <c r="F26" s="12">
        <f>'Group Fluoride'!P24</f>
        <v>2.3676820047526466</v>
      </c>
      <c r="K26" s="12">
        <f>'Set 3 Salt'!E25</f>
        <v>346.95853170496093</v>
      </c>
      <c r="L26" s="12">
        <f>'Set 3 Salt'!F25</f>
        <v>68.807397289061669</v>
      </c>
      <c r="M26" s="12">
        <f>'Set 3 Salt'!M43</f>
        <v>136.9376</v>
      </c>
      <c r="N26" s="12">
        <f>'Set 3 Salt'!N42</f>
        <v>7.6405000000000003</v>
      </c>
      <c r="O26" s="12">
        <f>'Set 3 Salt'!O25</f>
        <v>336.78712711883895</v>
      </c>
      <c r="P26" s="12">
        <f>'Set 3 Salt'!P25</f>
        <v>65.910064446078948</v>
      </c>
      <c r="Q26">
        <f>'pH,Flow,S.Vol.'!BN51</f>
        <v>7.5</v>
      </c>
      <c r="R26">
        <f>'pH,Flow,S.Vol.'!BJ69</f>
        <v>9.67</v>
      </c>
      <c r="S26">
        <f>'pH,Flow,S.Vol.'!AT51</f>
        <v>9</v>
      </c>
      <c r="T26" s="12">
        <f>('pH,Flow,S.Vol.'!AX51+'pH,Flow,S.Vol.'!BB51+'pH,Flow,S.Vol.'!BF51)/3</f>
        <v>9.3066666666666666</v>
      </c>
      <c r="U26" s="12">
        <v>1266.5999999999999</v>
      </c>
    </row>
    <row r="27" spans="1:21">
      <c r="A27" s="12">
        <f>'Group Fluoride'!C25</f>
        <v>1267.7166666666667</v>
      </c>
      <c r="B27" s="12">
        <f>'Group Fluoride'!N25</f>
        <v>1581.3499999999997</v>
      </c>
      <c r="C27" s="12">
        <f>'Group Fluoride'!K25</f>
        <v>1.1406628329297819</v>
      </c>
      <c r="D27" s="12">
        <f>'Group Fluoride'!L25</f>
        <v>0</v>
      </c>
      <c r="E27" s="12">
        <f>'Group Fluoride'!M25</f>
        <v>0.1699407646154581</v>
      </c>
      <c r="F27" s="12">
        <f>'Group Fluoride'!P25</f>
        <v>2.4594944912508101</v>
      </c>
      <c r="K27" s="12">
        <f>'Set 3 Salt'!E26</f>
        <v>260.58873249154766</v>
      </c>
      <c r="L27" s="12">
        <f>'Set 3 Salt'!F26</f>
        <v>60.688767468740153</v>
      </c>
      <c r="M27" s="12">
        <f>'Set 3 Salt'!M44</f>
        <v>131.57230000000001</v>
      </c>
      <c r="N27" s="12">
        <f>'Set 3 Salt'!N43</f>
        <v>24.062000000000001</v>
      </c>
      <c r="O27" s="12">
        <f>'Set 3 Salt'!O26</f>
        <v>259.9549782653695</v>
      </c>
      <c r="P27" s="12">
        <f>'Set 3 Salt'!P26</f>
        <v>60.842203425449192</v>
      </c>
      <c r="Q27">
        <f>'pH,Flow,S.Vol.'!BN52</f>
        <v>7.56</v>
      </c>
      <c r="R27">
        <f>'pH,Flow,S.Vol.'!BJ70</f>
        <v>10.08</v>
      </c>
      <c r="S27">
        <f>'pH,Flow,S.Vol.'!AT52</f>
        <v>8.98</v>
      </c>
      <c r="T27" s="12">
        <f>('pH,Flow,S.Vol.'!AX52+'pH,Flow,S.Vol.'!BB52+'pH,Flow,S.Vol.'!BF52)/3</f>
        <v>9.26</v>
      </c>
      <c r="U27" s="12">
        <v>1312.5666666666666</v>
      </c>
    </row>
    <row r="28" spans="1:21">
      <c r="A28" s="12">
        <f>'Group Fluoride'!C26</f>
        <v>1313.85</v>
      </c>
      <c r="B28" s="12">
        <f>'Group Fluoride'!N26</f>
        <v>1701.5999999999997</v>
      </c>
      <c r="C28" s="12">
        <f>'Group Fluoride'!K26</f>
        <v>1.1465647699757868</v>
      </c>
      <c r="D28" s="12">
        <f>'Group Fluoride'!L26</f>
        <v>0</v>
      </c>
      <c r="E28" s="12">
        <f>'Group Fluoride'!M26</f>
        <v>0.20884050033090443</v>
      </c>
      <c r="F28" s="12">
        <f>'Group Fluoride'!P26</f>
        <v>2.1687806684566242</v>
      </c>
      <c r="K28" s="12">
        <f>'Set 3 Salt'!E27</f>
        <v>258.71075691713236</v>
      </c>
      <c r="L28" s="12">
        <f>'Set 3 Salt'!F27</f>
        <v>60.473888830513822</v>
      </c>
      <c r="M28" s="12">
        <f>'Set 3 Salt'!M45</f>
        <v>168.1661</v>
      </c>
      <c r="N28" s="12">
        <f>'Set 3 Salt'!N44</f>
        <v>23.262899999999998</v>
      </c>
      <c r="O28" s="12">
        <f>'Set 3 Salt'!O27</f>
        <v>261.14256307642768</v>
      </c>
      <c r="P28" s="12">
        <f>'Set 3 Salt'!P27</f>
        <v>60.241436377009563</v>
      </c>
      <c r="Q28">
        <f>'pH,Flow,S.Vol.'!BN53</f>
        <v>7.16</v>
      </c>
      <c r="R28">
        <f>'pH,Flow,S.Vol.'!BJ71</f>
        <v>10.16</v>
      </c>
      <c r="S28">
        <f>'pH,Flow,S.Vol.'!AT53</f>
        <v>9.26</v>
      </c>
      <c r="T28" s="12">
        <f>('pH,Flow,S.Vol.'!AX53+'pH,Flow,S.Vol.'!BB53+'pH,Flow,S.Vol.'!BF53)/3</f>
        <v>9.6233333333333348</v>
      </c>
      <c r="U28" s="12">
        <v>1391.5833333333333</v>
      </c>
    </row>
    <row r="29" spans="1:21">
      <c r="A29" s="12">
        <f>'Group Fluoride'!C27</f>
        <v>1393</v>
      </c>
      <c r="B29" s="12">
        <f>'Group Fluoride'!N27</f>
        <v>1749.133333333333</v>
      </c>
      <c r="C29" s="12">
        <f>'Group Fluoride'!K27</f>
        <v>1.0348062953995156</v>
      </c>
      <c r="D29" s="12">
        <f>'Group Fluoride'!L27</f>
        <v>0</v>
      </c>
      <c r="E29" s="12">
        <f>'Group Fluoride'!M27</f>
        <v>0.38821150390768411</v>
      </c>
      <c r="F29" s="12">
        <f>'Group Fluoride'!P27</f>
        <v>2.0621359223300972</v>
      </c>
      <c r="K29" s="12">
        <f>'Set 3 Salt'!E28</f>
        <v>272.07410474021941</v>
      </c>
      <c r="L29" s="12">
        <f>'Set 3 Salt'!F28</f>
        <v>62.474781969107916</v>
      </c>
      <c r="M29" s="12">
        <f>'Set 3 Salt'!M46</f>
        <v>156.24199999999999</v>
      </c>
      <c r="N29" s="12">
        <f>'Set 3 Salt'!N45</f>
        <v>32.270699999999998</v>
      </c>
      <c r="O29" s="12">
        <f>'Set 3 Salt'!O28</f>
        <v>787.57101129280784</v>
      </c>
      <c r="P29" s="12">
        <f>'Set 3 Salt'!P28</f>
        <v>237.32420055339571</v>
      </c>
      <c r="Q29">
        <f>'pH,Flow,S.Vol.'!BN54</f>
        <v>7.33</v>
      </c>
      <c r="R29">
        <f>'pH,Flow,S.Vol.'!BJ72</f>
        <v>10.199999999999999</v>
      </c>
      <c r="S29">
        <f>'pH,Flow,S.Vol.'!AT54</f>
        <v>9.7100000000000009</v>
      </c>
      <c r="T29" s="12">
        <f>('pH,Flow,S.Vol.'!AX54+'pH,Flow,S.Vol.'!BB54+'pH,Flow,S.Vol.'!BF54)/3</f>
        <v>9.5133333333333336</v>
      </c>
      <c r="U29" s="12">
        <v>1439.4333333333334</v>
      </c>
    </row>
    <row r="30" spans="1:21">
      <c r="A30" s="12">
        <f>'Group Fluoride'!C28</f>
        <v>1441</v>
      </c>
      <c r="B30" s="12">
        <f>'Group Fluoride'!N28</f>
        <v>1796.583333333333</v>
      </c>
      <c r="C30" s="12">
        <f>'Group Fluoride'!K28</f>
        <v>2.1161031760380888</v>
      </c>
      <c r="D30" s="12">
        <f>'Group Fluoride'!L28</f>
        <v>6.8402338335442653E-2</v>
      </c>
      <c r="E30" s="12">
        <f>'Group Fluoride'!M28</f>
        <v>5.5158912938644993E-2</v>
      </c>
      <c r="F30" s="12">
        <f>'Group Fluoride'!P28</f>
        <v>2.1169902912621361</v>
      </c>
      <c r="K30" s="12">
        <f>'Set 3 Salt'!E29</f>
        <v>0</v>
      </c>
      <c r="L30" s="12">
        <f>'Set 3 Salt'!F29</f>
        <v>0</v>
      </c>
      <c r="M30" s="12">
        <f>'Set 3 Salt'!M47</f>
        <v>155.58709999999999</v>
      </c>
      <c r="N30" s="12">
        <f>'Set 3 Salt'!N46</f>
        <v>36.205300000000001</v>
      </c>
      <c r="O30" s="12">
        <f>'Set 3 Salt'!O29</f>
        <v>0</v>
      </c>
      <c r="P30" s="12">
        <f>'Set 3 Salt'!P29</f>
        <v>0</v>
      </c>
      <c r="Q30">
        <f>'pH,Flow,S.Vol.'!BN55</f>
        <v>7.41</v>
      </c>
      <c r="R30">
        <f>'pH,Flow,S.Vol.'!BJ73</f>
        <v>10.35</v>
      </c>
      <c r="S30">
        <f>'pH,Flow,S.Vol.'!AT55</f>
        <v>9.83</v>
      </c>
      <c r="T30" s="12">
        <f>('pH,Flow,S.Vol.'!AX55+'pH,Flow,S.Vol.'!BB55+'pH,Flow,S.Vol.'!BF55)/3</f>
        <v>9.6833333333333336</v>
      </c>
      <c r="U30" s="12">
        <v>1556.7166666666667</v>
      </c>
    </row>
    <row r="31" spans="1:21">
      <c r="A31" s="12">
        <f>'Group Fluoride'!C29</f>
        <v>1558.2833333333333</v>
      </c>
      <c r="B31" s="12">
        <f>'Group Fluoride'!N29</f>
        <v>1867.3999999999999</v>
      </c>
      <c r="C31" s="12">
        <f>'Group Fluoride'!K29</f>
        <v>1.8785783161574159</v>
      </c>
      <c r="D31" s="12">
        <f>'Group Fluoride'!L29</f>
        <v>6.8402338335442653E-2</v>
      </c>
      <c r="E31" s="12">
        <f>'Group Fluoride'!M29</f>
        <v>0.28850849852659971</v>
      </c>
      <c r="F31" s="12">
        <f>'Group Fluoride'!P29</f>
        <v>1.6915873015873015</v>
      </c>
      <c r="K31" s="12">
        <f>'Set 3 Salt'!E30</f>
        <v>0</v>
      </c>
      <c r="L31" s="12">
        <f>'Set 3 Salt'!F30</f>
        <v>0</v>
      </c>
      <c r="M31" s="12">
        <f>'Set 3 Salt'!M48</f>
        <v>117.18470000000001</v>
      </c>
      <c r="N31" s="12">
        <f>'Set 3 Salt'!N47</f>
        <v>29.935199999999998</v>
      </c>
      <c r="O31" s="12">
        <f>'Set 3 Salt'!O30</f>
        <v>0</v>
      </c>
      <c r="P31" s="12">
        <f>'Set 3 Salt'!P30</f>
        <v>0</v>
      </c>
    </row>
    <row r="32" spans="1:21">
      <c r="A32" s="12">
        <f>'Group Fluoride'!C30</f>
        <v>1650.9166666666667</v>
      </c>
      <c r="B32" s="12">
        <f>'Group Fluoride'!N30</f>
        <v>1916.1999999999998</v>
      </c>
      <c r="C32" s="12">
        <f>'Group Fluoride'!K30</f>
        <v>1.8720996805882</v>
      </c>
      <c r="D32" s="12">
        <f>'Group Fluoride'!L30</f>
        <v>6.8402338335442653E-2</v>
      </c>
      <c r="E32" s="12">
        <f>'Group Fluoride'!M30</f>
        <v>0.12498774953118477</v>
      </c>
      <c r="F32" s="12">
        <f>'Group Fluoride'!P30</f>
        <v>1.6050793650793649</v>
      </c>
      <c r="K32" s="12">
        <f>'Set 3 Salt'!E31</f>
        <v>0</v>
      </c>
      <c r="L32" s="12">
        <f>'Set 3 Salt'!F31</f>
        <v>0</v>
      </c>
      <c r="M32" s="12">
        <f>'Set 3 Salt'!M49</f>
        <v>133.49700000000001</v>
      </c>
      <c r="N32" s="12">
        <f>'Set 3 Salt'!N48</f>
        <v>23.838100000000001</v>
      </c>
      <c r="O32" s="12">
        <f>'Set 3 Salt'!O31</f>
        <v>0</v>
      </c>
      <c r="P32" s="12">
        <f>'Set 3 Salt'!P31</f>
        <v>0</v>
      </c>
      <c r="Q32">
        <f>'pH,Flow,S.Vol.'!BN56</f>
        <v>7.5</v>
      </c>
      <c r="R32">
        <f>'pH,Flow,S.Vol.'!BJ74</f>
        <v>10.34</v>
      </c>
      <c r="S32">
        <f>'pH,Flow,S.Vol.'!AT56</f>
        <v>9.75</v>
      </c>
      <c r="T32" s="12">
        <f>('pH,Flow,S.Vol.'!AX56+'pH,Flow,S.Vol.'!BB56+'pH,Flow,S.Vol.'!BF56)/3</f>
        <v>9.66</v>
      </c>
    </row>
    <row r="33" spans="1:20">
      <c r="A33" s="12">
        <f>'Group Fluoride'!C31</f>
        <v>1722.3</v>
      </c>
      <c r="B33" s="12">
        <f>'Group Fluoride'!N31</f>
        <v>1964.883333333333</v>
      </c>
      <c r="C33" s="12">
        <f>'Group Fluoride'!K31</f>
        <v>1.9571454053571959</v>
      </c>
      <c r="D33" s="12">
        <f>'Group Fluoride'!L31</f>
        <v>9.8998127062460986E-2</v>
      </c>
      <c r="E33" s="12">
        <f>'Group Fluoride'!M31</f>
        <v>0.11983835642926322</v>
      </c>
      <c r="F33" s="12">
        <f>'Group Fluoride'!P31</f>
        <v>1.6357142857142857</v>
      </c>
      <c r="K33" s="12">
        <f>'Set 3 Salt'!E32</f>
        <v>0</v>
      </c>
      <c r="L33" s="12">
        <f>'Set 3 Salt'!F32</f>
        <v>0</v>
      </c>
      <c r="M33" s="12">
        <f>'Set 3 Salt'!M50</f>
        <v>135.55860000000001</v>
      </c>
      <c r="N33" s="12">
        <f>'Set 3 Salt'!N49</f>
        <v>26.0839</v>
      </c>
      <c r="O33" s="12">
        <f>'Set 3 Salt'!O32</f>
        <v>0</v>
      </c>
      <c r="P33" s="12">
        <f>'Set 3 Salt'!P32</f>
        <v>0</v>
      </c>
      <c r="Q33">
        <f>'pH,Flow,S.Vol.'!BN57</f>
        <v>7.29</v>
      </c>
      <c r="R33">
        <f>'pH,Flow,S.Vol.'!BJ75</f>
        <v>10.130000000000001</v>
      </c>
      <c r="S33">
        <f>'pH,Flow,S.Vol.'!AT57</f>
        <v>9.9600000000000009</v>
      </c>
      <c r="T33" s="12">
        <f>('pH,Flow,S.Vol.'!AX57+'pH,Flow,S.Vol.'!BB57+'pH,Flow,S.Vol.'!BF57)/3</f>
        <v>9.7099999999999991</v>
      </c>
    </row>
    <row r="34" spans="1:20">
      <c r="A34" s="12">
        <f>'Group Fluoride'!C32</f>
        <v>1770.7</v>
      </c>
      <c r="B34" s="12">
        <f>'Group Fluoride'!N32</f>
        <v>2060.8833333333332</v>
      </c>
      <c r="C34" s="12">
        <f>'Group Fluoride'!K32</f>
        <v>2.1613104616939678</v>
      </c>
      <c r="D34" s="12">
        <f>'Group Fluoride'!L32</f>
        <v>9.8998127062460986E-2</v>
      </c>
      <c r="E34" s="12">
        <f>'Group Fluoride'!M32</f>
        <v>4.2454812261571474E-3</v>
      </c>
      <c r="F34" s="12">
        <f>'Group Fluoride'!P32</f>
        <v>2.7054717042112406</v>
      </c>
      <c r="K34" s="12">
        <f>'Set 3 Salt'!E33</f>
        <v>0</v>
      </c>
      <c r="L34" s="12">
        <f>'Set 3 Salt'!F33</f>
        <v>0</v>
      </c>
      <c r="M34" s="12">
        <f>'Set 3 Salt'!M51</f>
        <v>176.6688</v>
      </c>
      <c r="N34" s="12">
        <f>'Set 3 Salt'!N50</f>
        <v>26.427700000000002</v>
      </c>
      <c r="O34" s="12">
        <f>'Set 3 Salt'!O33</f>
        <v>0</v>
      </c>
      <c r="P34" s="12">
        <f>'Set 3 Salt'!P33</f>
        <v>0</v>
      </c>
      <c r="Q34">
        <f>'pH,Flow,S.Vol.'!BN58</f>
        <v>7.04</v>
      </c>
      <c r="R34">
        <f>'pH,Flow,S.Vol.'!BJ76</f>
        <v>9.94</v>
      </c>
      <c r="S34">
        <f>'pH,Flow,S.Vol.'!AT58</f>
        <v>9.8000000000000007</v>
      </c>
      <c r="T34" s="12">
        <f>('pH,Flow,S.Vol.'!AX58+'pH,Flow,S.Vol.'!BB58+'pH,Flow,S.Vol.'!BF58)/3</f>
        <v>9.2966666666666669</v>
      </c>
    </row>
    <row r="35" spans="1:20">
      <c r="A35" s="12">
        <f>'Group Fluoride'!C33</f>
        <v>1890.85</v>
      </c>
      <c r="B35" s="12">
        <f>'Group Fluoride'!N33</f>
        <v>2116.3666666666668</v>
      </c>
      <c r="C35" s="12">
        <f>'Group Fluoride'!K33</f>
        <v>2.1393692777212614</v>
      </c>
      <c r="D35" s="12">
        <f>'Group Fluoride'!L33</f>
        <v>2.0781863101293416E-2</v>
      </c>
      <c r="E35" s="12">
        <f>'Group Fluoride'!M33</f>
        <v>9.5843717242689405E-2</v>
      </c>
      <c r="F35" s="12">
        <f>'Group Fluoride'!P33</f>
        <v>2.629359102808571</v>
      </c>
      <c r="K35" s="12">
        <f>'Set 3 Salt'!E34</f>
        <v>0</v>
      </c>
      <c r="L35" s="12">
        <f>'Set 3 Salt'!F34</f>
        <v>0</v>
      </c>
      <c r="M35" s="12">
        <f>'Set 3 Salt'!M52</f>
        <v>191.98070000000001</v>
      </c>
      <c r="N35" s="12">
        <f>'Set 3 Salt'!N51</f>
        <v>35.147300000000001</v>
      </c>
      <c r="O35" s="12">
        <f>'Set 3 Salt'!O34</f>
        <v>0</v>
      </c>
      <c r="P35" s="12">
        <f>'Set 3 Salt'!P34</f>
        <v>0</v>
      </c>
      <c r="Q35">
        <f>'pH,Flow,S.Vol.'!BN59</f>
        <v>7.23</v>
      </c>
      <c r="R35">
        <f>'pH,Flow,S.Vol.'!BJ77</f>
        <v>10.25</v>
      </c>
      <c r="S35">
        <f>'pH,Flow,S.Vol.'!AT59</f>
        <v>9.92</v>
      </c>
      <c r="T35" s="12">
        <f>('pH,Flow,S.Vol.'!AX59+'pH,Flow,S.Vol.'!BB59+'pH,Flow,S.Vol.'!BF59)/3</f>
        <v>9.6399999999999988</v>
      </c>
    </row>
    <row r="36" spans="1:20">
      <c r="A36" s="12">
        <f>'Group Fluoride'!C34</f>
        <v>1961.7166666666667</v>
      </c>
      <c r="B36" s="12">
        <f>'Group Fluoride'!N34</f>
        <v>0</v>
      </c>
      <c r="C36" s="12">
        <f>'Group Fluoride'!K34</f>
        <v>2.3573608487138498</v>
      </c>
      <c r="D36" s="12">
        <f>'Group Fluoride'!L34</f>
        <v>2.0781863101293416E-2</v>
      </c>
      <c r="E36" s="12">
        <f>'Group Fluoride'!M34</f>
        <v>0.81014354692934598</v>
      </c>
      <c r="F36" s="12">
        <f>'Group Fluoride'!P34</f>
        <v>0</v>
      </c>
      <c r="K36" s="12">
        <f>'Set 3 Salt'!E35</f>
        <v>0</v>
      </c>
      <c r="L36" s="12">
        <f>'Set 3 Salt'!F35</f>
        <v>0</v>
      </c>
      <c r="M36" s="12">
        <f>'Set 3 Salt'!M53</f>
        <v>191.53749999999999</v>
      </c>
      <c r="N36" s="12">
        <f>'Set 3 Salt'!N52</f>
        <v>36.262900000000002</v>
      </c>
      <c r="O36" s="12">
        <f>'Set 3 Salt'!O35</f>
        <v>0</v>
      </c>
      <c r="P36" s="12">
        <f>'Set 3 Salt'!P35</f>
        <v>0</v>
      </c>
      <c r="Q36">
        <f>'pH,Flow,S.Vol.'!BN60</f>
        <v>7.21</v>
      </c>
      <c r="R36">
        <f>'pH,Flow,S.Vol.'!BJ78</f>
        <v>0</v>
      </c>
      <c r="S36">
        <f>'pH,Flow,S.Vol.'!AT60</f>
        <v>9.84</v>
      </c>
      <c r="T36" s="12">
        <f>('pH,Flow,S.Vol.'!AX60+'pH,Flow,S.Vol.'!BB60+'pH,Flow,S.Vol.'!BF60)/3</f>
        <v>9.5933333333333337</v>
      </c>
    </row>
    <row r="37" spans="1:20">
      <c r="A37" s="12">
        <f>'Group Fluoride'!C35</f>
        <v>2013.0333333333333</v>
      </c>
      <c r="B37" s="12">
        <f>'Group Fluoride'!N35</f>
        <v>0</v>
      </c>
      <c r="C37" s="12">
        <f>'Group Fluoride'!K35</f>
        <v>2.1449247105405242</v>
      </c>
      <c r="D37" s="12">
        <f>'Group Fluoride'!L35</f>
        <v>0.15747795308656787</v>
      </c>
      <c r="E37" s="12">
        <f>'Group Fluoride'!M35</f>
        <v>0.41842572024982899</v>
      </c>
      <c r="F37" s="12">
        <f>'Group Fluoride'!P35</f>
        <v>0</v>
      </c>
      <c r="K37" s="12">
        <f>'Set 3 Salt'!E36</f>
        <v>0</v>
      </c>
      <c r="L37" s="12">
        <f>'Set 3 Salt'!F36</f>
        <v>0</v>
      </c>
      <c r="M37" s="12">
        <f>'Set 3 Salt'!M54</f>
        <v>197.69630000000001</v>
      </c>
      <c r="N37" s="12">
        <f>'Set 3 Salt'!N53</f>
        <v>34.035800000000002</v>
      </c>
      <c r="O37" s="12">
        <f>'Set 3 Salt'!O36</f>
        <v>0</v>
      </c>
      <c r="P37" s="12">
        <f>'Set 3 Salt'!P36</f>
        <v>0</v>
      </c>
      <c r="Q37">
        <f>'pH,Flow,S.Vol.'!BN61</f>
        <v>7.51</v>
      </c>
      <c r="R37">
        <f>'pH,Flow,S.Vol.'!BJ79</f>
        <v>0</v>
      </c>
      <c r="S37">
        <f>'pH,Flow,S.Vol.'!AT61</f>
        <v>9.84</v>
      </c>
      <c r="T37" s="12">
        <f>('pH,Flow,S.Vol.'!AX61+'pH,Flow,S.Vol.'!BB61+'pH,Flow,S.Vol.'!BF61)/3</f>
        <v>9.6600000000000019</v>
      </c>
    </row>
    <row r="38" spans="1:20">
      <c r="A38" s="12">
        <f>'Group Fluoride'!C36</f>
        <v>2061.3333333333335</v>
      </c>
      <c r="B38" s="12">
        <f>'Group Fluoride'!N36</f>
        <v>0</v>
      </c>
      <c r="C38" s="12">
        <f>'Group Fluoride'!K36</f>
        <v>1.5736080777387396</v>
      </c>
      <c r="D38" s="12">
        <f>'Group Fluoride'!L36</f>
        <v>0</v>
      </c>
      <c r="E38" s="12">
        <f>'Group Fluoride'!M36</f>
        <v>6.1227551985436147E-2</v>
      </c>
      <c r="F38" s="12">
        <f>'Group Fluoride'!P36</f>
        <v>0</v>
      </c>
      <c r="K38" s="12">
        <f>'Set 3 Salt'!E37</f>
        <v>0</v>
      </c>
      <c r="L38" s="12">
        <f>'Set 3 Salt'!F37</f>
        <v>0</v>
      </c>
      <c r="M38" s="12">
        <f>'Set 3 Salt'!M55</f>
        <v>151.73050000000001</v>
      </c>
      <c r="N38" s="12">
        <f>'Set 3 Salt'!N54</f>
        <v>33.991900000000001</v>
      </c>
      <c r="O38" s="12">
        <f>'Set 3 Salt'!O37</f>
        <v>0</v>
      </c>
      <c r="P38" s="12">
        <f>'Set 3 Salt'!P37</f>
        <v>0</v>
      </c>
      <c r="Q38">
        <f>'pH,Flow,S.Vol.'!BN62</f>
        <v>7.55</v>
      </c>
      <c r="R38">
        <f>'pH,Flow,S.Vol.'!BJ80</f>
        <v>0.27888296047833633</v>
      </c>
      <c r="S38">
        <f>'pH,Flow,S.Vol.'!AT62</f>
        <v>9.8000000000000007</v>
      </c>
      <c r="T38" s="12">
        <f>('pH,Flow,S.Vol.'!AX62+'pH,Flow,S.Vol.'!BB62+'pH,Flow,S.Vol.'!BF62)/3</f>
        <v>9.65</v>
      </c>
    </row>
    <row r="39" spans="1:20">
      <c r="A39" s="12">
        <f>'Group Fluoride'!C37</f>
        <v>2129.7833333333338</v>
      </c>
      <c r="B39" s="12">
        <f>'Group Fluoride'!N37</f>
        <v>0</v>
      </c>
      <c r="C39" s="12">
        <f>'Group Fluoride'!K37</f>
        <v>1.2710885322698067</v>
      </c>
      <c r="D39" s="12">
        <f>'Group Fluoride'!L37</f>
        <v>0.25100496945525913</v>
      </c>
      <c r="E39" s="12">
        <f>'Group Fluoride'!M37</f>
        <v>0.7102806953478249</v>
      </c>
      <c r="F39" s="12">
        <f>'Group Fluoride'!P37</f>
        <v>0</v>
      </c>
      <c r="K39" s="12" t="str">
        <f>'Set 3 Salt'!E38</f>
        <v>Column 3Control</v>
      </c>
      <c r="L39" s="12">
        <f>'Set 3 Salt'!F38</f>
        <v>0</v>
      </c>
      <c r="M39" s="12">
        <f>'Set 3 Salt'!M56</f>
        <v>179.14089999999999</v>
      </c>
      <c r="N39" s="12">
        <f>'Set 3 Salt'!N55</f>
        <v>20.3369</v>
      </c>
      <c r="O39" s="12">
        <f>'Set 3 Salt'!O38</f>
        <v>0</v>
      </c>
      <c r="P39" s="12">
        <f>'Set 3 Salt'!P38</f>
        <v>0</v>
      </c>
      <c r="Q39">
        <f>'pH,Flow,S.Vol.'!BN63</f>
        <v>7.49</v>
      </c>
      <c r="R39">
        <f>'pH,Flow,S.Vol.'!BJ81</f>
        <v>0</v>
      </c>
      <c r="S39">
        <f>'pH,Flow,S.Vol.'!AT63</f>
        <v>9.6300000000000008</v>
      </c>
      <c r="T39" s="12">
        <f>('pH,Flow,S.Vol.'!AX63+'pH,Flow,S.Vol.'!BB63+'pH,Flow,S.Vol.'!BF63)/3</f>
        <v>9.3866666666666667</v>
      </c>
    </row>
    <row r="40" spans="1:20">
      <c r="A40" s="12">
        <f>'Group Fluoride'!C38</f>
        <v>2178.1500000000005</v>
      </c>
      <c r="B40" s="12">
        <f>'Group Fluoride'!N38</f>
        <v>0</v>
      </c>
      <c r="C40" s="12">
        <f>'Group Fluoride'!K38</f>
        <v>1.5830247206659704</v>
      </c>
      <c r="D40" s="12">
        <f>'Group Fluoride'!L38</f>
        <v>0</v>
      </c>
      <c r="E40" s="12">
        <f>'Group Fluoride'!M38</f>
        <v>1.0673729280682551</v>
      </c>
      <c r="F40" s="12">
        <f>'Group Fluoride'!P38</f>
        <v>0</v>
      </c>
      <c r="K40" s="12" t="str">
        <f>'Set 3 Salt'!E39</f>
        <v>Area Cl-</v>
      </c>
      <c r="L40" s="12" t="str">
        <f>'Set 3 Salt'!F39</f>
        <v>Area SO42-</v>
      </c>
      <c r="M40" s="12">
        <f>'Set 3 Salt'!M57</f>
        <v>147.45160000000001</v>
      </c>
      <c r="N40" s="12">
        <f>'Set 3 Salt'!N56</f>
        <v>25.434999999999999</v>
      </c>
      <c r="O40" s="12" t="str">
        <f>'Set 3 Salt'!O39</f>
        <v>[Cl-] Diluted</v>
      </c>
      <c r="P40" s="12" t="str">
        <f>'Set 3 Salt'!P39</f>
        <v>[SO42-] mg/L</v>
      </c>
    </row>
    <row r="41" spans="1:20">
      <c r="A41" s="12">
        <f>'Group Fluoride'!C39</f>
        <v>2227.9666666666672</v>
      </c>
      <c r="B41" s="12">
        <f>'Group Fluoride'!N39</f>
        <v>0</v>
      </c>
      <c r="C41" s="12">
        <f>'Group Fluoride'!K39</f>
        <v>1.561984126984127</v>
      </c>
      <c r="D41" s="12">
        <f>'Group Fluoride'!L39</f>
        <v>0</v>
      </c>
      <c r="E41" s="12">
        <f>'Group Fluoride'!M39</f>
        <v>1.3862206785463962</v>
      </c>
      <c r="F41" s="12">
        <f>'Group Fluoride'!P39</f>
        <v>0</v>
      </c>
      <c r="K41" s="12">
        <f>'Set 3 Salt'!E40</f>
        <v>321.11810000000003</v>
      </c>
      <c r="L41" s="12">
        <f>'Set 3 Salt'!F40</f>
        <v>65.875200000000007</v>
      </c>
      <c r="M41" s="12">
        <f>'Set 3 Salt'!M58</f>
        <v>190.0728</v>
      </c>
      <c r="N41" s="12">
        <f>'Set 3 Salt'!N57</f>
        <v>21.284500000000001</v>
      </c>
      <c r="O41" s="12">
        <f>'Set 3 Salt'!O40</f>
        <v>0</v>
      </c>
      <c r="P41" s="12">
        <f>'Set 3 Salt'!P40</f>
        <v>0</v>
      </c>
    </row>
  </sheetData>
  <mergeCells count="16">
    <mergeCell ref="Q2:Q3"/>
    <mergeCell ref="R2:R3"/>
    <mergeCell ref="S2:S3"/>
    <mergeCell ref="T2:T3"/>
    <mergeCell ref="I2:I3"/>
    <mergeCell ref="J2:J3"/>
    <mergeCell ref="C1:F1"/>
    <mergeCell ref="G1:J1"/>
    <mergeCell ref="A2:A3"/>
    <mergeCell ref="B2:B3"/>
    <mergeCell ref="C2:C3"/>
    <mergeCell ref="D2:D3"/>
    <mergeCell ref="E2:E3"/>
    <mergeCell ref="F2:F3"/>
    <mergeCell ref="G2:G3"/>
    <mergeCell ref="H2:H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F44CA-074C-2248-99DD-6291F21F0296}">
  <dimension ref="B1:AH46"/>
  <sheetViews>
    <sheetView workbookViewId="0">
      <selection activeCell="X46" sqref="X46:AA46"/>
    </sheetView>
  </sheetViews>
  <sheetFormatPr defaultColWidth="10.6640625" defaultRowHeight="15.5"/>
  <sheetData>
    <row r="1" spans="2:34">
      <c r="B1" t="s">
        <v>233</v>
      </c>
      <c r="C1" t="s">
        <v>231</v>
      </c>
      <c r="D1" t="s">
        <v>225</v>
      </c>
      <c r="E1" t="s">
        <v>226</v>
      </c>
      <c r="F1" t="s">
        <v>232</v>
      </c>
      <c r="H1" t="s">
        <v>234</v>
      </c>
      <c r="I1" t="s">
        <v>231</v>
      </c>
      <c r="J1" t="s">
        <v>225</v>
      </c>
      <c r="K1" t="s">
        <v>226</v>
      </c>
      <c r="L1" t="s">
        <v>232</v>
      </c>
      <c r="O1" t="s">
        <v>235</v>
      </c>
      <c r="P1" t="s">
        <v>231</v>
      </c>
      <c r="Q1" t="s">
        <v>225</v>
      </c>
      <c r="R1" t="s">
        <v>226</v>
      </c>
      <c r="S1" t="s">
        <v>232</v>
      </c>
      <c r="T1" t="s">
        <v>236</v>
      </c>
      <c r="U1" t="s">
        <v>231</v>
      </c>
      <c r="V1" t="s">
        <v>225</v>
      </c>
      <c r="W1" t="s">
        <v>226</v>
      </c>
      <c r="X1" t="s">
        <v>237</v>
      </c>
      <c r="Y1" t="s">
        <v>231</v>
      </c>
      <c r="Z1" t="s">
        <v>225</v>
      </c>
      <c r="AA1" t="s">
        <v>226</v>
      </c>
    </row>
    <row r="2" spans="2:34">
      <c r="B2" s="35">
        <v>3</v>
      </c>
      <c r="C2" s="35">
        <v>3</v>
      </c>
      <c r="D2" s="35">
        <v>3.4</v>
      </c>
      <c r="E2" s="35">
        <v>3.2</v>
      </c>
      <c r="F2" s="35">
        <v>3.4</v>
      </c>
      <c r="H2" s="17">
        <v>6.0004377325454143</v>
      </c>
      <c r="I2" s="19">
        <v>6.709126723571897</v>
      </c>
      <c r="J2" s="16">
        <v>5.8324578682425043</v>
      </c>
      <c r="K2" s="18">
        <v>5.7770482235354201</v>
      </c>
      <c r="M2" s="14">
        <v>44424</v>
      </c>
      <c r="N2" s="12">
        <f>62/60</f>
        <v>1.0333333333333334</v>
      </c>
      <c r="O2">
        <f>B2/1000</f>
        <v>3.0000000000000001E-3</v>
      </c>
      <c r="P2">
        <f t="shared" ref="P2:S2" si="0">C2/1000</f>
        <v>3.0000000000000001E-3</v>
      </c>
      <c r="Q2">
        <f t="shared" si="0"/>
        <v>3.3999999999999998E-3</v>
      </c>
      <c r="R2">
        <f t="shared" si="0"/>
        <v>3.2000000000000002E-3</v>
      </c>
      <c r="S2">
        <f t="shared" si="0"/>
        <v>3.3999999999999998E-3</v>
      </c>
      <c r="T2">
        <f>O2*H2</f>
        <v>1.8001313197636242E-2</v>
      </c>
      <c r="U2">
        <f t="shared" ref="U2:W2" si="1">P2*I2</f>
        <v>2.0127380170715692E-2</v>
      </c>
      <c r="V2">
        <f t="shared" si="1"/>
        <v>1.9830356752024512E-2</v>
      </c>
      <c r="W2">
        <f t="shared" si="1"/>
        <v>1.8486554315313344E-2</v>
      </c>
      <c r="X2" s="12">
        <f>(T2/1000)*(60*24)</f>
        <v>2.5921891004596187E-2</v>
      </c>
      <c r="Y2" s="12">
        <f t="shared" ref="Y2:AA2" si="2">(U2/1000)*(60*24)</f>
        <v>2.8983427445830594E-2</v>
      </c>
      <c r="Z2" s="12">
        <f t="shared" si="2"/>
        <v>2.8555713722915297E-2</v>
      </c>
      <c r="AA2" s="12">
        <f t="shared" si="2"/>
        <v>2.6620638214051216E-2</v>
      </c>
      <c r="AH2">
        <f>60*24</f>
        <v>1440</v>
      </c>
    </row>
    <row r="3" spans="2:34">
      <c r="B3" s="35">
        <v>4</v>
      </c>
      <c r="C3" s="35">
        <v>3</v>
      </c>
      <c r="D3" s="35">
        <v>3.5</v>
      </c>
      <c r="E3" s="35">
        <v>3.2</v>
      </c>
      <c r="F3" s="35">
        <v>3.5</v>
      </c>
      <c r="H3" s="17">
        <v>2.8178303056832275</v>
      </c>
      <c r="I3" s="19">
        <v>3.7179543299044289</v>
      </c>
      <c r="J3" s="16">
        <v>2.9959509739549137</v>
      </c>
      <c r="K3" s="18">
        <v>3.1888815933464656</v>
      </c>
      <c r="M3" s="14">
        <v>44425</v>
      </c>
      <c r="N3" s="12">
        <f>1562/60</f>
        <v>26.033333333333335</v>
      </c>
      <c r="O3">
        <f t="shared" ref="O3:O42" si="3">B3/1000</f>
        <v>4.0000000000000001E-3</v>
      </c>
      <c r="P3">
        <f t="shared" ref="P3:P42" si="4">C3/1000</f>
        <v>3.0000000000000001E-3</v>
      </c>
      <c r="Q3">
        <f t="shared" ref="Q3:Q42" si="5">D3/1000</f>
        <v>3.5000000000000001E-3</v>
      </c>
      <c r="R3">
        <f t="shared" ref="R3:R42" si="6">E3/1000</f>
        <v>3.2000000000000002E-3</v>
      </c>
      <c r="S3">
        <f t="shared" ref="S3:S42" si="7">F3/1000</f>
        <v>3.5000000000000001E-3</v>
      </c>
      <c r="T3">
        <f t="shared" ref="T3:T39" si="8">O3*H3</f>
        <v>1.1271321222732909E-2</v>
      </c>
      <c r="U3">
        <f t="shared" ref="U3:U39" si="9">P3*I3</f>
        <v>1.1153862989713288E-2</v>
      </c>
      <c r="V3">
        <f t="shared" ref="V3:V39" si="10">Q3*J3</f>
        <v>1.0485828408842199E-2</v>
      </c>
      <c r="W3">
        <f t="shared" ref="W3:W39" si="11">R3*K3</f>
        <v>1.0204421098708691E-2</v>
      </c>
      <c r="X3" s="12">
        <f t="shared" ref="X3:X39" si="12">(T3/1000)*(60*24)</f>
        <v>1.6230702560735388E-2</v>
      </c>
      <c r="Y3" s="12">
        <f t="shared" ref="Y3:Y39" si="13">(U3/1000)*(60*24)</f>
        <v>1.6061562705187132E-2</v>
      </c>
      <c r="Z3" s="12">
        <f t="shared" ref="Z3:Z39" si="14">(V3/1000)*(60*24)</f>
        <v>1.5099592908732766E-2</v>
      </c>
      <c r="AA3" s="12">
        <f t="shared" ref="AA3:AA39" si="15">(W3/1000)*(60*24)</f>
        <v>1.4694366382140514E-2</v>
      </c>
    </row>
    <row r="4" spans="2:34">
      <c r="B4" s="35">
        <v>3</v>
      </c>
      <c r="C4" s="35">
        <v>2.5</v>
      </c>
      <c r="D4" s="35">
        <v>3</v>
      </c>
      <c r="E4" s="35">
        <v>3.4</v>
      </c>
      <c r="F4" s="35">
        <v>3</v>
      </c>
      <c r="H4" s="17">
        <v>2.6734515211205956</v>
      </c>
      <c r="I4" s="19">
        <v>3.7662872984606408</v>
      </c>
      <c r="J4" s="16">
        <v>3.2244838403735319</v>
      </c>
      <c r="K4" s="18">
        <v>3.3305975049244911</v>
      </c>
      <c r="M4" s="14">
        <v>44426</v>
      </c>
      <c r="N4" s="12">
        <f>2995/60</f>
        <v>49.916666666666664</v>
      </c>
      <c r="O4">
        <f t="shared" si="3"/>
        <v>3.0000000000000001E-3</v>
      </c>
      <c r="P4">
        <f t="shared" si="4"/>
        <v>2.5000000000000001E-3</v>
      </c>
      <c r="Q4">
        <f t="shared" si="5"/>
        <v>3.0000000000000001E-3</v>
      </c>
      <c r="R4">
        <f t="shared" si="6"/>
        <v>3.3999999999999998E-3</v>
      </c>
      <c r="S4">
        <f t="shared" si="7"/>
        <v>3.0000000000000001E-3</v>
      </c>
      <c r="T4">
        <f t="shared" si="8"/>
        <v>8.0203545633617864E-3</v>
      </c>
      <c r="U4">
        <f t="shared" si="9"/>
        <v>9.4157182461516026E-3</v>
      </c>
      <c r="V4">
        <f t="shared" si="10"/>
        <v>9.6734515211205959E-3</v>
      </c>
      <c r="W4">
        <f t="shared" si="11"/>
        <v>1.132403151674327E-2</v>
      </c>
      <c r="X4" s="12">
        <f t="shared" si="12"/>
        <v>1.1549310571240973E-2</v>
      </c>
      <c r="Y4" s="12">
        <f t="shared" si="13"/>
        <v>1.3558634274458308E-2</v>
      </c>
      <c r="Z4" s="12">
        <f t="shared" si="14"/>
        <v>1.3929770190413658E-2</v>
      </c>
      <c r="AA4" s="12">
        <f t="shared" si="15"/>
        <v>1.6306605384110308E-2</v>
      </c>
    </row>
    <row r="5" spans="2:34">
      <c r="B5" s="34">
        <v>3</v>
      </c>
      <c r="C5" s="34">
        <v>2.5</v>
      </c>
      <c r="D5" s="34">
        <v>3</v>
      </c>
      <c r="E5" s="34">
        <v>3</v>
      </c>
      <c r="F5" s="34">
        <v>3</v>
      </c>
      <c r="H5" s="17">
        <v>2.9369665134602756</v>
      </c>
      <c r="I5" s="19">
        <v>3.7984971182607423</v>
      </c>
      <c r="J5" s="16">
        <v>3.1377763186692933</v>
      </c>
      <c r="K5" s="18">
        <v>2.7390384475085723</v>
      </c>
      <c r="M5" s="14">
        <v>44427</v>
      </c>
      <c r="N5" s="12">
        <f>4470/60</f>
        <v>74.5</v>
      </c>
      <c r="O5">
        <f t="shared" si="3"/>
        <v>3.0000000000000001E-3</v>
      </c>
      <c r="P5">
        <f t="shared" si="4"/>
        <v>2.5000000000000001E-3</v>
      </c>
      <c r="Q5">
        <f t="shared" si="5"/>
        <v>3.0000000000000001E-3</v>
      </c>
      <c r="R5">
        <f t="shared" si="6"/>
        <v>3.0000000000000001E-3</v>
      </c>
      <c r="S5">
        <f t="shared" si="7"/>
        <v>3.0000000000000001E-3</v>
      </c>
      <c r="T5">
        <f t="shared" si="8"/>
        <v>8.8108995403808274E-3</v>
      </c>
      <c r="U5">
        <f t="shared" si="9"/>
        <v>9.4962427956518554E-3</v>
      </c>
      <c r="V5">
        <f t="shared" si="10"/>
        <v>9.4133289560078808E-3</v>
      </c>
      <c r="W5">
        <f t="shared" si="11"/>
        <v>8.2171153425257167E-3</v>
      </c>
      <c r="X5" s="12">
        <f t="shared" si="12"/>
        <v>1.2687695338148392E-2</v>
      </c>
      <c r="Y5" s="12">
        <f t="shared" si="13"/>
        <v>1.367458962573867E-2</v>
      </c>
      <c r="Z5" s="12">
        <f t="shared" si="14"/>
        <v>1.355519369665135E-2</v>
      </c>
      <c r="AA5" s="12">
        <f t="shared" si="15"/>
        <v>1.1832646093237031E-2</v>
      </c>
    </row>
    <row r="6" spans="2:34">
      <c r="B6" s="34">
        <v>3</v>
      </c>
      <c r="C6" s="34">
        <v>3</v>
      </c>
      <c r="D6" s="34">
        <v>3</v>
      </c>
      <c r="E6" s="34">
        <v>3</v>
      </c>
      <c r="F6" s="34">
        <v>2.7</v>
      </c>
      <c r="H6" s="17">
        <v>3.1890275041949367</v>
      </c>
      <c r="I6" s="19">
        <v>3.2923323849128185</v>
      </c>
      <c r="J6" s="16">
        <v>3.6775005471656819</v>
      </c>
      <c r="K6" s="18">
        <v>2.977930984168673</v>
      </c>
      <c r="M6" s="14">
        <v>44428</v>
      </c>
      <c r="N6" s="12">
        <f>5939/60</f>
        <v>98.983333333333334</v>
      </c>
      <c r="O6">
        <f t="shared" si="3"/>
        <v>3.0000000000000001E-3</v>
      </c>
      <c r="P6">
        <f t="shared" si="4"/>
        <v>3.0000000000000001E-3</v>
      </c>
      <c r="Q6">
        <f t="shared" si="5"/>
        <v>3.0000000000000001E-3</v>
      </c>
      <c r="R6">
        <f t="shared" si="6"/>
        <v>3.0000000000000001E-3</v>
      </c>
      <c r="S6">
        <f t="shared" si="7"/>
        <v>2.7000000000000001E-3</v>
      </c>
      <c r="T6">
        <f t="shared" si="8"/>
        <v>9.5670825125848107E-3</v>
      </c>
      <c r="U6">
        <f t="shared" si="9"/>
        <v>9.8769971547384566E-3</v>
      </c>
      <c r="V6">
        <f t="shared" si="10"/>
        <v>1.1032501641497047E-2</v>
      </c>
      <c r="W6">
        <f t="shared" si="11"/>
        <v>8.9337929525060197E-3</v>
      </c>
      <c r="X6" s="12">
        <f t="shared" si="12"/>
        <v>1.3776598818122128E-2</v>
      </c>
      <c r="Y6" s="12">
        <f t="shared" si="13"/>
        <v>1.4222875902823376E-2</v>
      </c>
      <c r="Z6" s="12">
        <f t="shared" si="14"/>
        <v>1.5886802363755746E-2</v>
      </c>
      <c r="AA6" s="12">
        <f t="shared" si="15"/>
        <v>1.2864661851608667E-2</v>
      </c>
    </row>
    <row r="7" spans="2:34">
      <c r="B7" s="34">
        <v>3</v>
      </c>
      <c r="C7" s="34">
        <v>2.5</v>
      </c>
      <c r="D7" s="34">
        <v>3</v>
      </c>
      <c r="E7" s="34">
        <v>3</v>
      </c>
      <c r="F7" s="34">
        <v>3</v>
      </c>
      <c r="H7" s="17">
        <v>2.5614284672065368</v>
      </c>
      <c r="I7" s="19">
        <v>3.0942219304005252</v>
      </c>
      <c r="J7" s="16">
        <v>3.7312686948274609</v>
      </c>
      <c r="K7" s="18">
        <v>3.6680528197271465</v>
      </c>
      <c r="M7" s="14">
        <v>44431</v>
      </c>
      <c r="N7" s="12">
        <f>10327/60</f>
        <v>172.11666666666667</v>
      </c>
      <c r="O7">
        <f t="shared" si="3"/>
        <v>3.0000000000000001E-3</v>
      </c>
      <c r="P7">
        <f t="shared" si="4"/>
        <v>2.5000000000000001E-3</v>
      </c>
      <c r="Q7">
        <f t="shared" si="5"/>
        <v>3.0000000000000001E-3</v>
      </c>
      <c r="R7">
        <f t="shared" si="6"/>
        <v>3.0000000000000001E-3</v>
      </c>
      <c r="S7">
        <f t="shared" si="7"/>
        <v>3.0000000000000001E-3</v>
      </c>
      <c r="T7">
        <f t="shared" si="8"/>
        <v>7.6842854016196107E-3</v>
      </c>
      <c r="U7">
        <f t="shared" si="9"/>
        <v>7.7355548260013129E-3</v>
      </c>
      <c r="V7">
        <f t="shared" si="10"/>
        <v>1.1193806084482383E-2</v>
      </c>
      <c r="W7">
        <f t="shared" si="11"/>
        <v>1.1004158459181439E-2</v>
      </c>
      <c r="X7" s="12">
        <f t="shared" si="12"/>
        <v>1.106537097833224E-2</v>
      </c>
      <c r="Y7" s="12">
        <f t="shared" si="13"/>
        <v>1.1139198949441889E-2</v>
      </c>
      <c r="Z7" s="12">
        <f t="shared" si="14"/>
        <v>1.6119080761654633E-2</v>
      </c>
      <c r="AA7" s="12">
        <f t="shared" si="15"/>
        <v>1.5845988181221272E-2</v>
      </c>
    </row>
    <row r="8" spans="2:34">
      <c r="B8" s="34">
        <v>3</v>
      </c>
      <c r="C8" s="34">
        <v>2.5</v>
      </c>
      <c r="D8" s="34">
        <v>3</v>
      </c>
      <c r="E8" s="34">
        <v>3</v>
      </c>
      <c r="F8" s="34">
        <v>3</v>
      </c>
      <c r="H8" s="17">
        <v>2.9093893630991463</v>
      </c>
      <c r="I8" s="19">
        <v>3.2553804625373899</v>
      </c>
      <c r="J8" s="16">
        <v>3.0281607937550152</v>
      </c>
      <c r="K8" s="18">
        <v>3.2754432042022326</v>
      </c>
      <c r="M8" s="14">
        <v>44432</v>
      </c>
      <c r="N8" s="12">
        <f>11700/60</f>
        <v>195</v>
      </c>
      <c r="O8">
        <f t="shared" si="3"/>
        <v>3.0000000000000001E-3</v>
      </c>
      <c r="P8">
        <f t="shared" si="4"/>
        <v>2.5000000000000001E-3</v>
      </c>
      <c r="Q8">
        <f t="shared" si="5"/>
        <v>3.0000000000000001E-3</v>
      </c>
      <c r="R8">
        <f t="shared" si="6"/>
        <v>3.0000000000000001E-3</v>
      </c>
      <c r="S8">
        <f t="shared" si="7"/>
        <v>3.0000000000000001E-3</v>
      </c>
      <c r="T8">
        <f t="shared" si="8"/>
        <v>8.7281680892974389E-3</v>
      </c>
      <c r="U8">
        <f t="shared" si="9"/>
        <v>8.1384511563434743E-3</v>
      </c>
      <c r="V8">
        <f t="shared" si="10"/>
        <v>9.0844823812650452E-3</v>
      </c>
      <c r="W8">
        <f t="shared" si="11"/>
        <v>9.826329612606698E-3</v>
      </c>
      <c r="X8" s="12">
        <f t="shared" si="12"/>
        <v>1.2568562048588311E-2</v>
      </c>
      <c r="Y8" s="12">
        <f t="shared" si="13"/>
        <v>1.1719369665134602E-2</v>
      </c>
      <c r="Z8" s="12">
        <f t="shared" si="14"/>
        <v>1.3081654629021666E-2</v>
      </c>
      <c r="AA8" s="12">
        <f t="shared" si="15"/>
        <v>1.4149914642153646E-2</v>
      </c>
    </row>
    <row r="9" spans="2:34">
      <c r="B9" s="34">
        <v>3</v>
      </c>
      <c r="C9" s="34">
        <v>2.5</v>
      </c>
      <c r="D9" s="34">
        <v>3</v>
      </c>
      <c r="E9" s="34">
        <v>3.5</v>
      </c>
      <c r="F9" s="34">
        <v>3</v>
      </c>
      <c r="H9" s="17">
        <v>2.0485681114551082</v>
      </c>
      <c r="I9" s="19">
        <v>2.3626483488132095</v>
      </c>
      <c r="J9" s="16">
        <v>2.4642672858617134</v>
      </c>
      <c r="K9" s="18">
        <v>2.4411119711042311</v>
      </c>
      <c r="M9" s="14">
        <v>44433</v>
      </c>
      <c r="N9" s="12">
        <f>12992/60</f>
        <v>216.53333333333333</v>
      </c>
      <c r="O9">
        <f t="shared" si="3"/>
        <v>3.0000000000000001E-3</v>
      </c>
      <c r="P9">
        <f t="shared" si="4"/>
        <v>2.5000000000000001E-3</v>
      </c>
      <c r="Q9">
        <f t="shared" si="5"/>
        <v>3.0000000000000001E-3</v>
      </c>
      <c r="R9">
        <f t="shared" si="6"/>
        <v>3.5000000000000001E-3</v>
      </c>
      <c r="S9">
        <f t="shared" si="7"/>
        <v>3.0000000000000001E-3</v>
      </c>
      <c r="T9">
        <f t="shared" si="8"/>
        <v>6.1457043343653246E-3</v>
      </c>
      <c r="U9">
        <f t="shared" si="9"/>
        <v>5.9066208720330235E-3</v>
      </c>
      <c r="V9">
        <f t="shared" si="10"/>
        <v>7.3928018575851401E-3</v>
      </c>
      <c r="W9">
        <f t="shared" si="11"/>
        <v>8.5438918988648086E-3</v>
      </c>
      <c r="X9" s="12">
        <f t="shared" si="12"/>
        <v>8.8498142414860682E-3</v>
      </c>
      <c r="Y9" s="12">
        <f t="shared" si="13"/>
        <v>8.5055340557275531E-3</v>
      </c>
      <c r="Z9" s="12">
        <f t="shared" si="14"/>
        <v>1.0645634674922601E-2</v>
      </c>
      <c r="AA9" s="12">
        <f t="shared" si="15"/>
        <v>1.2303204334365325E-2</v>
      </c>
    </row>
    <row r="10" spans="2:34">
      <c r="B10" s="34">
        <v>3</v>
      </c>
      <c r="C10" s="34">
        <v>2.5</v>
      </c>
      <c r="D10" s="34">
        <v>3</v>
      </c>
      <c r="E10" s="34">
        <v>3</v>
      </c>
      <c r="F10" s="34">
        <v>3</v>
      </c>
      <c r="H10" s="17">
        <v>2.0533088235294117</v>
      </c>
      <c r="I10" s="19">
        <v>2.608165634674922</v>
      </c>
      <c r="J10" s="16">
        <v>2.1663441692466461</v>
      </c>
      <c r="K10" s="18">
        <v>2.0479876160990713</v>
      </c>
      <c r="M10" s="14">
        <v>44434</v>
      </c>
      <c r="N10" s="12">
        <f>14420/60</f>
        <v>240.33333333333334</v>
      </c>
      <c r="O10">
        <f t="shared" si="3"/>
        <v>3.0000000000000001E-3</v>
      </c>
      <c r="P10">
        <f t="shared" si="4"/>
        <v>2.5000000000000001E-3</v>
      </c>
      <c r="Q10">
        <f t="shared" si="5"/>
        <v>3.0000000000000001E-3</v>
      </c>
      <c r="R10">
        <f t="shared" si="6"/>
        <v>3.0000000000000001E-3</v>
      </c>
      <c r="S10">
        <f t="shared" si="7"/>
        <v>3.0000000000000001E-3</v>
      </c>
      <c r="T10">
        <f t="shared" si="8"/>
        <v>6.1599264705882355E-3</v>
      </c>
      <c r="U10">
        <f t="shared" si="9"/>
        <v>6.5204140866873053E-3</v>
      </c>
      <c r="V10">
        <f t="shared" si="10"/>
        <v>6.4990325077399387E-3</v>
      </c>
      <c r="W10">
        <f t="shared" si="11"/>
        <v>6.1439628482972139E-3</v>
      </c>
      <c r="X10" s="12">
        <f t="shared" si="12"/>
        <v>8.8702941176470596E-3</v>
      </c>
      <c r="Y10" s="12">
        <f t="shared" si="13"/>
        <v>9.3893962848297201E-3</v>
      </c>
      <c r="Z10" s="12">
        <f t="shared" si="14"/>
        <v>9.3586068111455121E-3</v>
      </c>
      <c r="AA10" s="12">
        <f t="shared" si="15"/>
        <v>8.8473065015479881E-3</v>
      </c>
    </row>
    <row r="11" spans="2:34">
      <c r="B11" s="34">
        <v>3</v>
      </c>
      <c r="C11" s="34">
        <v>3</v>
      </c>
      <c r="D11" s="34">
        <v>3</v>
      </c>
      <c r="E11" s="34">
        <v>3</v>
      </c>
      <c r="F11" s="34">
        <v>2.5</v>
      </c>
      <c r="H11" s="17">
        <v>1.8432985036119711</v>
      </c>
      <c r="I11" s="19">
        <v>2.5153508771929824</v>
      </c>
      <c r="J11" s="16">
        <v>1.9647510319917441</v>
      </c>
      <c r="K11" s="18">
        <v>2.1322239422084626</v>
      </c>
      <c r="M11" s="14">
        <v>44435</v>
      </c>
      <c r="N11" s="12">
        <f>15878/60</f>
        <v>264.63333333333333</v>
      </c>
      <c r="O11">
        <f t="shared" si="3"/>
        <v>3.0000000000000001E-3</v>
      </c>
      <c r="P11">
        <f t="shared" si="4"/>
        <v>3.0000000000000001E-3</v>
      </c>
      <c r="Q11">
        <f t="shared" si="5"/>
        <v>3.0000000000000001E-3</v>
      </c>
      <c r="R11">
        <f t="shared" si="6"/>
        <v>3.0000000000000001E-3</v>
      </c>
      <c r="S11">
        <f t="shared" si="7"/>
        <v>2.5000000000000001E-3</v>
      </c>
      <c r="T11">
        <f t="shared" si="8"/>
        <v>5.5298955108359134E-3</v>
      </c>
      <c r="U11">
        <f t="shared" si="9"/>
        <v>7.5460526315789473E-3</v>
      </c>
      <c r="V11">
        <f t="shared" si="10"/>
        <v>5.8942530959752324E-3</v>
      </c>
      <c r="W11">
        <f t="shared" si="11"/>
        <v>6.3966718266253875E-3</v>
      </c>
      <c r="X11" s="12">
        <f t="shared" si="12"/>
        <v>7.9630495356037157E-3</v>
      </c>
      <c r="Y11" s="12">
        <f t="shared" si="13"/>
        <v>1.0866315789473684E-2</v>
      </c>
      <c r="Z11" s="12">
        <f t="shared" si="14"/>
        <v>8.4877244582043342E-3</v>
      </c>
      <c r="AA11" s="12">
        <f t="shared" si="15"/>
        <v>9.2112074303405574E-3</v>
      </c>
    </row>
    <row r="12" spans="2:34">
      <c r="B12" s="34">
        <v>2.5</v>
      </c>
      <c r="C12" s="34">
        <v>2.5</v>
      </c>
      <c r="D12" s="34">
        <v>3</v>
      </c>
      <c r="E12" s="34">
        <v>2.7</v>
      </c>
      <c r="F12" s="34">
        <v>2.5</v>
      </c>
      <c r="H12" s="17">
        <v>1.757546439628483</v>
      </c>
      <c r="I12" s="19">
        <v>2.0325077399380804</v>
      </c>
      <c r="J12" s="16">
        <v>1.8888673890608876</v>
      </c>
      <c r="K12" s="18">
        <v>2.0950399896800826</v>
      </c>
      <c r="M12" s="14">
        <v>44439</v>
      </c>
      <c r="N12" s="12">
        <f>22025/60</f>
        <v>367.08333333333331</v>
      </c>
      <c r="O12">
        <f t="shared" si="3"/>
        <v>2.5000000000000001E-3</v>
      </c>
      <c r="P12">
        <f t="shared" si="4"/>
        <v>2.5000000000000001E-3</v>
      </c>
      <c r="Q12">
        <f t="shared" si="5"/>
        <v>3.0000000000000001E-3</v>
      </c>
      <c r="R12">
        <f t="shared" si="6"/>
        <v>2.7000000000000001E-3</v>
      </c>
      <c r="S12">
        <f t="shared" si="7"/>
        <v>2.5000000000000001E-3</v>
      </c>
      <c r="T12">
        <f t="shared" si="8"/>
        <v>4.3938660990712076E-3</v>
      </c>
      <c r="U12">
        <f t="shared" si="9"/>
        <v>5.0812693498452008E-3</v>
      </c>
      <c r="V12">
        <f t="shared" si="10"/>
        <v>5.6666021671826624E-3</v>
      </c>
      <c r="W12">
        <f t="shared" si="11"/>
        <v>5.6566079721362232E-3</v>
      </c>
      <c r="X12" s="12">
        <f t="shared" si="12"/>
        <v>6.3271671826625395E-3</v>
      </c>
      <c r="Y12" s="12">
        <f t="shared" si="13"/>
        <v>7.3170278637770883E-3</v>
      </c>
      <c r="Z12" s="12">
        <f t="shared" si="14"/>
        <v>8.1599071207430346E-3</v>
      </c>
      <c r="AA12" s="12">
        <f t="shared" si="15"/>
        <v>8.1455154798761621E-3</v>
      </c>
    </row>
    <row r="13" spans="2:34">
      <c r="B13" s="34">
        <v>3</v>
      </c>
      <c r="C13" s="34">
        <v>3</v>
      </c>
      <c r="D13" s="34">
        <v>3</v>
      </c>
      <c r="E13" s="34">
        <v>2.5</v>
      </c>
      <c r="F13" s="34">
        <v>3</v>
      </c>
      <c r="H13" s="17">
        <v>1.7836042311661506</v>
      </c>
      <c r="I13" s="19">
        <v>1.7879256965944275</v>
      </c>
      <c r="J13" s="16">
        <v>1.7976006191950464</v>
      </c>
      <c r="K13" s="18">
        <v>1.7904411764705883</v>
      </c>
      <c r="M13" s="14">
        <v>44440</v>
      </c>
      <c r="N13" s="12">
        <f>23405/60</f>
        <v>390.08333333333331</v>
      </c>
      <c r="O13">
        <f t="shared" si="3"/>
        <v>3.0000000000000001E-3</v>
      </c>
      <c r="P13">
        <f t="shared" si="4"/>
        <v>3.0000000000000001E-3</v>
      </c>
      <c r="Q13">
        <f t="shared" si="5"/>
        <v>3.0000000000000001E-3</v>
      </c>
      <c r="R13">
        <f t="shared" si="6"/>
        <v>2.5000000000000001E-3</v>
      </c>
      <c r="S13">
        <f t="shared" si="7"/>
        <v>3.0000000000000001E-3</v>
      </c>
      <c r="T13">
        <f t="shared" si="8"/>
        <v>5.3508126934984522E-3</v>
      </c>
      <c r="U13">
        <f t="shared" si="9"/>
        <v>5.3637770897832825E-3</v>
      </c>
      <c r="V13">
        <f t="shared" si="10"/>
        <v>5.3928018575851392E-3</v>
      </c>
      <c r="W13">
        <f t="shared" si="11"/>
        <v>4.476102941176471E-3</v>
      </c>
      <c r="X13" s="12">
        <f t="shared" si="12"/>
        <v>7.7051702786377716E-3</v>
      </c>
      <c r="Y13" s="12">
        <f t="shared" si="13"/>
        <v>7.7238390092879269E-3</v>
      </c>
      <c r="Z13" s="12">
        <f t="shared" si="14"/>
        <v>7.7656346749226009E-3</v>
      </c>
      <c r="AA13" s="12">
        <f t="shared" si="15"/>
        <v>6.4455882352941179E-3</v>
      </c>
    </row>
    <row r="14" spans="2:34">
      <c r="B14" s="34">
        <v>2.7</v>
      </c>
      <c r="C14" s="34">
        <v>2.5</v>
      </c>
      <c r="D14" s="34">
        <v>2.7</v>
      </c>
      <c r="E14" s="34">
        <v>2.5</v>
      </c>
      <c r="F14" s="34">
        <v>2.5</v>
      </c>
      <c r="H14" s="17">
        <v>1.4685887512899896</v>
      </c>
      <c r="I14" s="19">
        <v>1.757449690402477</v>
      </c>
      <c r="J14" s="16">
        <v>1.7110745614035088</v>
      </c>
      <c r="K14" s="18">
        <v>1.6300954592363259</v>
      </c>
      <c r="M14" s="14">
        <v>44441</v>
      </c>
      <c r="N14" s="12">
        <f>24547/60</f>
        <v>409.11666666666667</v>
      </c>
      <c r="O14">
        <f t="shared" si="3"/>
        <v>2.7000000000000001E-3</v>
      </c>
      <c r="P14">
        <f t="shared" si="4"/>
        <v>2.5000000000000001E-3</v>
      </c>
      <c r="Q14">
        <f t="shared" si="5"/>
        <v>2.7000000000000001E-3</v>
      </c>
      <c r="R14">
        <f t="shared" si="6"/>
        <v>2.5000000000000001E-3</v>
      </c>
      <c r="S14">
        <f t="shared" si="7"/>
        <v>2.5000000000000001E-3</v>
      </c>
      <c r="T14">
        <f t="shared" si="8"/>
        <v>3.9651896284829723E-3</v>
      </c>
      <c r="U14">
        <f t="shared" si="9"/>
        <v>4.3936242260061925E-3</v>
      </c>
      <c r="V14">
        <f t="shared" si="10"/>
        <v>4.6199013157894736E-3</v>
      </c>
      <c r="W14">
        <f t="shared" si="11"/>
        <v>4.0752386480908146E-3</v>
      </c>
      <c r="X14" s="12">
        <f t="shared" si="12"/>
        <v>5.7098730650154798E-3</v>
      </c>
      <c r="Y14" s="12">
        <f t="shared" si="13"/>
        <v>6.3268188854489179E-3</v>
      </c>
      <c r="Z14" s="12">
        <f t="shared" si="14"/>
        <v>6.6526578947368421E-3</v>
      </c>
      <c r="AA14" s="12">
        <f t="shared" si="15"/>
        <v>5.8683436532507727E-3</v>
      </c>
    </row>
    <row r="15" spans="2:34">
      <c r="B15" s="35"/>
      <c r="C15" s="35"/>
      <c r="D15" s="35"/>
      <c r="E15" s="35"/>
      <c r="F15" s="35"/>
      <c r="H15" s="17">
        <v>1.4041615075650045</v>
      </c>
      <c r="I15" s="19">
        <v>1.6746594992903086</v>
      </c>
      <c r="J15" s="16">
        <v>1.4723220487421855</v>
      </c>
      <c r="K15" s="18">
        <v>1.6248603267598827</v>
      </c>
      <c r="M15" s="14">
        <v>44442</v>
      </c>
      <c r="N15" s="12">
        <f>26109/60</f>
        <v>435.15</v>
      </c>
      <c r="O15">
        <f t="shared" si="3"/>
        <v>0</v>
      </c>
      <c r="P15">
        <f t="shared" si="4"/>
        <v>0</v>
      </c>
      <c r="Q15">
        <f t="shared" si="5"/>
        <v>0</v>
      </c>
      <c r="R15">
        <f t="shared" si="6"/>
        <v>0</v>
      </c>
      <c r="S15">
        <f t="shared" si="7"/>
        <v>0</v>
      </c>
      <c r="T15">
        <f t="shared" si="8"/>
        <v>0</v>
      </c>
      <c r="U15">
        <f t="shared" si="9"/>
        <v>0</v>
      </c>
      <c r="V15">
        <f t="shared" si="10"/>
        <v>0</v>
      </c>
      <c r="W15">
        <f t="shared" si="11"/>
        <v>0</v>
      </c>
      <c r="X15" s="12">
        <f t="shared" si="12"/>
        <v>0</v>
      </c>
      <c r="Y15" s="12">
        <f t="shared" si="13"/>
        <v>0</v>
      </c>
      <c r="Z15" s="12">
        <f t="shared" si="14"/>
        <v>0</v>
      </c>
      <c r="AA15" s="12">
        <f t="shared" si="15"/>
        <v>0</v>
      </c>
    </row>
    <row r="16" spans="2:34">
      <c r="B16" s="34">
        <v>2.5</v>
      </c>
      <c r="C16" s="34">
        <v>2.5</v>
      </c>
      <c r="D16" s="34">
        <v>2.5</v>
      </c>
      <c r="E16" s="34">
        <v>2.5</v>
      </c>
      <c r="F16" s="34">
        <v>2.5</v>
      </c>
      <c r="H16" s="17">
        <v>1.5781415154169056</v>
      </c>
      <c r="I16" s="19">
        <v>1.6582007066710955</v>
      </c>
      <c r="J16" s="16">
        <v>1.5164738924289551</v>
      </c>
      <c r="K16" s="18">
        <v>1.6889137196871318</v>
      </c>
      <c r="M16" s="14">
        <v>44446</v>
      </c>
      <c r="N16" s="12">
        <f>31829/60</f>
        <v>530.48333333333335</v>
      </c>
      <c r="O16">
        <f t="shared" si="3"/>
        <v>2.5000000000000001E-3</v>
      </c>
      <c r="P16">
        <f t="shared" si="4"/>
        <v>2.5000000000000001E-3</v>
      </c>
      <c r="Q16">
        <f t="shared" si="5"/>
        <v>2.5000000000000001E-3</v>
      </c>
      <c r="R16">
        <f t="shared" si="6"/>
        <v>2.5000000000000001E-3</v>
      </c>
      <c r="S16">
        <f t="shared" si="7"/>
        <v>2.5000000000000001E-3</v>
      </c>
      <c r="T16">
        <f t="shared" si="8"/>
        <v>3.945353788542264E-3</v>
      </c>
      <c r="U16">
        <f t="shared" si="9"/>
        <v>4.1455017666777389E-3</v>
      </c>
      <c r="V16">
        <f t="shared" si="10"/>
        <v>3.7911847310723879E-3</v>
      </c>
      <c r="W16">
        <f t="shared" si="11"/>
        <v>4.22228429921783E-3</v>
      </c>
      <c r="X16" s="12">
        <f t="shared" si="12"/>
        <v>5.68130945550086E-3</v>
      </c>
      <c r="Y16" s="12">
        <f t="shared" si="13"/>
        <v>5.9695225440159448E-3</v>
      </c>
      <c r="Z16" s="12">
        <f t="shared" si="14"/>
        <v>5.4593060127442385E-3</v>
      </c>
      <c r="AA16" s="12">
        <f t="shared" si="15"/>
        <v>6.0800893908736749E-3</v>
      </c>
    </row>
    <row r="17" spans="2:29">
      <c r="B17" s="34">
        <v>2.5</v>
      </c>
      <c r="C17" s="34">
        <v>2.5</v>
      </c>
      <c r="D17" s="34">
        <v>2.7</v>
      </c>
      <c r="E17" s="34">
        <v>2.5</v>
      </c>
      <c r="F17" s="34">
        <v>2.5</v>
      </c>
      <c r="H17" s="17">
        <v>1.5449219339836315</v>
      </c>
      <c r="I17" s="19">
        <v>1.6498354120738077</v>
      </c>
      <c r="J17" s="16">
        <v>1.4625373720291122</v>
      </c>
      <c r="K17" s="18">
        <v>1.6141998610817501</v>
      </c>
      <c r="M17" s="14">
        <v>44447</v>
      </c>
      <c r="N17" s="12">
        <f>33309/60</f>
        <v>555.15</v>
      </c>
      <c r="O17">
        <f t="shared" si="3"/>
        <v>2.5000000000000001E-3</v>
      </c>
      <c r="P17">
        <f t="shared" si="4"/>
        <v>2.5000000000000001E-3</v>
      </c>
      <c r="Q17">
        <f t="shared" si="5"/>
        <v>2.7000000000000001E-3</v>
      </c>
      <c r="R17">
        <f t="shared" si="6"/>
        <v>2.5000000000000001E-3</v>
      </c>
      <c r="S17">
        <f t="shared" si="7"/>
        <v>2.5000000000000001E-3</v>
      </c>
      <c r="T17">
        <f t="shared" si="8"/>
        <v>3.8623048349590789E-3</v>
      </c>
      <c r="U17">
        <f t="shared" si="9"/>
        <v>4.1245885301845189E-3</v>
      </c>
      <c r="V17">
        <f t="shared" si="10"/>
        <v>3.9488509044786034E-3</v>
      </c>
      <c r="W17">
        <f t="shared" si="11"/>
        <v>4.0354996527043755E-3</v>
      </c>
      <c r="X17" s="12">
        <f t="shared" si="12"/>
        <v>5.5617189623410742E-3</v>
      </c>
      <c r="Y17" s="12">
        <f t="shared" si="13"/>
        <v>5.9394074834657066E-3</v>
      </c>
      <c r="Z17" s="12">
        <f t="shared" si="14"/>
        <v>5.6863453024491887E-3</v>
      </c>
      <c r="AA17" s="12">
        <f t="shared" si="15"/>
        <v>5.8111194998943004E-3</v>
      </c>
    </row>
    <row r="18" spans="2:29">
      <c r="B18" s="34">
        <v>3</v>
      </c>
      <c r="C18" s="34">
        <v>3</v>
      </c>
      <c r="D18" s="34">
        <v>3.4</v>
      </c>
      <c r="E18" s="34">
        <v>3</v>
      </c>
      <c r="F18" s="34">
        <v>3</v>
      </c>
      <c r="H18" s="17">
        <v>1.5033370579530696</v>
      </c>
      <c r="I18" s="19">
        <v>1.6230181499713103</v>
      </c>
      <c r="J18" s="16">
        <v>1.5166550901458642</v>
      </c>
      <c r="K18" s="18">
        <v>1.6277594902304229</v>
      </c>
      <c r="M18" s="14">
        <v>44448</v>
      </c>
      <c r="N18" s="12">
        <f>34587/60</f>
        <v>576.45000000000005</v>
      </c>
      <c r="O18">
        <f t="shared" si="3"/>
        <v>3.0000000000000001E-3</v>
      </c>
      <c r="P18">
        <f t="shared" si="4"/>
        <v>3.0000000000000001E-3</v>
      </c>
      <c r="Q18">
        <f t="shared" si="5"/>
        <v>3.3999999999999998E-3</v>
      </c>
      <c r="R18">
        <f t="shared" si="6"/>
        <v>3.0000000000000001E-3</v>
      </c>
      <c r="S18">
        <f t="shared" si="7"/>
        <v>3.0000000000000001E-3</v>
      </c>
      <c r="T18">
        <f t="shared" si="8"/>
        <v>4.5100111738592087E-3</v>
      </c>
      <c r="U18">
        <f t="shared" si="9"/>
        <v>4.869054449913931E-3</v>
      </c>
      <c r="V18">
        <f t="shared" si="10"/>
        <v>5.1566273064959376E-3</v>
      </c>
      <c r="W18">
        <f t="shared" si="11"/>
        <v>4.8832784706912685E-3</v>
      </c>
      <c r="X18" s="12">
        <f t="shared" si="12"/>
        <v>6.494416090357261E-3</v>
      </c>
      <c r="Y18" s="12">
        <f t="shared" si="13"/>
        <v>7.0114384078760602E-3</v>
      </c>
      <c r="Z18" s="12">
        <f t="shared" si="14"/>
        <v>7.4255433213541496E-3</v>
      </c>
      <c r="AA18" s="12">
        <f t="shared" si="15"/>
        <v>7.0319209977954258E-3</v>
      </c>
    </row>
    <row r="19" spans="2:29">
      <c r="B19" s="34">
        <v>3</v>
      </c>
      <c r="C19" s="34">
        <v>2.5</v>
      </c>
      <c r="D19" s="34">
        <v>3</v>
      </c>
      <c r="E19" s="34">
        <v>2.5</v>
      </c>
      <c r="F19" s="34">
        <v>2.5</v>
      </c>
      <c r="H19" s="17">
        <v>1.5360871401846599</v>
      </c>
      <c r="I19" s="19">
        <v>1.6194255023836823</v>
      </c>
      <c r="J19" s="16">
        <v>1.4379035664715465</v>
      </c>
      <c r="K19" s="18">
        <v>1.6496892161004162</v>
      </c>
      <c r="M19" s="14">
        <v>44449</v>
      </c>
      <c r="N19" s="12">
        <f>36123/60</f>
        <v>602.04999999999995</v>
      </c>
      <c r="O19">
        <f t="shared" si="3"/>
        <v>3.0000000000000001E-3</v>
      </c>
      <c r="P19">
        <f t="shared" si="4"/>
        <v>2.5000000000000001E-3</v>
      </c>
      <c r="Q19">
        <f t="shared" si="5"/>
        <v>3.0000000000000001E-3</v>
      </c>
      <c r="R19">
        <f t="shared" si="6"/>
        <v>2.5000000000000001E-3</v>
      </c>
      <c r="S19">
        <f t="shared" si="7"/>
        <v>2.5000000000000001E-3</v>
      </c>
      <c r="T19">
        <f t="shared" si="8"/>
        <v>4.6082614205539794E-3</v>
      </c>
      <c r="U19">
        <f t="shared" si="9"/>
        <v>4.0485637559592056E-3</v>
      </c>
      <c r="V19">
        <f t="shared" si="10"/>
        <v>4.3137106994146392E-3</v>
      </c>
      <c r="W19">
        <f t="shared" si="11"/>
        <v>4.1242230402510401E-3</v>
      </c>
      <c r="X19" s="12">
        <f t="shared" si="12"/>
        <v>6.6358964455977311E-3</v>
      </c>
      <c r="Y19" s="12">
        <f t="shared" si="13"/>
        <v>5.8299318085812566E-3</v>
      </c>
      <c r="Z19" s="12">
        <f t="shared" si="14"/>
        <v>6.2117434071570811E-3</v>
      </c>
      <c r="AA19" s="12">
        <f t="shared" si="15"/>
        <v>5.938881177961498E-3</v>
      </c>
    </row>
    <row r="20" spans="2:29">
      <c r="B20" s="34">
        <v>3</v>
      </c>
      <c r="C20" s="34">
        <v>2.5</v>
      </c>
      <c r="D20" s="34">
        <v>3</v>
      </c>
      <c r="E20" s="34">
        <v>2.5</v>
      </c>
      <c r="F20" s="34">
        <v>2.5</v>
      </c>
      <c r="H20" s="17">
        <v>1.3264136141451934</v>
      </c>
      <c r="I20" s="19">
        <v>1.4900126727415361</v>
      </c>
      <c r="J20" s="16">
        <v>1.3258403234566412</v>
      </c>
      <c r="K20" s="18">
        <v>1.4742320922092811</v>
      </c>
      <c r="M20" s="14">
        <v>44452</v>
      </c>
      <c r="N20" s="12">
        <f>40375/60</f>
        <v>672.91666666666663</v>
      </c>
      <c r="O20">
        <f t="shared" si="3"/>
        <v>3.0000000000000001E-3</v>
      </c>
      <c r="P20">
        <f t="shared" si="4"/>
        <v>2.5000000000000001E-3</v>
      </c>
      <c r="Q20">
        <f t="shared" si="5"/>
        <v>3.0000000000000001E-3</v>
      </c>
      <c r="R20">
        <f t="shared" si="6"/>
        <v>2.5000000000000001E-3</v>
      </c>
      <c r="S20">
        <f t="shared" si="7"/>
        <v>2.5000000000000001E-3</v>
      </c>
      <c r="T20">
        <f t="shared" si="8"/>
        <v>3.9792408424355807E-3</v>
      </c>
      <c r="U20">
        <f t="shared" si="9"/>
        <v>3.7250316818538405E-3</v>
      </c>
      <c r="V20">
        <f t="shared" si="10"/>
        <v>3.9775209703699233E-3</v>
      </c>
      <c r="W20">
        <f t="shared" si="11"/>
        <v>3.6855802305232029E-3</v>
      </c>
      <c r="X20" s="12">
        <f t="shared" si="12"/>
        <v>5.7301068131072356E-3</v>
      </c>
      <c r="Y20" s="12">
        <f t="shared" si="13"/>
        <v>5.3640456218695303E-3</v>
      </c>
      <c r="Z20" s="12">
        <f t="shared" si="14"/>
        <v>5.7276301973326893E-3</v>
      </c>
      <c r="AA20" s="12">
        <f t="shared" si="15"/>
        <v>5.3072355319534123E-3</v>
      </c>
    </row>
    <row r="21" spans="2:29">
      <c r="B21" s="35">
        <v>3</v>
      </c>
      <c r="C21" s="34">
        <v>2.5</v>
      </c>
      <c r="D21" s="34">
        <v>3</v>
      </c>
      <c r="E21" s="34">
        <v>2.5</v>
      </c>
      <c r="F21" s="34">
        <v>2.5</v>
      </c>
      <c r="H21" s="17">
        <v>1.4185022026431717</v>
      </c>
      <c r="I21" s="19">
        <v>1.4928489529901634</v>
      </c>
      <c r="J21" s="16">
        <v>1.3225212721018647</v>
      </c>
      <c r="K21" s="18">
        <v>1.4518737553557419</v>
      </c>
      <c r="M21" s="14">
        <v>44454</v>
      </c>
      <c r="N21" s="12">
        <v>721.68333333333328</v>
      </c>
      <c r="O21">
        <f t="shared" si="3"/>
        <v>3.0000000000000001E-3</v>
      </c>
      <c r="P21">
        <f t="shared" si="4"/>
        <v>2.5000000000000001E-3</v>
      </c>
      <c r="Q21">
        <f t="shared" si="5"/>
        <v>3.0000000000000001E-3</v>
      </c>
      <c r="R21">
        <f t="shared" si="6"/>
        <v>2.5000000000000001E-3</v>
      </c>
      <c r="S21">
        <f t="shared" si="7"/>
        <v>2.5000000000000001E-3</v>
      </c>
      <c r="T21">
        <f t="shared" si="8"/>
        <v>4.2555066079295149E-3</v>
      </c>
      <c r="U21">
        <f t="shared" si="9"/>
        <v>3.7321223824754086E-3</v>
      </c>
      <c r="V21">
        <f t="shared" si="10"/>
        <v>3.9675638163055938E-3</v>
      </c>
      <c r="W21">
        <f t="shared" si="11"/>
        <v>3.6296843883893547E-3</v>
      </c>
      <c r="X21" s="12">
        <f t="shared" si="12"/>
        <v>6.1279295154185011E-3</v>
      </c>
      <c r="Y21" s="12">
        <f t="shared" si="13"/>
        <v>5.374256230764588E-3</v>
      </c>
      <c r="Z21" s="12">
        <f t="shared" si="14"/>
        <v>5.7132918954800544E-3</v>
      </c>
      <c r="AA21" s="12">
        <f t="shared" si="15"/>
        <v>5.2267455192806711E-3</v>
      </c>
      <c r="AC21" t="s">
        <v>238</v>
      </c>
    </row>
    <row r="22" spans="2:29">
      <c r="B22" s="35">
        <v>3</v>
      </c>
      <c r="C22" s="34">
        <v>2.5</v>
      </c>
      <c r="D22" s="34">
        <v>3</v>
      </c>
      <c r="E22" s="34">
        <v>2.5</v>
      </c>
      <c r="F22" s="34">
        <v>2.5</v>
      </c>
      <c r="H22" s="17">
        <v>1.4319594472270833</v>
      </c>
      <c r="I22" s="19">
        <v>1.5501176754571238</v>
      </c>
      <c r="J22" s="16">
        <v>1.4140365699112907</v>
      </c>
      <c r="K22" s="18">
        <v>1.5313197755114356</v>
      </c>
      <c r="M22" s="14">
        <v>44455</v>
      </c>
      <c r="N22" s="12">
        <v>744.58333333333337</v>
      </c>
      <c r="O22">
        <f t="shared" si="3"/>
        <v>3.0000000000000001E-3</v>
      </c>
      <c r="P22">
        <f t="shared" si="4"/>
        <v>2.5000000000000001E-3</v>
      </c>
      <c r="Q22">
        <f t="shared" si="5"/>
        <v>3.0000000000000001E-3</v>
      </c>
      <c r="R22">
        <f t="shared" si="6"/>
        <v>2.5000000000000001E-3</v>
      </c>
      <c r="S22">
        <f t="shared" si="7"/>
        <v>2.5000000000000001E-3</v>
      </c>
      <c r="T22">
        <f t="shared" si="8"/>
        <v>4.2958783416812505E-3</v>
      </c>
      <c r="U22">
        <f t="shared" si="9"/>
        <v>3.8752941886428093E-3</v>
      </c>
      <c r="V22">
        <f t="shared" si="10"/>
        <v>4.2421097097338724E-3</v>
      </c>
      <c r="W22">
        <f t="shared" si="11"/>
        <v>3.8282994387785893E-3</v>
      </c>
      <c r="X22" s="12">
        <f t="shared" si="12"/>
        <v>6.1860648120210015E-3</v>
      </c>
      <c r="Y22" s="12">
        <f t="shared" si="13"/>
        <v>5.5804236316456457E-3</v>
      </c>
      <c r="Z22" s="12">
        <f t="shared" si="14"/>
        <v>6.108637982016777E-3</v>
      </c>
      <c r="AA22" s="12">
        <f t="shared" si="15"/>
        <v>5.5127511918411686E-3</v>
      </c>
    </row>
    <row r="23" spans="2:29">
      <c r="B23" s="35">
        <v>3</v>
      </c>
      <c r="C23" s="34">
        <v>3</v>
      </c>
      <c r="D23" s="34">
        <v>3</v>
      </c>
      <c r="E23" s="34">
        <v>2.5</v>
      </c>
      <c r="F23" s="34">
        <v>3</v>
      </c>
      <c r="H23" s="17">
        <v>1.2048293605281919</v>
      </c>
      <c r="I23" s="19">
        <v>1.3699823316078235</v>
      </c>
      <c r="J23" s="16">
        <v>1.245869625864046</v>
      </c>
      <c r="K23" s="18">
        <v>1.2906915470692166</v>
      </c>
      <c r="M23" s="14">
        <v>44456</v>
      </c>
      <c r="N23" s="12">
        <v>768.7</v>
      </c>
      <c r="O23">
        <f t="shared" si="3"/>
        <v>3.0000000000000001E-3</v>
      </c>
      <c r="P23">
        <f t="shared" si="4"/>
        <v>3.0000000000000001E-3</v>
      </c>
      <c r="Q23">
        <f t="shared" si="5"/>
        <v>3.0000000000000001E-3</v>
      </c>
      <c r="R23">
        <f t="shared" si="6"/>
        <v>2.5000000000000001E-3</v>
      </c>
      <c r="S23">
        <f t="shared" si="7"/>
        <v>3.0000000000000001E-3</v>
      </c>
      <c r="T23">
        <f t="shared" si="8"/>
        <v>3.6144880815845758E-3</v>
      </c>
      <c r="U23">
        <f t="shared" si="9"/>
        <v>4.1099469948234707E-3</v>
      </c>
      <c r="V23">
        <f t="shared" si="10"/>
        <v>3.7376088775921382E-3</v>
      </c>
      <c r="W23">
        <f t="shared" si="11"/>
        <v>3.2267288676730418E-3</v>
      </c>
      <c r="X23" s="12">
        <f t="shared" si="12"/>
        <v>5.204862837481789E-3</v>
      </c>
      <c r="Y23" s="12">
        <f t="shared" si="13"/>
        <v>5.9183236725457973E-3</v>
      </c>
      <c r="Z23" s="12">
        <f t="shared" si="14"/>
        <v>5.3821567837326794E-3</v>
      </c>
      <c r="AA23" s="12">
        <f t="shared" si="15"/>
        <v>4.6464895694491807E-3</v>
      </c>
    </row>
    <row r="24" spans="2:29">
      <c r="B24" s="35">
        <v>3</v>
      </c>
      <c r="C24" s="34">
        <v>3</v>
      </c>
      <c r="D24" s="34">
        <v>3</v>
      </c>
      <c r="E24" s="34">
        <v>2.7</v>
      </c>
      <c r="F24" s="34">
        <v>3</v>
      </c>
      <c r="H24" s="17">
        <v>1.2318279036607669</v>
      </c>
      <c r="I24" s="19">
        <v>1.3682464895694488</v>
      </c>
      <c r="J24" s="16">
        <v>1.2213508570720064</v>
      </c>
      <c r="K24" s="18">
        <v>1.2451876879203991</v>
      </c>
      <c r="M24" s="14">
        <v>44459</v>
      </c>
      <c r="N24" s="12">
        <v>840.81666666666672</v>
      </c>
      <c r="O24">
        <f t="shared" si="3"/>
        <v>3.0000000000000001E-3</v>
      </c>
      <c r="P24">
        <f t="shared" si="4"/>
        <v>3.0000000000000001E-3</v>
      </c>
      <c r="Q24">
        <f t="shared" si="5"/>
        <v>3.0000000000000001E-3</v>
      </c>
      <c r="R24">
        <f t="shared" si="6"/>
        <v>2.7000000000000001E-3</v>
      </c>
      <c r="S24">
        <f t="shared" si="7"/>
        <v>3.0000000000000001E-3</v>
      </c>
      <c r="T24">
        <f t="shared" si="8"/>
        <v>3.6954837109823007E-3</v>
      </c>
      <c r="U24">
        <f t="shared" si="9"/>
        <v>4.1047394687083469E-3</v>
      </c>
      <c r="V24">
        <f t="shared" si="10"/>
        <v>3.6640525712160195E-3</v>
      </c>
      <c r="W24">
        <f t="shared" si="11"/>
        <v>3.3620067573850777E-3</v>
      </c>
      <c r="X24" s="12">
        <f t="shared" si="12"/>
        <v>5.3214965438145127E-3</v>
      </c>
      <c r="Y24" s="12">
        <f t="shared" si="13"/>
        <v>5.9108248349400193E-3</v>
      </c>
      <c r="Z24" s="12">
        <f t="shared" si="14"/>
        <v>5.2762357025510683E-3</v>
      </c>
      <c r="AA24" s="12">
        <f t="shared" si="15"/>
        <v>4.8412897306345116E-3</v>
      </c>
    </row>
    <row r="25" spans="2:29">
      <c r="B25" s="35">
        <v>3</v>
      </c>
      <c r="C25" s="34">
        <v>3</v>
      </c>
      <c r="D25" s="34">
        <v>3</v>
      </c>
      <c r="E25" s="34">
        <v>2.5</v>
      </c>
      <c r="F25" s="34">
        <v>3</v>
      </c>
      <c r="H25" s="17">
        <v>1.0621493444096586</v>
      </c>
      <c r="I25" s="19">
        <v>1.255726728867673</v>
      </c>
      <c r="J25" s="16">
        <v>1.0228449211121786</v>
      </c>
      <c r="K25" s="18">
        <v>1.0642261554198567</v>
      </c>
      <c r="M25" s="14">
        <v>44460</v>
      </c>
      <c r="N25" s="12">
        <v>863.58333333333337</v>
      </c>
      <c r="O25">
        <f t="shared" si="3"/>
        <v>3.0000000000000001E-3</v>
      </c>
      <c r="P25">
        <f t="shared" si="4"/>
        <v>3.0000000000000001E-3</v>
      </c>
      <c r="Q25">
        <f t="shared" si="5"/>
        <v>3.0000000000000001E-3</v>
      </c>
      <c r="R25">
        <f t="shared" si="6"/>
        <v>2.5000000000000001E-3</v>
      </c>
      <c r="S25">
        <f t="shared" si="7"/>
        <v>3.0000000000000001E-3</v>
      </c>
      <c r="T25">
        <f t="shared" si="8"/>
        <v>3.1864480332289757E-3</v>
      </c>
      <c r="U25">
        <f t="shared" si="9"/>
        <v>3.7671801866030192E-3</v>
      </c>
      <c r="V25">
        <f t="shared" si="10"/>
        <v>3.0685347633365358E-3</v>
      </c>
      <c r="W25">
        <f t="shared" si="11"/>
        <v>2.6605653885496418E-3</v>
      </c>
      <c r="X25" s="12">
        <f t="shared" si="12"/>
        <v>4.5884851678497252E-3</v>
      </c>
      <c r="Y25" s="12">
        <f t="shared" si="13"/>
        <v>5.4247394687083478E-3</v>
      </c>
      <c r="Z25" s="12">
        <f t="shared" si="14"/>
        <v>4.418690059204612E-3</v>
      </c>
      <c r="AA25" s="12">
        <f t="shared" si="15"/>
        <v>3.8312141595114846E-3</v>
      </c>
    </row>
    <row r="26" spans="2:29">
      <c r="B26" s="35">
        <v>3</v>
      </c>
      <c r="C26" s="34">
        <v>3</v>
      </c>
      <c r="D26" s="34">
        <v>3</v>
      </c>
      <c r="E26" s="34">
        <v>3</v>
      </c>
      <c r="F26" s="34">
        <v>2.5</v>
      </c>
      <c r="H26" s="17">
        <v>1.2893840822034413</v>
      </c>
      <c r="I26" s="19">
        <v>1.3076852921505442</v>
      </c>
      <c r="J26" s="16">
        <v>1.1631604547941874</v>
      </c>
      <c r="K26" s="18">
        <v>1.2270018848422204</v>
      </c>
      <c r="M26" s="14">
        <v>44461</v>
      </c>
      <c r="N26" s="12">
        <v>888.4</v>
      </c>
      <c r="O26">
        <f t="shared" si="3"/>
        <v>3.0000000000000001E-3</v>
      </c>
      <c r="P26">
        <f t="shared" si="4"/>
        <v>3.0000000000000001E-3</v>
      </c>
      <c r="Q26">
        <f t="shared" si="5"/>
        <v>3.0000000000000001E-3</v>
      </c>
      <c r="R26">
        <f t="shared" si="6"/>
        <v>3.0000000000000001E-3</v>
      </c>
      <c r="S26">
        <f t="shared" si="7"/>
        <v>2.5000000000000001E-3</v>
      </c>
      <c r="T26">
        <f t="shared" si="8"/>
        <v>3.8681522466103239E-3</v>
      </c>
      <c r="U26">
        <f t="shared" si="9"/>
        <v>3.9230558764516326E-3</v>
      </c>
      <c r="V26">
        <f t="shared" si="10"/>
        <v>3.4894813643825623E-3</v>
      </c>
      <c r="W26">
        <f t="shared" si="11"/>
        <v>3.6810056545266614E-3</v>
      </c>
      <c r="X26" s="12">
        <f t="shared" si="12"/>
        <v>5.5701392351188662E-3</v>
      </c>
      <c r="Y26" s="12">
        <f t="shared" si="13"/>
        <v>5.6492004620903504E-3</v>
      </c>
      <c r="Z26" s="12">
        <f t="shared" si="14"/>
        <v>5.02485316471089E-3</v>
      </c>
      <c r="AA26" s="12">
        <f t="shared" si="15"/>
        <v>5.3006481425183927E-3</v>
      </c>
    </row>
    <row r="27" spans="2:29">
      <c r="B27" s="35">
        <v>3</v>
      </c>
      <c r="C27" s="34">
        <v>2.5</v>
      </c>
      <c r="D27" s="34">
        <v>3</v>
      </c>
      <c r="E27" s="34">
        <v>2.5</v>
      </c>
      <c r="F27" s="34">
        <v>2.5</v>
      </c>
      <c r="H27" s="17">
        <v>1.2887152672219859</v>
      </c>
      <c r="I27" s="19">
        <v>1.4111084088283579</v>
      </c>
      <c r="J27" s="16">
        <v>1.1828904967471272</v>
      </c>
      <c r="K27" s="18">
        <v>1.3241320605581564</v>
      </c>
      <c r="M27" s="14">
        <v>44462</v>
      </c>
      <c r="N27" s="12">
        <v>919.36666666666667</v>
      </c>
      <c r="O27">
        <f t="shared" si="3"/>
        <v>3.0000000000000001E-3</v>
      </c>
      <c r="P27">
        <f t="shared" si="4"/>
        <v>2.5000000000000001E-3</v>
      </c>
      <c r="Q27">
        <f t="shared" si="5"/>
        <v>3.0000000000000001E-3</v>
      </c>
      <c r="R27">
        <f t="shared" si="6"/>
        <v>2.5000000000000001E-3</v>
      </c>
      <c r="S27">
        <f t="shared" si="7"/>
        <v>2.5000000000000001E-3</v>
      </c>
      <c r="T27">
        <f t="shared" si="8"/>
        <v>3.8661458016659577E-3</v>
      </c>
      <c r="U27">
        <f t="shared" si="9"/>
        <v>3.5277710220708949E-3</v>
      </c>
      <c r="V27">
        <f t="shared" si="10"/>
        <v>3.5486714902413815E-3</v>
      </c>
      <c r="W27">
        <f t="shared" si="11"/>
        <v>3.3103301513953908E-3</v>
      </c>
      <c r="X27" s="12">
        <f t="shared" si="12"/>
        <v>5.5672499543989789E-3</v>
      </c>
      <c r="Y27" s="12">
        <f t="shared" si="13"/>
        <v>5.0799902717820885E-3</v>
      </c>
      <c r="Z27" s="12">
        <f t="shared" si="14"/>
        <v>5.1100869459475892E-3</v>
      </c>
      <c r="AA27" s="12">
        <f t="shared" si="15"/>
        <v>4.7668754180093626E-3</v>
      </c>
    </row>
    <row r="28" spans="2:29" ht="16" thickBot="1">
      <c r="B28" s="41">
        <v>2.5</v>
      </c>
      <c r="C28" s="42">
        <v>3</v>
      </c>
      <c r="D28" s="42">
        <v>3</v>
      </c>
      <c r="E28" s="42">
        <v>2</v>
      </c>
      <c r="F28" s="42">
        <v>3</v>
      </c>
      <c r="H28" s="17">
        <v>1.2934577734541253</v>
      </c>
      <c r="I28" s="19">
        <v>1.4222958594272512</v>
      </c>
      <c r="J28" s="16">
        <v>1.2506536146409679</v>
      </c>
      <c r="K28" s="18">
        <v>1.3147078494558277</v>
      </c>
      <c r="M28" s="14">
        <v>44463</v>
      </c>
      <c r="N28" s="12">
        <v>937.95</v>
      </c>
      <c r="O28">
        <f t="shared" si="3"/>
        <v>2.5000000000000001E-3</v>
      </c>
      <c r="P28">
        <f t="shared" si="4"/>
        <v>3.0000000000000001E-3</v>
      </c>
      <c r="Q28">
        <f t="shared" si="5"/>
        <v>3.0000000000000001E-3</v>
      </c>
      <c r="R28">
        <f t="shared" si="6"/>
        <v>2E-3</v>
      </c>
      <c r="S28">
        <f t="shared" si="7"/>
        <v>3.0000000000000001E-3</v>
      </c>
      <c r="T28">
        <f t="shared" si="8"/>
        <v>3.2336444336353133E-3</v>
      </c>
      <c r="U28">
        <f t="shared" si="9"/>
        <v>4.2668875782817537E-3</v>
      </c>
      <c r="V28">
        <f t="shared" si="10"/>
        <v>3.7519608439229037E-3</v>
      </c>
      <c r="W28">
        <f t="shared" si="11"/>
        <v>2.6294156989116555E-3</v>
      </c>
      <c r="X28" s="12">
        <f t="shared" si="12"/>
        <v>4.6564479844348507E-3</v>
      </c>
      <c r="Y28" s="12">
        <f t="shared" si="13"/>
        <v>6.1443181127257256E-3</v>
      </c>
      <c r="Z28" s="12">
        <f t="shared" si="14"/>
        <v>5.4028236152489813E-3</v>
      </c>
      <c r="AA28" s="12">
        <f t="shared" si="15"/>
        <v>3.7863586064327838E-3</v>
      </c>
    </row>
    <row r="29" spans="2:29" ht="16" thickTop="1">
      <c r="B29" s="35">
        <v>2.5</v>
      </c>
      <c r="C29" s="34">
        <v>2.5</v>
      </c>
      <c r="D29" s="34">
        <v>1</v>
      </c>
      <c r="E29" s="34">
        <v>1</v>
      </c>
      <c r="F29" s="34">
        <v>2</v>
      </c>
      <c r="H29" s="17">
        <v>0.97442944198829007</v>
      </c>
      <c r="I29" s="19">
        <v>1.3864858406022225</v>
      </c>
      <c r="J29" s="16">
        <v>1.8597801409965351</v>
      </c>
      <c r="K29" s="18">
        <v>1.2488051141116026</v>
      </c>
      <c r="M29" s="14">
        <v>44466</v>
      </c>
      <c r="N29" s="12">
        <v>1009.3</v>
      </c>
      <c r="O29">
        <f t="shared" si="3"/>
        <v>2.5000000000000001E-3</v>
      </c>
      <c r="P29">
        <f t="shared" si="4"/>
        <v>2.5000000000000001E-3</v>
      </c>
      <c r="Q29">
        <f t="shared" si="5"/>
        <v>1E-3</v>
      </c>
      <c r="R29">
        <f t="shared" si="6"/>
        <v>1E-3</v>
      </c>
      <c r="S29">
        <f t="shared" si="7"/>
        <v>2E-3</v>
      </c>
      <c r="T29">
        <f t="shared" si="8"/>
        <v>2.4360736049707254E-3</v>
      </c>
      <c r="U29">
        <f t="shared" si="9"/>
        <v>3.4662146015055563E-3</v>
      </c>
      <c r="V29">
        <f t="shared" si="10"/>
        <v>1.8597801409965351E-3</v>
      </c>
      <c r="W29">
        <f t="shared" si="11"/>
        <v>1.2488051141116025E-3</v>
      </c>
      <c r="X29" s="12">
        <f t="shared" si="12"/>
        <v>3.5079459911578448E-3</v>
      </c>
      <c r="Y29" s="12">
        <f t="shared" si="13"/>
        <v>4.9913490261680009E-3</v>
      </c>
      <c r="Z29" s="12">
        <f t="shared" si="14"/>
        <v>2.6780834030350103E-3</v>
      </c>
      <c r="AA29" s="12">
        <f t="shared" si="15"/>
        <v>1.7982793643207076E-3</v>
      </c>
    </row>
    <row r="30" spans="2:29">
      <c r="B30" s="35">
        <v>3</v>
      </c>
      <c r="C30" s="34">
        <v>3</v>
      </c>
      <c r="D30" s="34">
        <v>1</v>
      </c>
      <c r="E30" s="34">
        <v>2.5</v>
      </c>
      <c r="F30" s="34">
        <v>2.5</v>
      </c>
      <c r="H30" s="17">
        <v>0.89583582267893413</v>
      </c>
      <c r="I30" s="19">
        <v>1.2264308758513562</v>
      </c>
      <c r="J30" s="16">
        <v>1.5769207790655992</v>
      </c>
      <c r="K30" s="18">
        <v>1.1774405544270521</v>
      </c>
      <c r="M30" s="14">
        <v>44467</v>
      </c>
      <c r="N30" s="12">
        <v>1033.3</v>
      </c>
      <c r="O30">
        <f t="shared" si="3"/>
        <v>3.0000000000000001E-3</v>
      </c>
      <c r="P30">
        <f t="shared" si="4"/>
        <v>3.0000000000000001E-3</v>
      </c>
      <c r="Q30">
        <f t="shared" si="5"/>
        <v>1E-3</v>
      </c>
      <c r="R30">
        <f t="shared" si="6"/>
        <v>2.5000000000000001E-3</v>
      </c>
      <c r="S30">
        <f t="shared" si="7"/>
        <v>2.5000000000000001E-3</v>
      </c>
      <c r="T30">
        <f t="shared" si="8"/>
        <v>2.6875074680368025E-3</v>
      </c>
      <c r="U30">
        <f t="shared" si="9"/>
        <v>3.6792926275540688E-3</v>
      </c>
      <c r="V30">
        <f t="shared" si="10"/>
        <v>1.5769207790655992E-3</v>
      </c>
      <c r="W30">
        <f t="shared" si="11"/>
        <v>2.9436013860676302E-3</v>
      </c>
      <c r="X30" s="12">
        <f t="shared" si="12"/>
        <v>3.8700107539729953E-3</v>
      </c>
      <c r="Y30" s="12">
        <f t="shared" si="13"/>
        <v>5.2981813836778593E-3</v>
      </c>
      <c r="Z30" s="12">
        <f t="shared" si="14"/>
        <v>2.2707659218544631E-3</v>
      </c>
      <c r="AA30" s="12">
        <f t="shared" si="15"/>
        <v>4.2387859959373874E-3</v>
      </c>
    </row>
    <row r="31" spans="2:29">
      <c r="B31" s="35">
        <v>3.5</v>
      </c>
      <c r="C31" s="34">
        <v>3</v>
      </c>
      <c r="D31" s="34">
        <v>0.1</v>
      </c>
      <c r="E31" s="34">
        <v>2.5</v>
      </c>
      <c r="F31" s="34">
        <v>2.5</v>
      </c>
      <c r="H31" s="17">
        <v>0.89086914817908969</v>
      </c>
      <c r="I31" s="19">
        <v>1.191156904607197</v>
      </c>
      <c r="J31" s="16">
        <v>1.7332219437482594</v>
      </c>
      <c r="K31" s="18">
        <v>1.197933104365853</v>
      </c>
      <c r="M31" s="14">
        <v>44468</v>
      </c>
      <c r="N31" s="12">
        <v>1056.8666666666666</v>
      </c>
      <c r="O31">
        <f t="shared" si="3"/>
        <v>3.5000000000000001E-3</v>
      </c>
      <c r="P31">
        <f t="shared" si="4"/>
        <v>3.0000000000000001E-3</v>
      </c>
      <c r="Q31">
        <f t="shared" si="5"/>
        <v>1E-4</v>
      </c>
      <c r="R31">
        <f t="shared" si="6"/>
        <v>2.5000000000000001E-3</v>
      </c>
      <c r="S31">
        <f t="shared" si="7"/>
        <v>2.5000000000000001E-3</v>
      </c>
      <c r="T31">
        <f t="shared" si="8"/>
        <v>3.1180420186268138E-3</v>
      </c>
      <c r="U31">
        <f t="shared" si="9"/>
        <v>3.5734707138215913E-3</v>
      </c>
      <c r="V31">
        <f t="shared" si="10"/>
        <v>1.7332219437482595E-4</v>
      </c>
      <c r="W31">
        <f t="shared" si="11"/>
        <v>2.9948327609146327E-3</v>
      </c>
      <c r="X31" s="12">
        <f t="shared" si="12"/>
        <v>4.4899805068226118E-3</v>
      </c>
      <c r="Y31" s="12">
        <f t="shared" si="13"/>
        <v>5.1457978279030913E-3</v>
      </c>
      <c r="Z31" s="12">
        <f t="shared" si="14"/>
        <v>2.4958395989974937E-4</v>
      </c>
      <c r="AA31" s="12">
        <f t="shared" si="15"/>
        <v>4.3125591757170716E-3</v>
      </c>
    </row>
    <row r="32" spans="2:29">
      <c r="B32" s="34">
        <v>2.5</v>
      </c>
      <c r="C32" s="34">
        <v>2.5</v>
      </c>
      <c r="D32" s="34">
        <v>3.5</v>
      </c>
      <c r="E32" s="34">
        <v>2</v>
      </c>
      <c r="F32" s="34">
        <v>2.5</v>
      </c>
      <c r="H32" s="17">
        <v>1.0410594387202574</v>
      </c>
      <c r="I32" s="19">
        <v>1.3018657755499858</v>
      </c>
      <c r="J32" s="16">
        <v>1.3741452396423155</v>
      </c>
      <c r="K32" s="18">
        <v>1.4177109440267335</v>
      </c>
      <c r="M32" s="14">
        <v>44470</v>
      </c>
      <c r="N32" s="12">
        <v>1109.33</v>
      </c>
      <c r="O32">
        <f t="shared" si="3"/>
        <v>2.5000000000000001E-3</v>
      </c>
      <c r="P32">
        <f t="shared" si="4"/>
        <v>2.5000000000000001E-3</v>
      </c>
      <c r="Q32">
        <f t="shared" si="5"/>
        <v>3.5000000000000001E-3</v>
      </c>
      <c r="R32">
        <f t="shared" si="6"/>
        <v>2E-3</v>
      </c>
      <c r="S32">
        <f t="shared" si="7"/>
        <v>2.5000000000000001E-3</v>
      </c>
      <c r="T32">
        <f t="shared" si="8"/>
        <v>2.6026485968006436E-3</v>
      </c>
      <c r="U32">
        <f t="shared" si="9"/>
        <v>3.2546644388749646E-3</v>
      </c>
      <c r="V32">
        <f t="shared" si="10"/>
        <v>4.8095083387481048E-3</v>
      </c>
      <c r="W32">
        <f t="shared" si="11"/>
        <v>2.835421888053467E-3</v>
      </c>
      <c r="X32" s="12">
        <f t="shared" si="12"/>
        <v>3.7478139793929266E-3</v>
      </c>
      <c r="Y32" s="12">
        <f t="shared" si="13"/>
        <v>4.6867167919799491E-3</v>
      </c>
      <c r="Z32" s="12">
        <f t="shared" si="14"/>
        <v>6.9256920077972704E-3</v>
      </c>
      <c r="AA32" s="12">
        <f t="shared" si="15"/>
        <v>4.0830075187969928E-3</v>
      </c>
    </row>
    <row r="33" spans="2:31">
      <c r="B33" s="34">
        <v>3.5</v>
      </c>
      <c r="C33" s="34">
        <v>3</v>
      </c>
      <c r="D33" s="34">
        <v>2.5</v>
      </c>
      <c r="E33" s="34">
        <v>2.5</v>
      </c>
      <c r="F33" s="34">
        <v>2.5</v>
      </c>
      <c r="H33" s="17">
        <v>0.90160586651814723</v>
      </c>
      <c r="I33" s="19">
        <v>1.1055725734088309</v>
      </c>
      <c r="J33" s="16">
        <v>1.3367369039883659</v>
      </c>
      <c r="K33" s="18">
        <v>1.260435038212816</v>
      </c>
      <c r="M33" s="14">
        <v>44473</v>
      </c>
      <c r="N33" s="12">
        <v>1176.8800000000001</v>
      </c>
      <c r="O33">
        <f t="shared" si="3"/>
        <v>3.5000000000000001E-3</v>
      </c>
      <c r="P33">
        <f t="shared" si="4"/>
        <v>3.0000000000000001E-3</v>
      </c>
      <c r="Q33">
        <f t="shared" si="5"/>
        <v>2.5000000000000001E-3</v>
      </c>
      <c r="R33">
        <f t="shared" si="6"/>
        <v>2.5000000000000001E-3</v>
      </c>
      <c r="S33">
        <f t="shared" si="7"/>
        <v>2.5000000000000001E-3</v>
      </c>
      <c r="T33">
        <f t="shared" si="8"/>
        <v>3.1556205328135156E-3</v>
      </c>
      <c r="U33">
        <f t="shared" si="9"/>
        <v>3.3167177202264924E-3</v>
      </c>
      <c r="V33">
        <f t="shared" si="10"/>
        <v>3.3418422599709148E-3</v>
      </c>
      <c r="W33">
        <f t="shared" si="11"/>
        <v>3.1510875955320402E-3</v>
      </c>
      <c r="X33" s="12">
        <f t="shared" si="12"/>
        <v>4.5440935672514627E-3</v>
      </c>
      <c r="Y33" s="12">
        <f t="shared" si="13"/>
        <v>4.7760735171261497E-3</v>
      </c>
      <c r="Z33" s="12">
        <f t="shared" si="14"/>
        <v>4.8122528543581176E-3</v>
      </c>
      <c r="AA33" s="12">
        <f t="shared" si="15"/>
        <v>4.537566137566138E-3</v>
      </c>
    </row>
    <row r="34" spans="2:31">
      <c r="B34" s="34">
        <v>3</v>
      </c>
      <c r="C34" s="34">
        <v>3</v>
      </c>
      <c r="D34" s="34">
        <v>2.5</v>
      </c>
      <c r="E34" s="34">
        <v>2</v>
      </c>
      <c r="F34" s="34">
        <v>2.5</v>
      </c>
      <c r="H34" s="17">
        <v>0.7273971352978742</v>
      </c>
      <c r="I34" s="19">
        <v>1.1358148587415988</v>
      </c>
      <c r="J34" s="16">
        <v>1.1783900495696864</v>
      </c>
      <c r="K34" s="18">
        <v>1.1712130888300945</v>
      </c>
      <c r="M34" s="14">
        <v>44475</v>
      </c>
      <c r="N34" s="12">
        <v>1225.4000000000001</v>
      </c>
      <c r="O34">
        <f t="shared" si="3"/>
        <v>3.0000000000000001E-3</v>
      </c>
      <c r="P34">
        <f t="shared" si="4"/>
        <v>3.0000000000000001E-3</v>
      </c>
      <c r="Q34">
        <f t="shared" si="5"/>
        <v>2.5000000000000001E-3</v>
      </c>
      <c r="R34">
        <f t="shared" si="6"/>
        <v>2E-3</v>
      </c>
      <c r="S34">
        <f t="shared" si="7"/>
        <v>2.5000000000000001E-3</v>
      </c>
      <c r="T34">
        <f t="shared" si="8"/>
        <v>2.1821914058936225E-3</v>
      </c>
      <c r="U34">
        <f t="shared" si="9"/>
        <v>3.4074445762247965E-3</v>
      </c>
      <c r="V34">
        <f t="shared" si="10"/>
        <v>2.9459751239242159E-3</v>
      </c>
      <c r="W34">
        <f t="shared" si="11"/>
        <v>2.342426177660189E-3</v>
      </c>
      <c r="X34" s="12">
        <f t="shared" si="12"/>
        <v>3.1423556244868163E-3</v>
      </c>
      <c r="Y34" s="12">
        <f t="shared" si="13"/>
        <v>4.9067201897637072E-3</v>
      </c>
      <c r="Z34" s="12">
        <f t="shared" si="14"/>
        <v>4.2422041784508707E-3</v>
      </c>
      <c r="AA34" s="12">
        <f t="shared" si="15"/>
        <v>3.3730936958306723E-3</v>
      </c>
    </row>
    <row r="35" spans="2:31">
      <c r="B35" s="34">
        <v>3</v>
      </c>
      <c r="C35" s="34">
        <v>3</v>
      </c>
      <c r="D35" s="34">
        <v>2.5</v>
      </c>
      <c r="E35" s="34">
        <v>2</v>
      </c>
      <c r="F35" s="34">
        <v>2</v>
      </c>
      <c r="H35" s="17">
        <v>0.68810631633366781</v>
      </c>
      <c r="I35" s="19">
        <v>1.0787641030319617</v>
      </c>
      <c r="J35" s="16">
        <v>1.147644679621689</v>
      </c>
      <c r="K35" s="18">
        <v>1.0283429127512695</v>
      </c>
      <c r="M35" s="14">
        <v>44477</v>
      </c>
      <c r="N35" s="12">
        <v>1273.28</v>
      </c>
      <c r="O35">
        <f t="shared" si="3"/>
        <v>3.0000000000000001E-3</v>
      </c>
      <c r="P35">
        <f t="shared" si="4"/>
        <v>3.0000000000000001E-3</v>
      </c>
      <c r="Q35">
        <f t="shared" si="5"/>
        <v>2.5000000000000001E-3</v>
      </c>
      <c r="R35">
        <f t="shared" si="6"/>
        <v>2E-3</v>
      </c>
      <c r="S35">
        <f t="shared" si="7"/>
        <v>2E-3</v>
      </c>
      <c r="T35">
        <f t="shared" si="8"/>
        <v>2.0643189490010035E-3</v>
      </c>
      <c r="U35">
        <f t="shared" si="9"/>
        <v>3.2362923090958852E-3</v>
      </c>
      <c r="V35">
        <f t="shared" si="10"/>
        <v>2.8691116990542226E-3</v>
      </c>
      <c r="W35">
        <f t="shared" si="11"/>
        <v>2.0566858255025391E-3</v>
      </c>
      <c r="X35" s="12">
        <f t="shared" si="12"/>
        <v>2.9726192865614453E-3</v>
      </c>
      <c r="Y35" s="12">
        <f t="shared" si="13"/>
        <v>4.6602609250980748E-3</v>
      </c>
      <c r="Z35" s="12">
        <f t="shared" si="14"/>
        <v>4.1315208466380805E-3</v>
      </c>
      <c r="AA35" s="12">
        <f t="shared" si="15"/>
        <v>2.9616275887236563E-3</v>
      </c>
    </row>
    <row r="36" spans="2:31">
      <c r="B36" s="34">
        <v>3</v>
      </c>
      <c r="C36" s="34">
        <v>3</v>
      </c>
      <c r="D36" s="34">
        <v>2.5</v>
      </c>
      <c r="E36" s="34">
        <v>2.5</v>
      </c>
      <c r="F36" s="34">
        <v>2.5</v>
      </c>
      <c r="H36" s="17">
        <v>0.5649423714381292</v>
      </c>
      <c r="I36" s="19">
        <v>0.83453456193169717</v>
      </c>
      <c r="J36" s="16">
        <v>0.88151932609555084</v>
      </c>
      <c r="K36" s="18">
        <v>0.79785907611835893</v>
      </c>
      <c r="M36" s="14">
        <v>44480</v>
      </c>
      <c r="N36" s="12">
        <v>1345.25</v>
      </c>
      <c r="O36">
        <f t="shared" si="3"/>
        <v>3.0000000000000001E-3</v>
      </c>
      <c r="P36">
        <f t="shared" si="4"/>
        <v>3.0000000000000001E-3</v>
      </c>
      <c r="Q36">
        <f t="shared" si="5"/>
        <v>2.5000000000000001E-3</v>
      </c>
      <c r="R36">
        <f t="shared" si="6"/>
        <v>2.5000000000000001E-3</v>
      </c>
      <c r="S36">
        <f t="shared" si="7"/>
        <v>2.5000000000000001E-3</v>
      </c>
      <c r="T36">
        <f t="shared" si="8"/>
        <v>1.6948271143143877E-3</v>
      </c>
      <c r="U36">
        <f t="shared" si="9"/>
        <v>2.5036036857950914E-3</v>
      </c>
      <c r="V36">
        <f t="shared" si="10"/>
        <v>2.203798315238877E-3</v>
      </c>
      <c r="W36">
        <f t="shared" si="11"/>
        <v>1.9946476902958973E-3</v>
      </c>
      <c r="X36" s="12">
        <f t="shared" si="12"/>
        <v>2.440551044612718E-3</v>
      </c>
      <c r="Y36" s="12">
        <f t="shared" si="13"/>
        <v>3.6051893075449318E-3</v>
      </c>
      <c r="Z36" s="12">
        <f t="shared" si="14"/>
        <v>3.173469573943983E-3</v>
      </c>
      <c r="AA36" s="12">
        <f t="shared" si="15"/>
        <v>2.8722926740260921E-3</v>
      </c>
    </row>
    <row r="37" spans="2:31">
      <c r="B37" s="34">
        <v>1</v>
      </c>
      <c r="C37" s="34">
        <v>2</v>
      </c>
      <c r="D37" s="34">
        <v>1</v>
      </c>
      <c r="E37" s="34">
        <v>3.5</v>
      </c>
      <c r="F37" s="34">
        <v>3</v>
      </c>
      <c r="H37" s="17">
        <v>0.75860480825324694</v>
      </c>
      <c r="I37" s="17">
        <v>0.97982744327427929</v>
      </c>
      <c r="J37" s="17">
        <v>1.1594460990512452</v>
      </c>
      <c r="K37" s="17">
        <v>0.85701126838404618</v>
      </c>
      <c r="M37" s="14">
        <v>44482</v>
      </c>
      <c r="N37" s="12">
        <v>1393.8833333333334</v>
      </c>
      <c r="O37">
        <f t="shared" si="3"/>
        <v>1E-3</v>
      </c>
      <c r="P37">
        <f t="shared" si="4"/>
        <v>2E-3</v>
      </c>
      <c r="Q37">
        <f t="shared" si="5"/>
        <v>1E-3</v>
      </c>
      <c r="R37">
        <f t="shared" si="6"/>
        <v>3.5000000000000001E-3</v>
      </c>
      <c r="S37">
        <f t="shared" si="7"/>
        <v>3.0000000000000001E-3</v>
      </c>
      <c r="T37">
        <f t="shared" si="8"/>
        <v>7.5860480825324695E-4</v>
      </c>
      <c r="U37">
        <f t="shared" si="9"/>
        <v>1.9596548865485584E-3</v>
      </c>
      <c r="V37">
        <f t="shared" si="10"/>
        <v>1.1594460990512452E-3</v>
      </c>
      <c r="W37">
        <f t="shared" si="11"/>
        <v>2.9995394393441616E-3</v>
      </c>
      <c r="X37" s="12">
        <f t="shared" si="12"/>
        <v>1.0923909238846757E-3</v>
      </c>
      <c r="Y37" s="12">
        <f t="shared" si="13"/>
        <v>2.8219030366299241E-3</v>
      </c>
      <c r="Z37" s="12">
        <f t="shared" si="14"/>
        <v>1.669602382633793E-3</v>
      </c>
      <c r="AA37" s="12">
        <f t="shared" si="15"/>
        <v>4.3193367926555931E-3</v>
      </c>
    </row>
    <row r="38" spans="2:31">
      <c r="B38" s="34">
        <v>3.5</v>
      </c>
      <c r="C38" s="34">
        <v>2.5</v>
      </c>
      <c r="D38" s="34">
        <v>2.5</v>
      </c>
      <c r="E38" s="34">
        <v>3</v>
      </c>
      <c r="F38" s="34">
        <v>3.5</v>
      </c>
      <c r="H38" s="17">
        <v>0.68890662900303978</v>
      </c>
      <c r="I38" s="17">
        <v>0.93988148239123104</v>
      </c>
      <c r="J38" s="17">
        <v>0.99852620590131724</v>
      </c>
      <c r="K38" s="17">
        <v>0.92606466271607979</v>
      </c>
      <c r="M38" s="14">
        <v>44483</v>
      </c>
      <c r="N38" s="12">
        <v>1415.85</v>
      </c>
      <c r="O38">
        <f t="shared" si="3"/>
        <v>3.5000000000000001E-3</v>
      </c>
      <c r="P38">
        <f t="shared" si="4"/>
        <v>2.5000000000000001E-3</v>
      </c>
      <c r="Q38">
        <f t="shared" si="5"/>
        <v>2.5000000000000001E-3</v>
      </c>
      <c r="R38">
        <f t="shared" si="6"/>
        <v>3.0000000000000001E-3</v>
      </c>
      <c r="S38">
        <f t="shared" si="7"/>
        <v>3.5000000000000001E-3</v>
      </c>
      <c r="T38">
        <f t="shared" si="8"/>
        <v>2.4111732015106393E-3</v>
      </c>
      <c r="U38">
        <f t="shared" si="9"/>
        <v>2.3497037059780775E-3</v>
      </c>
      <c r="V38">
        <f t="shared" si="10"/>
        <v>2.4963155147532932E-3</v>
      </c>
      <c r="W38">
        <f t="shared" si="11"/>
        <v>2.7781939881482394E-3</v>
      </c>
      <c r="X38" s="12">
        <f t="shared" si="12"/>
        <v>3.4720894101753206E-3</v>
      </c>
      <c r="Y38" s="12">
        <f t="shared" si="13"/>
        <v>3.3835733366084312E-3</v>
      </c>
      <c r="Z38" s="12">
        <f t="shared" si="14"/>
        <v>3.5946943412447424E-3</v>
      </c>
      <c r="AA38" s="12">
        <f t="shared" si="15"/>
        <v>4.0005993429334651E-3</v>
      </c>
    </row>
    <row r="39" spans="2:31">
      <c r="B39" s="34">
        <v>3</v>
      </c>
      <c r="C39" s="34">
        <v>1</v>
      </c>
      <c r="D39" s="34">
        <v>2</v>
      </c>
      <c r="E39" s="34">
        <v>3</v>
      </c>
      <c r="F39" s="34">
        <v>3</v>
      </c>
      <c r="H39" s="17">
        <v>0.64926770855721705</v>
      </c>
      <c r="I39" s="17">
        <v>0.98575332371273305</v>
      </c>
      <c r="J39" s="17">
        <v>0.9879026067733121</v>
      </c>
      <c r="K39" s="17">
        <v>0.80561269919248368</v>
      </c>
      <c r="M39" s="14">
        <v>44487</v>
      </c>
      <c r="N39" s="12">
        <v>1516.8833333333334</v>
      </c>
      <c r="O39">
        <f t="shared" si="3"/>
        <v>3.0000000000000001E-3</v>
      </c>
      <c r="P39">
        <f t="shared" si="4"/>
        <v>1E-3</v>
      </c>
      <c r="Q39">
        <f t="shared" si="5"/>
        <v>2E-3</v>
      </c>
      <c r="R39">
        <f t="shared" si="6"/>
        <v>3.0000000000000001E-3</v>
      </c>
      <c r="S39">
        <f t="shared" si="7"/>
        <v>3.0000000000000001E-3</v>
      </c>
      <c r="T39">
        <f t="shared" si="8"/>
        <v>1.9478031256716512E-3</v>
      </c>
      <c r="U39">
        <f t="shared" si="9"/>
        <v>9.8575332371273307E-4</v>
      </c>
      <c r="V39">
        <f t="shared" si="10"/>
        <v>1.9758052135466241E-3</v>
      </c>
      <c r="W39">
        <f t="shared" si="11"/>
        <v>2.416838097577451E-3</v>
      </c>
      <c r="X39" s="12">
        <f t="shared" si="12"/>
        <v>2.8048365009671773E-3</v>
      </c>
      <c r="Y39" s="12">
        <f t="shared" si="13"/>
        <v>1.4194847861463357E-3</v>
      </c>
      <c r="Z39" s="12">
        <f t="shared" si="14"/>
        <v>2.8451595075071386E-3</v>
      </c>
      <c r="AA39" s="12">
        <f t="shared" si="15"/>
        <v>3.4802468605115294E-3</v>
      </c>
    </row>
    <row r="40" spans="2:31">
      <c r="B40" s="34">
        <v>2.5</v>
      </c>
      <c r="C40" s="34">
        <v>1.5</v>
      </c>
      <c r="D40" s="34">
        <v>2</v>
      </c>
      <c r="E40" s="34">
        <v>3.5</v>
      </c>
      <c r="F40" s="34">
        <v>3.5</v>
      </c>
      <c r="M40" s="14">
        <v>44489</v>
      </c>
      <c r="N40" s="12">
        <v>1563.5166666666667</v>
      </c>
      <c r="O40">
        <f t="shared" si="3"/>
        <v>2.5000000000000001E-3</v>
      </c>
      <c r="P40">
        <f t="shared" si="4"/>
        <v>1.5E-3</v>
      </c>
      <c r="Q40">
        <f t="shared" si="5"/>
        <v>2E-3</v>
      </c>
      <c r="R40">
        <f t="shared" si="6"/>
        <v>3.5000000000000001E-3</v>
      </c>
      <c r="S40">
        <f t="shared" si="7"/>
        <v>3.5000000000000001E-3</v>
      </c>
      <c r="X40" s="67">
        <f>SUM(X2:X39)</f>
        <v>0.25863631114754454</v>
      </c>
      <c r="Y40" s="67">
        <f t="shared" ref="Y40:AA40" si="16">SUM(Y2:Y39)</f>
        <v>0.28038026313681708</v>
      </c>
      <c r="Z40" s="67">
        <f t="shared" si="16"/>
        <v>0.27683834727511331</v>
      </c>
      <c r="AA40" s="67">
        <f t="shared" si="16"/>
        <v>0.27119500046637279</v>
      </c>
      <c r="AB40" t="s">
        <v>241</v>
      </c>
    </row>
    <row r="41" spans="2:31">
      <c r="B41" s="34">
        <v>1</v>
      </c>
      <c r="C41" s="34">
        <v>1</v>
      </c>
      <c r="D41" s="34">
        <v>2</v>
      </c>
      <c r="E41" s="34">
        <v>2.5</v>
      </c>
      <c r="F41" s="34">
        <v>3</v>
      </c>
      <c r="M41" s="14">
        <v>44490</v>
      </c>
      <c r="N41" s="12">
        <v>1587.2666666666667</v>
      </c>
      <c r="O41">
        <f t="shared" si="3"/>
        <v>1E-3</v>
      </c>
      <c r="P41">
        <f t="shared" si="4"/>
        <v>1E-3</v>
      </c>
      <c r="Q41">
        <f t="shared" si="5"/>
        <v>2E-3</v>
      </c>
      <c r="R41">
        <f t="shared" si="6"/>
        <v>2.5000000000000001E-3</v>
      </c>
      <c r="S41">
        <f t="shared" si="7"/>
        <v>3.0000000000000001E-3</v>
      </c>
      <c r="W41" t="s">
        <v>244</v>
      </c>
      <c r="X41" s="67">
        <f>X45-X40</f>
        <v>121.84598750728111</v>
      </c>
      <c r="Y41" s="67">
        <f t="shared" ref="Y41:AA41" si="17">Y45-Y40</f>
        <v>123.33290969254624</v>
      </c>
      <c r="Z41" s="67">
        <f t="shared" si="17"/>
        <v>126.06178398538364</v>
      </c>
      <c r="AA41" s="67">
        <f t="shared" si="17"/>
        <v>123.05009505768358</v>
      </c>
      <c r="AB41" t="s">
        <v>249</v>
      </c>
    </row>
    <row r="42" spans="2:31">
      <c r="B42" s="34">
        <v>1</v>
      </c>
      <c r="C42" s="34">
        <v>1</v>
      </c>
      <c r="D42" s="34">
        <v>2</v>
      </c>
      <c r="E42" s="34">
        <v>2.5</v>
      </c>
      <c r="F42" s="34">
        <v>2.5</v>
      </c>
      <c r="M42" s="14">
        <v>44491</v>
      </c>
      <c r="N42" s="12">
        <v>1611.0666666666666</v>
      </c>
      <c r="O42">
        <f t="shared" si="3"/>
        <v>1E-3</v>
      </c>
      <c r="P42">
        <f t="shared" si="4"/>
        <v>1E-3</v>
      </c>
      <c r="Q42">
        <f t="shared" si="5"/>
        <v>2E-3</v>
      </c>
      <c r="R42">
        <f t="shared" si="6"/>
        <v>2.5000000000000001E-3</v>
      </c>
      <c r="S42">
        <f t="shared" si="7"/>
        <v>2.5000000000000001E-3</v>
      </c>
      <c r="W42" t="s">
        <v>244</v>
      </c>
      <c r="X42">
        <v>250.9</v>
      </c>
      <c r="Y42">
        <v>254</v>
      </c>
      <c r="Z42">
        <v>259.60000000000002</v>
      </c>
      <c r="AA42">
        <v>253.4</v>
      </c>
      <c r="AB42" t="s">
        <v>242</v>
      </c>
      <c r="AD42">
        <f>40.078+(2*18.998)</f>
        <v>78.074000000000012</v>
      </c>
      <c r="AE42" t="s">
        <v>243</v>
      </c>
    </row>
    <row r="43" spans="2:31">
      <c r="M43" s="14">
        <v>44494</v>
      </c>
      <c r="N43" s="12"/>
      <c r="W43" t="s">
        <v>245</v>
      </c>
      <c r="X43">
        <f>X42/$AD$42</f>
        <v>3.2136178497323047</v>
      </c>
      <c r="Y43">
        <f t="shared" ref="Y43:AA43" si="18">Y42/$AD$42</f>
        <v>3.2533237697568969</v>
      </c>
      <c r="Z43">
        <f t="shared" si="18"/>
        <v>3.3250505930271279</v>
      </c>
      <c r="AA43">
        <f t="shared" si="18"/>
        <v>3.2456387529779436</v>
      </c>
    </row>
    <row r="44" spans="2:31">
      <c r="W44" t="s">
        <v>246</v>
      </c>
      <c r="X44">
        <f>2*X43</f>
        <v>6.4272356994646094</v>
      </c>
      <c r="Y44">
        <f t="shared" ref="Y44:Z44" si="19">2*Y43</f>
        <v>6.5066475395137937</v>
      </c>
      <c r="Z44">
        <f t="shared" si="19"/>
        <v>6.6501011860542558</v>
      </c>
      <c r="AA44">
        <f>2*AA43</f>
        <v>6.4912775059558872</v>
      </c>
    </row>
    <row r="45" spans="2:31">
      <c r="W45" t="s">
        <v>244</v>
      </c>
      <c r="X45">
        <f>X44*$AD$45</f>
        <v>122.10462381842865</v>
      </c>
      <c r="Y45">
        <f t="shared" ref="Y45:AA45" si="20">Y44*$AD$45</f>
        <v>123.61328995568306</v>
      </c>
      <c r="Z45">
        <f t="shared" si="20"/>
        <v>126.33862233265876</v>
      </c>
      <c r="AA45">
        <f t="shared" si="20"/>
        <v>123.32129005814996</v>
      </c>
      <c r="AB45" t="s">
        <v>248</v>
      </c>
      <c r="AD45">
        <v>18.998000000000001</v>
      </c>
      <c r="AE45" t="s">
        <v>247</v>
      </c>
    </row>
    <row r="46" spans="2:31">
      <c r="X46">
        <f>X41/X45</f>
        <v>0.99788184670604996</v>
      </c>
      <c r="Y46">
        <f t="shared" ref="Y46:AA46" si="21">Y41/Y45</f>
        <v>0.99773179515538057</v>
      </c>
      <c r="Z46">
        <f t="shared" si="21"/>
        <v>0.99780875917305656</v>
      </c>
      <c r="AA46">
        <f t="shared" si="21"/>
        <v>0.99780090688040568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3860-D9DC-6F45-B612-93D1572C330E}">
  <dimension ref="A1:EG66"/>
  <sheetViews>
    <sheetView topLeftCell="A22" zoomScale="89" zoomScaleNormal="89" workbookViewId="0">
      <pane xSplit="3" topLeftCell="BE1" activePane="topRight" state="frozen"/>
      <selection pane="topRight" activeCell="BT29" sqref="BT29:BT58"/>
    </sheetView>
  </sheetViews>
  <sheetFormatPr defaultColWidth="10.6640625" defaultRowHeight="15.5"/>
  <cols>
    <col min="1" max="1" width="10.83203125" style="254"/>
    <col min="2" max="2" width="13.5" customWidth="1"/>
    <col min="3" max="3" width="10.83203125" style="12"/>
    <col min="4" max="6" width="10.83203125" style="79"/>
    <col min="7" max="7" width="11.6640625" style="17" bestFit="1" customWidth="1"/>
    <col min="8" max="8" width="11.6640625" style="17" customWidth="1"/>
    <col min="9" max="17" width="10.83203125" style="79" customWidth="1"/>
    <col min="18" max="21" width="10.83203125" style="383" customWidth="1"/>
    <col min="22" max="25" width="10.83203125" style="383"/>
    <col min="26" max="34" width="10.83203125" style="383" customWidth="1"/>
    <col min="35" max="38" width="10.83203125" style="384" customWidth="1"/>
    <col min="39" max="42" width="10.83203125" style="384"/>
    <col min="43" max="51" width="10.83203125" style="384" customWidth="1"/>
    <col min="52" max="55" width="10.83203125" style="386" customWidth="1"/>
    <col min="56" max="59" width="10.83203125" style="386"/>
    <col min="60" max="68" width="10.83203125" style="386" customWidth="1"/>
    <col min="69" max="72" width="10.83203125" style="385" customWidth="1"/>
    <col min="73" max="85" width="10.83203125" style="385"/>
    <col min="90" max="90" width="16" style="12" customWidth="1"/>
    <col min="100" max="100" width="10.83203125" style="12"/>
    <col min="116" max="116" width="21.5" customWidth="1"/>
    <col min="119" max="119" width="11.6640625" style="17" bestFit="1" customWidth="1"/>
    <col min="121" max="122" width="10.83203125" style="12"/>
  </cols>
  <sheetData>
    <row r="1" spans="1:137" ht="31">
      <c r="B1" s="10" t="s">
        <v>604</v>
      </c>
      <c r="D1" s="678" t="s">
        <v>5</v>
      </c>
      <c r="E1" s="678"/>
      <c r="F1" s="678"/>
      <c r="G1" s="678"/>
      <c r="H1" s="678"/>
      <c r="I1" s="678"/>
      <c r="J1" s="678"/>
      <c r="K1" s="678"/>
      <c r="L1" s="678"/>
      <c r="M1" s="678"/>
      <c r="N1" s="678"/>
      <c r="O1" s="678"/>
      <c r="P1" s="678"/>
      <c r="Q1" s="678"/>
      <c r="R1" s="675" t="s">
        <v>6</v>
      </c>
      <c r="S1" s="675"/>
      <c r="T1" s="675"/>
      <c r="U1" s="675"/>
      <c r="V1" s="675"/>
      <c r="W1" s="675"/>
      <c r="X1" s="675"/>
      <c r="Y1" s="675"/>
      <c r="Z1" s="675"/>
      <c r="AA1" s="675"/>
      <c r="AB1" s="675"/>
      <c r="AC1" s="675"/>
      <c r="AD1" s="675"/>
      <c r="AE1" s="675"/>
      <c r="AF1" s="675"/>
      <c r="AG1" s="675"/>
      <c r="AH1" s="675"/>
      <c r="AI1" s="676" t="s">
        <v>9</v>
      </c>
      <c r="AJ1" s="676"/>
      <c r="AK1" s="676"/>
      <c r="AL1" s="676"/>
      <c r="AM1" s="676"/>
      <c r="AN1" s="676"/>
      <c r="AO1" s="676"/>
      <c r="AP1" s="676"/>
      <c r="AQ1" s="676"/>
      <c r="AR1" s="676"/>
      <c r="AS1" s="676"/>
      <c r="AT1" s="676"/>
      <c r="AU1" s="676"/>
      <c r="AV1" s="676"/>
      <c r="AW1" s="676"/>
      <c r="AX1" s="676"/>
      <c r="AY1" s="676"/>
      <c r="AZ1" s="679" t="s">
        <v>8</v>
      </c>
      <c r="BA1" s="679"/>
      <c r="BB1" s="679"/>
      <c r="BC1" s="679"/>
      <c r="BD1" s="679"/>
      <c r="BE1" s="679"/>
      <c r="BF1" s="679"/>
      <c r="BG1" s="679"/>
      <c r="BH1" s="679"/>
      <c r="BI1" s="679"/>
      <c r="BJ1" s="679"/>
      <c r="BK1" s="679"/>
      <c r="BL1" s="679"/>
      <c r="BM1" s="679"/>
      <c r="BN1" s="679"/>
      <c r="BO1" s="679"/>
      <c r="BP1" s="679"/>
      <c r="BQ1" s="677" t="s">
        <v>7</v>
      </c>
      <c r="BR1" s="677"/>
      <c r="BS1" s="677"/>
      <c r="BT1" s="677"/>
      <c r="BU1" s="677"/>
      <c r="BV1" s="677"/>
      <c r="BW1" s="677"/>
      <c r="BX1" s="677"/>
      <c r="BY1" s="677"/>
      <c r="BZ1" s="677"/>
      <c r="CA1" s="677"/>
      <c r="CB1" s="677"/>
      <c r="CC1" s="677"/>
      <c r="CD1" s="677"/>
      <c r="CE1" s="677"/>
      <c r="CF1" s="677"/>
      <c r="CG1" s="677"/>
      <c r="CN1" t="s">
        <v>102</v>
      </c>
      <c r="CS1" t="s">
        <v>201</v>
      </c>
      <c r="DO1"/>
    </row>
    <row r="2" spans="1:137" ht="31">
      <c r="A2" s="255" t="s">
        <v>10</v>
      </c>
      <c r="B2" s="11" t="s">
        <v>0</v>
      </c>
      <c r="C2" s="13" t="s">
        <v>40</v>
      </c>
      <c r="D2" s="79" t="s">
        <v>2</v>
      </c>
      <c r="E2" s="79" t="s">
        <v>4</v>
      </c>
      <c r="F2" s="79" t="s">
        <v>3</v>
      </c>
      <c r="G2" s="17" t="s">
        <v>78</v>
      </c>
      <c r="H2" s="17" t="s">
        <v>925</v>
      </c>
      <c r="I2" s="79" t="s">
        <v>2</v>
      </c>
      <c r="J2" s="79" t="s">
        <v>4</v>
      </c>
      <c r="K2" s="79" t="s">
        <v>3</v>
      </c>
      <c r="L2" s="79" t="s">
        <v>2</v>
      </c>
      <c r="M2" s="79" t="s">
        <v>4</v>
      </c>
      <c r="N2" s="79" t="s">
        <v>3</v>
      </c>
      <c r="O2" s="79" t="s">
        <v>2</v>
      </c>
      <c r="P2" s="79" t="s">
        <v>4</v>
      </c>
      <c r="Q2" s="79" t="s">
        <v>3</v>
      </c>
      <c r="R2" s="383" t="s">
        <v>2</v>
      </c>
      <c r="S2" s="383" t="s">
        <v>4</v>
      </c>
      <c r="T2" s="383" t="s">
        <v>3</v>
      </c>
      <c r="U2" s="383" t="s">
        <v>78</v>
      </c>
      <c r="V2" s="383" t="s">
        <v>926</v>
      </c>
      <c r="W2" s="383" t="s">
        <v>2</v>
      </c>
      <c r="X2" s="383" t="s">
        <v>4</v>
      </c>
      <c r="Y2" s="383" t="s">
        <v>3</v>
      </c>
      <c r="Z2" s="383" t="s">
        <v>2</v>
      </c>
      <c r="AA2" s="383" t="s">
        <v>4</v>
      </c>
      <c r="AB2" s="383" t="s">
        <v>3</v>
      </c>
      <c r="AC2" s="383" t="s">
        <v>2</v>
      </c>
      <c r="AD2" s="383" t="s">
        <v>4</v>
      </c>
      <c r="AE2" s="383" t="s">
        <v>3</v>
      </c>
      <c r="AF2" s="383" t="s">
        <v>2</v>
      </c>
      <c r="AG2" s="383" t="s">
        <v>4</v>
      </c>
      <c r="AH2" s="383" t="s">
        <v>3</v>
      </c>
      <c r="AI2" s="384" t="s">
        <v>2</v>
      </c>
      <c r="AJ2" s="384" t="s">
        <v>4</v>
      </c>
      <c r="AK2" s="384" t="s">
        <v>3</v>
      </c>
      <c r="AL2" s="384" t="s">
        <v>78</v>
      </c>
      <c r="AM2" s="384" t="s">
        <v>926</v>
      </c>
      <c r="AQ2" s="384" t="s">
        <v>2</v>
      </c>
      <c r="AR2" s="384" t="s">
        <v>4</v>
      </c>
      <c r="AS2" s="384" t="s">
        <v>3</v>
      </c>
      <c r="AT2" s="384" t="s">
        <v>2</v>
      </c>
      <c r="AU2" s="384" t="s">
        <v>4</v>
      </c>
      <c r="AV2" s="384" t="s">
        <v>3</v>
      </c>
      <c r="AW2" s="384" t="s">
        <v>2</v>
      </c>
      <c r="AX2" s="384" t="s">
        <v>4</v>
      </c>
      <c r="AY2" s="384" t="s">
        <v>3</v>
      </c>
      <c r="AZ2" s="386" t="s">
        <v>2</v>
      </c>
      <c r="BA2" s="386" t="s">
        <v>4</v>
      </c>
      <c r="BB2" s="386" t="s">
        <v>3</v>
      </c>
      <c r="BC2" s="386" t="s">
        <v>78</v>
      </c>
      <c r="BD2" s="386" t="s">
        <v>925</v>
      </c>
      <c r="BH2" s="386" t="s">
        <v>2</v>
      </c>
      <c r="BI2" s="386" t="s">
        <v>4</v>
      </c>
      <c r="BJ2" s="386" t="s">
        <v>3</v>
      </c>
      <c r="BK2" s="386" t="s">
        <v>2</v>
      </c>
      <c r="BL2" s="386" t="s">
        <v>4</v>
      </c>
      <c r="BM2" s="386" t="s">
        <v>3</v>
      </c>
      <c r="BN2" s="386" t="s">
        <v>2</v>
      </c>
      <c r="BO2" s="386" t="s">
        <v>4</v>
      </c>
      <c r="BP2" s="386" t="s">
        <v>3</v>
      </c>
      <c r="BQ2" s="385" t="s">
        <v>2</v>
      </c>
      <c r="BR2" s="385" t="s">
        <v>4</v>
      </c>
      <c r="BS2" s="385" t="s">
        <v>3</v>
      </c>
      <c r="BT2" s="385" t="s">
        <v>93</v>
      </c>
      <c r="BU2" s="385" t="s">
        <v>925</v>
      </c>
      <c r="BV2" s="385" t="s">
        <v>2</v>
      </c>
      <c r="BW2" s="385" t="s">
        <v>4</v>
      </c>
      <c r="BX2" s="385" t="s">
        <v>3</v>
      </c>
      <c r="BY2" s="385" t="s">
        <v>2</v>
      </c>
      <c r="BZ2" s="385" t="s">
        <v>4</v>
      </c>
      <c r="CA2" s="385" t="s">
        <v>3</v>
      </c>
      <c r="CB2" s="385" t="s">
        <v>2</v>
      </c>
      <c r="CC2" s="385" t="s">
        <v>4</v>
      </c>
      <c r="CD2" s="385" t="s">
        <v>3</v>
      </c>
      <c r="CE2" s="385" t="s">
        <v>2</v>
      </c>
      <c r="CF2" s="385" t="s">
        <v>4</v>
      </c>
      <c r="CG2" s="385" t="s">
        <v>3</v>
      </c>
      <c r="CI2" s="20" t="s">
        <v>96</v>
      </c>
      <c r="CJ2" s="21" t="s">
        <v>97</v>
      </c>
      <c r="CK2" s="22" t="s">
        <v>98</v>
      </c>
      <c r="CL2" s="28" t="s">
        <v>95</v>
      </c>
      <c r="CM2" t="s">
        <v>99</v>
      </c>
      <c r="CN2" t="s">
        <v>100</v>
      </c>
      <c r="CO2" t="s">
        <v>101</v>
      </c>
      <c r="CP2" t="s">
        <v>103</v>
      </c>
      <c r="CR2" t="s">
        <v>203</v>
      </c>
      <c r="CS2" t="s">
        <v>202</v>
      </c>
      <c r="CT2" t="s">
        <v>204</v>
      </c>
      <c r="CU2" t="s">
        <v>205</v>
      </c>
      <c r="CV2" s="12" t="s">
        <v>206</v>
      </c>
      <c r="CW2" t="s">
        <v>207</v>
      </c>
      <c r="CX2" t="s">
        <v>208</v>
      </c>
      <c r="CY2" t="s">
        <v>209</v>
      </c>
      <c r="CZ2" t="s">
        <v>210</v>
      </c>
      <c r="DM2" s="204" t="s">
        <v>10</v>
      </c>
      <c r="DN2" t="s">
        <v>882</v>
      </c>
      <c r="DQ2" s="12" t="s">
        <v>902</v>
      </c>
      <c r="DR2" s="12" t="s">
        <v>903</v>
      </c>
      <c r="DS2" t="s">
        <v>904</v>
      </c>
      <c r="EG2" t="s">
        <v>1554</v>
      </c>
    </row>
    <row r="3" spans="1:137">
      <c r="A3" s="256" t="s">
        <v>41</v>
      </c>
      <c r="B3" s="14">
        <v>44424</v>
      </c>
      <c r="C3" s="12">
        <f>62/60</f>
        <v>1.0333333333333334</v>
      </c>
      <c r="D3" s="79">
        <v>4.5279999999999996</v>
      </c>
      <c r="E3" s="79">
        <v>15.0908</v>
      </c>
      <c r="F3" s="79">
        <v>24.321999999999999</v>
      </c>
      <c r="G3" s="17">
        <f>(E3+1.3588)/2.7414</f>
        <v>6.0004377325454143</v>
      </c>
      <c r="H3" s="17">
        <v>6.1120999999999999</v>
      </c>
      <c r="I3" s="79">
        <v>7.0339999999999998</v>
      </c>
      <c r="J3" s="79">
        <v>4.0049999999999999</v>
      </c>
      <c r="K3" s="79">
        <v>10.0153</v>
      </c>
      <c r="L3" s="79">
        <v>12.371</v>
      </c>
      <c r="M3" s="79">
        <v>0.35870000000000002</v>
      </c>
      <c r="N3" s="79">
        <v>0.74809999999999999</v>
      </c>
      <c r="O3" s="79">
        <v>20.260999999999999</v>
      </c>
      <c r="P3" s="79">
        <v>5.7986000000000004</v>
      </c>
      <c r="Q3" s="79">
        <v>7.6848999999999998</v>
      </c>
      <c r="R3" s="383">
        <v>4.5309999999999997</v>
      </c>
      <c r="S3" s="383">
        <v>17.0336</v>
      </c>
      <c r="T3" s="383">
        <v>28.0427</v>
      </c>
      <c r="U3" s="19">
        <f>(S3+1.3588)/2.7414</f>
        <v>6.709126723571897</v>
      </c>
      <c r="V3" s="19">
        <v>6.8422999999999998</v>
      </c>
      <c r="W3" s="19"/>
      <c r="X3" s="19"/>
      <c r="Y3" s="19"/>
      <c r="Z3" s="383">
        <v>7.0439999999999996</v>
      </c>
      <c r="AA3" s="383">
        <v>5.1140999999999996</v>
      </c>
      <c r="AB3" s="383">
        <v>16.773900000000001</v>
      </c>
      <c r="AC3" s="383">
        <v>12.337999999999999</v>
      </c>
      <c r="AD3" s="383">
        <v>0.24410000000000001</v>
      </c>
      <c r="AE3" s="383">
        <v>0.63719999999999999</v>
      </c>
      <c r="AF3" s="383">
        <v>20.213999999999999</v>
      </c>
      <c r="AG3" s="383">
        <v>8.0002999999999993</v>
      </c>
      <c r="AH3" s="383">
        <v>10.6656</v>
      </c>
      <c r="AI3" s="384">
        <v>4.5140000000000002</v>
      </c>
      <c r="AJ3" s="384">
        <v>14.6303</v>
      </c>
      <c r="AK3" s="384">
        <v>23.997199999999999</v>
      </c>
      <c r="AL3" s="16">
        <f>(AJ3+1.3588)/2.7414</f>
        <v>5.8324578682425043</v>
      </c>
      <c r="AM3" s="16">
        <v>5.9390999999999998</v>
      </c>
      <c r="AN3" s="16"/>
      <c r="AO3" s="16"/>
      <c r="AP3" s="16"/>
      <c r="AQ3" s="384">
        <v>7.0380000000000003</v>
      </c>
      <c r="AR3" s="384">
        <v>4.7809999999999997</v>
      </c>
      <c r="AS3" s="384">
        <v>12.8085</v>
      </c>
      <c r="AT3" s="384">
        <v>12.334</v>
      </c>
      <c r="AU3" s="384">
        <v>0.3397</v>
      </c>
      <c r="AV3" s="384">
        <v>0.80810000000000004</v>
      </c>
      <c r="AW3" s="384">
        <v>20.218</v>
      </c>
      <c r="AX3" s="384">
        <v>6.6749999999999998</v>
      </c>
      <c r="AY3" s="384">
        <v>9.2388999999999992</v>
      </c>
      <c r="AZ3" s="386">
        <v>4.5209999999999999</v>
      </c>
      <c r="BA3" s="386">
        <v>14.478400000000001</v>
      </c>
      <c r="BB3" s="386">
        <v>23.8977</v>
      </c>
      <c r="BC3" s="18">
        <f>(BA3+1.3588)/2.7414</f>
        <v>5.7770482235354201</v>
      </c>
      <c r="BD3" s="18">
        <v>5.8818999999999999</v>
      </c>
      <c r="BE3" s="18"/>
      <c r="BF3" s="18"/>
      <c r="BG3" s="18"/>
      <c r="BH3" s="386">
        <v>7.0449999999999999</v>
      </c>
      <c r="BI3" s="386">
        <v>7.0030999999999999</v>
      </c>
      <c r="BJ3" s="386">
        <v>20.742100000000001</v>
      </c>
      <c r="BK3" s="386">
        <v>12.331</v>
      </c>
      <c r="BL3" s="386">
        <v>0.32490000000000002</v>
      </c>
      <c r="BM3" s="386">
        <v>0.84909999999999997</v>
      </c>
      <c r="BN3" s="386">
        <v>20.288</v>
      </c>
      <c r="BO3" s="386">
        <v>7.9530000000000003</v>
      </c>
      <c r="BP3" s="386">
        <v>10.4762</v>
      </c>
      <c r="BQ3" s="385">
        <v>4.4610000000000003</v>
      </c>
      <c r="BR3" s="385">
        <v>1.2383999999999999</v>
      </c>
      <c r="BS3" s="385">
        <v>2.2776999999999998</v>
      </c>
      <c r="BT3" s="23">
        <f>(BR3+1.3588)/2.7414</f>
        <v>0.94739913912599394</v>
      </c>
      <c r="BU3" s="23">
        <v>0.90600000000000003</v>
      </c>
      <c r="BV3" s="23"/>
      <c r="BW3" s="23"/>
      <c r="BX3" s="23"/>
      <c r="BY3" s="385">
        <v>7.0510000000000002</v>
      </c>
      <c r="BZ3" s="385">
        <v>7.7702999999999998</v>
      </c>
      <c r="CA3" s="385">
        <v>24.9834</v>
      </c>
      <c r="CB3" s="385">
        <v>12.340999999999999</v>
      </c>
      <c r="CC3" s="385">
        <v>0.66080000000000005</v>
      </c>
      <c r="CD3" s="385">
        <v>1.3848</v>
      </c>
      <c r="CE3" s="385">
        <v>20.224</v>
      </c>
      <c r="CF3" s="385">
        <v>7.6684000000000001</v>
      </c>
      <c r="CG3" s="385">
        <v>10.228</v>
      </c>
      <c r="CI3" s="12">
        <f t="shared" ref="CI3:CI34" si="0">U3</f>
        <v>6.709126723571897</v>
      </c>
      <c r="CJ3" s="12">
        <f t="shared" ref="CJ3:CJ34" si="1">AL3</f>
        <v>5.8324578682425043</v>
      </c>
      <c r="CK3" s="12">
        <f t="shared" ref="CK3:CK34" si="2">BC3</f>
        <v>5.7770482235354201</v>
      </c>
      <c r="CL3" s="12">
        <f>AVERAGE(CI3:CK3)</f>
        <v>6.1062109384499408</v>
      </c>
      <c r="CM3">
        <f>STDEV(CI3:CK3)</f>
        <v>0.52287488000817195</v>
      </c>
      <c r="CN3">
        <v>3</v>
      </c>
      <c r="CO3">
        <v>3.18</v>
      </c>
      <c r="CP3" s="12">
        <f>(CO3*CM3)/SQRT(CN3)</f>
        <v>0.95998460966617227</v>
      </c>
      <c r="CR3">
        <f t="shared" ref="CR3:CR29" si="3">(G3+U3+AL3+BC3)/4</f>
        <v>6.0797676369738092</v>
      </c>
      <c r="CS3">
        <f t="shared" ref="CS3:CS29" si="4">SQRT((1/3)*(((G3-CR3)^2)+((U3-CR3)^2)+((AL3-CR3)^2)+((BC3-CR3)^2)))</f>
        <v>0.43018881846719798</v>
      </c>
      <c r="CT3">
        <f>SQRT((1/2)*(((CI3-CL3)^2)+((CJ3-CL3)^2)+((CK3-CL3)^2)))</f>
        <v>0.52287488000817195</v>
      </c>
      <c r="CU3" s="12">
        <f>CL3-CR3</f>
        <v>2.6443301476131609E-2</v>
      </c>
      <c r="CV3" s="12">
        <f t="shared" ref="CV3:CV29" si="5">CU3/SQRT(((CT3^2)/3)+((CS3^2)/1))</f>
        <v>5.0316180424063398E-2</v>
      </c>
      <c r="CW3">
        <f>(CX3+CY3)-2</f>
        <v>2</v>
      </c>
      <c r="CX3">
        <v>3</v>
      </c>
      <c r="CY3">
        <v>1</v>
      </c>
      <c r="CZ3">
        <v>2.92</v>
      </c>
      <c r="DA3" t="s">
        <v>211</v>
      </c>
      <c r="DL3" s="10" t="s">
        <v>883</v>
      </c>
      <c r="DM3" t="s">
        <v>41</v>
      </c>
      <c r="DN3">
        <f>F3</f>
        <v>24.321999999999999</v>
      </c>
      <c r="DO3" s="17">
        <f>(DN3+1.55)/4.4716</f>
        <v>5.7858484658735136</v>
      </c>
      <c r="DQ3" s="12">
        <v>0.94739913912599394</v>
      </c>
      <c r="DR3" s="12">
        <v>6.0004377325454143</v>
      </c>
      <c r="DS3" s="12">
        <f>(LN(C3)*-0.694)+5.8513</f>
        <v>5.8285438629608448</v>
      </c>
      <c r="DU3" s="12">
        <v>6.0004377325454143</v>
      </c>
      <c r="DV3">
        <f>LN(C3)</f>
        <v>3.278982282299097E-2</v>
      </c>
      <c r="DW3">
        <f>DV3*-0.694</f>
        <v>-2.2756137039155733E-2</v>
      </c>
      <c r="DX3">
        <f>DW3+5.8513</f>
        <v>5.8285438629608448</v>
      </c>
      <c r="EG3">
        <f>((G3-U3)+(G3-AL3)+(G3-BC3))/3</f>
        <v>-0.10577320590452614</v>
      </c>
    </row>
    <row r="4" spans="1:137">
      <c r="A4" s="256" t="s">
        <v>41</v>
      </c>
      <c r="B4" s="14">
        <v>44425</v>
      </c>
      <c r="C4" s="12">
        <f>1562/60</f>
        <v>26.033333333333335</v>
      </c>
      <c r="D4" s="79">
        <v>4.5010000000000003</v>
      </c>
      <c r="E4" s="79">
        <v>6.3659999999999997</v>
      </c>
      <c r="F4" s="79">
        <v>11.150600000000001</v>
      </c>
      <c r="G4" s="17">
        <f t="shared" ref="G4:G9" si="6">(E4+1.3588)/2.7414</f>
        <v>2.8178303056832275</v>
      </c>
      <c r="H4" s="17">
        <v>2.8331</v>
      </c>
      <c r="I4" s="79">
        <v>6.9909999999999997</v>
      </c>
      <c r="J4" s="79">
        <v>1.196</v>
      </c>
      <c r="K4" s="79">
        <v>3.1274999999999999</v>
      </c>
      <c r="L4" s="79">
        <v>12.337999999999999</v>
      </c>
      <c r="M4" s="79">
        <v>0.35730000000000001</v>
      </c>
      <c r="N4" s="79">
        <v>0.8095</v>
      </c>
      <c r="O4" s="79">
        <v>19.347999999999999</v>
      </c>
      <c r="P4" s="79">
        <v>0.44690000000000002</v>
      </c>
      <c r="Q4" s="79">
        <v>1.6177999999999999</v>
      </c>
      <c r="R4" s="383">
        <v>4.5110000000000001</v>
      </c>
      <c r="S4" s="383">
        <v>8.8336000000000006</v>
      </c>
      <c r="T4" s="383">
        <v>14.331899999999999</v>
      </c>
      <c r="U4" s="19">
        <f t="shared" ref="U4:U9" si="7">(S4+1.3588)/2.7414</f>
        <v>3.7179543299044289</v>
      </c>
      <c r="V4" s="19">
        <v>3.7605</v>
      </c>
      <c r="W4" s="19"/>
      <c r="X4" s="19"/>
      <c r="Y4" s="19"/>
      <c r="Z4" s="383">
        <v>6.9909999999999997</v>
      </c>
      <c r="AA4" s="383">
        <v>0.97070000000000001</v>
      </c>
      <c r="AB4" s="383">
        <v>2.6482999999999999</v>
      </c>
      <c r="AC4" s="387" t="s">
        <v>47</v>
      </c>
      <c r="AI4" s="384">
        <v>4.6310000000000002</v>
      </c>
      <c r="AJ4" s="384">
        <v>6.8543000000000003</v>
      </c>
      <c r="AK4" s="384">
        <v>12.8543</v>
      </c>
      <c r="AL4" s="16">
        <f t="shared" ref="AL4:AL9" si="8">(AJ4+1.3588)/2.7414</f>
        <v>2.9959509739549137</v>
      </c>
      <c r="AM4" s="16">
        <v>3.0165999999999999</v>
      </c>
      <c r="AN4" s="16"/>
      <c r="AO4" s="16"/>
      <c r="AP4" s="16"/>
      <c r="AQ4" s="384">
        <v>7.2469999999999999</v>
      </c>
      <c r="AR4" s="384">
        <v>0.65890000000000004</v>
      </c>
      <c r="AS4" s="384">
        <v>3.2145000000000001</v>
      </c>
      <c r="AW4" s="384">
        <v>22.501000000000001</v>
      </c>
      <c r="AX4" s="384">
        <v>2.4725000000000001</v>
      </c>
      <c r="AY4" s="384">
        <v>3.7242999999999999</v>
      </c>
      <c r="AZ4" s="386">
        <v>4.6280000000000001</v>
      </c>
      <c r="BA4" s="386">
        <v>7.3832000000000004</v>
      </c>
      <c r="BB4" s="386">
        <v>12.7441</v>
      </c>
      <c r="BC4" s="18">
        <f t="shared" ref="BC4:BC9" si="9">(BA4+1.3588)/2.7414</f>
        <v>3.1888815933464656</v>
      </c>
      <c r="BD4" s="18">
        <v>2.3708</v>
      </c>
      <c r="BE4" s="18"/>
      <c r="BF4" s="18"/>
      <c r="BG4" s="18"/>
      <c r="BH4" s="386">
        <v>7.4710000000000001</v>
      </c>
      <c r="BI4" s="386">
        <v>4.5499999999999999E-2</v>
      </c>
      <c r="BJ4" s="386">
        <v>0.32190000000000002</v>
      </c>
      <c r="BK4" s="386">
        <v>12.054</v>
      </c>
      <c r="BL4" s="386">
        <v>0.12139999999999999</v>
      </c>
      <c r="BM4" s="386">
        <v>0.55589999999999995</v>
      </c>
      <c r="BN4" s="386">
        <v>22.331</v>
      </c>
      <c r="BO4" s="386">
        <v>2.4481000000000002</v>
      </c>
      <c r="BP4" s="386">
        <v>3.7797999999999998</v>
      </c>
      <c r="BQ4" s="385">
        <v>4.2249999999999996</v>
      </c>
      <c r="BR4" s="385">
        <v>5.7099999999999998E-2</v>
      </c>
      <c r="BS4" s="385">
        <v>0.65959999999999996</v>
      </c>
      <c r="BT4" s="23">
        <f t="shared" ref="BT4" si="10">(BR4+1.3588)/2.7414</f>
        <v>0.51648792587728898</v>
      </c>
      <c r="BU4" s="23">
        <v>0.46200000000000002</v>
      </c>
      <c r="BV4" s="23"/>
      <c r="BW4" s="23"/>
      <c r="BX4" s="23"/>
      <c r="BY4" s="385">
        <v>7.2380000000000004</v>
      </c>
      <c r="BZ4" s="385">
        <v>1.2676000000000001</v>
      </c>
      <c r="CA4" s="385">
        <v>4.2035999999999998</v>
      </c>
      <c r="CE4" s="385">
        <v>22.280999999999999</v>
      </c>
      <c r="CF4" s="385">
        <v>3.0499999999999999E-2</v>
      </c>
      <c r="CG4" s="385">
        <v>0.47799000000000003</v>
      </c>
      <c r="CI4" s="12">
        <f t="shared" si="0"/>
        <v>3.7179543299044289</v>
      </c>
      <c r="CJ4" s="12">
        <f t="shared" si="1"/>
        <v>2.9959509739549137</v>
      </c>
      <c r="CK4" s="12">
        <f t="shared" si="2"/>
        <v>3.1888815933464656</v>
      </c>
      <c r="CL4" s="12">
        <f t="shared" ref="CL4:CL34" si="11">(U4+AL4+BC4)/3</f>
        <v>3.3009289657352689</v>
      </c>
      <c r="CM4">
        <f t="shared" ref="CM4:CM26" si="12">STDEV(CI4:CK4)</f>
        <v>0.37381569221344496</v>
      </c>
      <c r="CN4">
        <v>3</v>
      </c>
      <c r="CO4">
        <v>3.18</v>
      </c>
      <c r="CP4" s="12">
        <f t="shared" ref="CP4:CP26" si="13">(CO4*CM4)/SQRT(CN4)</f>
        <v>0.68631583787502926</v>
      </c>
      <c r="CR4">
        <f t="shared" si="3"/>
        <v>3.180154300722259</v>
      </c>
      <c r="CS4">
        <f t="shared" si="4"/>
        <v>0.38923625216488283</v>
      </c>
      <c r="CT4">
        <f t="shared" ref="CT4:CT34" si="14">SQRT((1/2)*(((CI4-CL4)^2)+((CJ4-CL4)^2)+((CK4-CL4)^2)))</f>
        <v>0.37381569221344496</v>
      </c>
      <c r="CU4" s="12">
        <f t="shared" ref="CU4:CU29" si="15">CL4-CR4</f>
        <v>0.12077466501300993</v>
      </c>
      <c r="CV4" s="12">
        <f t="shared" si="5"/>
        <v>0.27136314768317987</v>
      </c>
      <c r="CW4">
        <f t="shared" ref="CW4:CW34" si="16">(CX4+CY4)-2</f>
        <v>2</v>
      </c>
      <c r="CX4">
        <v>3</v>
      </c>
      <c r="CY4">
        <v>1</v>
      </c>
      <c r="CZ4">
        <v>2.92</v>
      </c>
      <c r="DA4" t="s">
        <v>211</v>
      </c>
      <c r="DM4" t="s">
        <v>41</v>
      </c>
      <c r="DN4">
        <f t="shared" ref="DN4:DN58" si="17">F4</f>
        <v>11.150600000000001</v>
      </c>
      <c r="DO4" s="17">
        <f t="shared" ref="DO4:DO9" si="18">(DN4+1.55)/4.4716</f>
        <v>2.8402808837999829</v>
      </c>
      <c r="DQ4" s="12">
        <v>0.51648792587728898</v>
      </c>
      <c r="DR4" s="12">
        <v>2.8178303056832275</v>
      </c>
      <c r="DS4" s="12">
        <f t="shared" ref="DS4:DS58" si="19">(LN(C4)*-0.694)+5.8513</f>
        <v>3.5892918288847939</v>
      </c>
      <c r="DU4" s="12">
        <v>2.8178303056832275</v>
      </c>
      <c r="EG4">
        <f t="shared" ref="EG4:EG58" si="20">((G4-U4)+(G4-AL4)+(G4-BC4))/3</f>
        <v>-0.48309866005204194</v>
      </c>
    </row>
    <row r="5" spans="1:137">
      <c r="A5" s="256" t="s">
        <v>41</v>
      </c>
      <c r="B5" s="14">
        <v>44426</v>
      </c>
      <c r="C5" s="12">
        <f>2995/60</f>
        <v>49.916666666666664</v>
      </c>
      <c r="D5" s="79">
        <v>4.6180000000000003</v>
      </c>
      <c r="E5" s="79">
        <v>5.9702000000000002</v>
      </c>
      <c r="F5" s="79">
        <v>12.1919</v>
      </c>
      <c r="G5" s="17">
        <f t="shared" si="6"/>
        <v>2.6734515211205956</v>
      </c>
      <c r="H5" s="17">
        <v>2.6842999999999999</v>
      </c>
      <c r="I5" s="79">
        <v>7.2309999999999999</v>
      </c>
      <c r="J5" s="79">
        <v>0.36170000000000002</v>
      </c>
      <c r="K5" s="79">
        <v>1.9078999999999999</v>
      </c>
      <c r="O5" s="79">
        <v>22.367999999999999</v>
      </c>
      <c r="P5" s="79">
        <v>0.95279999999999998</v>
      </c>
      <c r="Q5" s="79">
        <v>2.3069999999999999</v>
      </c>
      <c r="R5" s="383">
        <v>4.6280000000000001</v>
      </c>
      <c r="S5" s="383">
        <v>8.9661000000000008</v>
      </c>
      <c r="T5" s="383">
        <v>17.093399999999999</v>
      </c>
      <c r="U5" s="19">
        <f t="shared" si="7"/>
        <v>3.7662872984606408</v>
      </c>
      <c r="V5" s="19">
        <v>3.8102999999999998</v>
      </c>
      <c r="W5" s="19"/>
      <c r="X5" s="19"/>
      <c r="Y5" s="19"/>
      <c r="Z5" s="383">
        <v>7.2409999999999997</v>
      </c>
      <c r="AA5" s="383">
        <v>0.2457</v>
      </c>
      <c r="AB5" s="383">
        <v>1.3564000000000001</v>
      </c>
      <c r="AF5" s="383">
        <v>22.538</v>
      </c>
      <c r="AG5" s="383">
        <v>1.8212999999999999</v>
      </c>
      <c r="AH5" s="383">
        <v>3.1907000000000001</v>
      </c>
      <c r="AI5" s="384">
        <v>4.6150000000000002</v>
      </c>
      <c r="AJ5" s="384">
        <v>7.4808000000000003</v>
      </c>
      <c r="AK5" s="384">
        <v>14.0831</v>
      </c>
      <c r="AL5" s="16">
        <f t="shared" si="8"/>
        <v>3.2244838403735319</v>
      </c>
      <c r="AM5" s="16">
        <v>2.7816999999999998</v>
      </c>
      <c r="AN5" s="16"/>
      <c r="AO5" s="16"/>
      <c r="AP5" s="16"/>
      <c r="AQ5" s="384">
        <v>7.2409999999999997</v>
      </c>
      <c r="AR5" s="384">
        <v>0.23119999999999999</v>
      </c>
      <c r="AS5" s="384">
        <v>1.2770999999999999</v>
      </c>
      <c r="AW5" s="384">
        <v>22.457999999999998</v>
      </c>
      <c r="AX5" s="384">
        <v>1.6498999999999999</v>
      </c>
      <c r="AY5" s="384">
        <v>2.6175000000000002</v>
      </c>
      <c r="AZ5" s="386">
        <v>4.617</v>
      </c>
      <c r="BA5" s="386">
        <v>7.7717000000000001</v>
      </c>
      <c r="BB5" s="386">
        <v>12.917299999999999</v>
      </c>
      <c r="BC5" s="18">
        <f t="shared" si="9"/>
        <v>3.3305975049244911</v>
      </c>
      <c r="BD5" s="18">
        <v>3.3614000000000002</v>
      </c>
      <c r="BE5" s="18"/>
      <c r="BF5" s="18"/>
      <c r="BG5" s="18"/>
      <c r="BH5" s="386">
        <v>7.23</v>
      </c>
      <c r="BI5" s="386">
        <v>0.31490000000000001</v>
      </c>
      <c r="BJ5" s="386">
        <v>1.6871</v>
      </c>
      <c r="BN5" s="386">
        <v>22.507000000000001</v>
      </c>
      <c r="BO5" s="386">
        <v>1.6469</v>
      </c>
      <c r="BP5" s="386">
        <v>3.1768999999999998</v>
      </c>
      <c r="BT5" s="23">
        <v>0</v>
      </c>
      <c r="BU5" s="23">
        <v>0.4662</v>
      </c>
      <c r="BV5" s="23"/>
      <c r="BW5" s="23"/>
      <c r="BX5" s="23"/>
      <c r="BY5" s="385">
        <v>7.2510000000000003</v>
      </c>
      <c r="BZ5" s="385">
        <v>0.37740000000000001</v>
      </c>
      <c r="CA5" s="385">
        <v>1.8210999999999999</v>
      </c>
      <c r="CE5" s="385">
        <v>22.411000000000001</v>
      </c>
      <c r="CF5" s="385">
        <v>3.6299999999999999E-2</v>
      </c>
      <c r="CG5" s="385">
        <v>0.44600000000000001</v>
      </c>
      <c r="CI5" s="12">
        <f t="shared" si="0"/>
        <v>3.7662872984606408</v>
      </c>
      <c r="CJ5" s="12">
        <f t="shared" si="1"/>
        <v>3.2244838403735319</v>
      </c>
      <c r="CK5" s="12">
        <f t="shared" si="2"/>
        <v>3.3305975049244911</v>
      </c>
      <c r="CL5" s="12">
        <f t="shared" si="11"/>
        <v>3.4404562145862214</v>
      </c>
      <c r="CM5">
        <f t="shared" si="12"/>
        <v>0.28712270698290765</v>
      </c>
      <c r="CN5">
        <v>3</v>
      </c>
      <c r="CO5">
        <v>3.18</v>
      </c>
      <c r="CP5" s="12">
        <f t="shared" si="13"/>
        <v>0.52714978349117381</v>
      </c>
      <c r="CR5">
        <f t="shared" si="3"/>
        <v>3.2487050412198148</v>
      </c>
      <c r="CS5">
        <f t="shared" si="4"/>
        <v>0.44948157084175283</v>
      </c>
      <c r="CT5">
        <f t="shared" si="14"/>
        <v>0.28712270698290765</v>
      </c>
      <c r="CU5" s="12">
        <f t="shared" si="15"/>
        <v>0.19175117336640657</v>
      </c>
      <c r="CV5" s="12">
        <f t="shared" si="5"/>
        <v>0.40025237109846845</v>
      </c>
      <c r="CW5">
        <f t="shared" si="16"/>
        <v>2</v>
      </c>
      <c r="CX5">
        <v>3</v>
      </c>
      <c r="CY5">
        <v>1</v>
      </c>
      <c r="CZ5">
        <v>2.92</v>
      </c>
      <c r="DA5" t="s">
        <v>211</v>
      </c>
      <c r="DM5" t="s">
        <v>41</v>
      </c>
      <c r="DN5">
        <f t="shared" si="17"/>
        <v>12.1919</v>
      </c>
      <c r="DO5" s="17">
        <f t="shared" si="18"/>
        <v>3.0731505501386533</v>
      </c>
      <c r="DQ5" s="12">
        <v>0</v>
      </c>
      <c r="DR5" s="12">
        <v>2.6734515211205956</v>
      </c>
      <c r="DS5" s="12">
        <f t="shared" si="19"/>
        <v>3.1375136658607508</v>
      </c>
      <c r="DU5" s="12">
        <v>2.6734515211205956</v>
      </c>
      <c r="EG5">
        <f t="shared" si="20"/>
        <v>-0.76700469346562572</v>
      </c>
    </row>
    <row r="6" spans="1:137">
      <c r="A6" s="256" t="s">
        <v>41</v>
      </c>
      <c r="B6" s="14">
        <v>44427</v>
      </c>
      <c r="C6" s="12">
        <f>4470/60</f>
        <v>74.5</v>
      </c>
      <c r="D6" s="79">
        <v>4.6180000000000003</v>
      </c>
      <c r="E6" s="79">
        <v>6.6925999999999997</v>
      </c>
      <c r="F6" s="79">
        <v>12.591799999999999</v>
      </c>
      <c r="G6" s="17">
        <f t="shared" si="6"/>
        <v>2.9369665134602756</v>
      </c>
      <c r="H6" s="17">
        <v>2.5604</v>
      </c>
      <c r="I6" s="79">
        <v>7.234</v>
      </c>
      <c r="J6" s="79">
        <v>1.1563000000000001</v>
      </c>
      <c r="K6" s="79">
        <v>3.7033999999999998</v>
      </c>
      <c r="L6" s="79">
        <v>12.914</v>
      </c>
      <c r="M6" s="79">
        <v>0.11509999999999999</v>
      </c>
      <c r="N6" s="79">
        <v>0.70940000000000003</v>
      </c>
      <c r="O6" s="79">
        <v>22.451000000000001</v>
      </c>
      <c r="P6" s="79">
        <v>1.3439000000000001</v>
      </c>
      <c r="Q6" s="79">
        <v>2.3066</v>
      </c>
      <c r="R6" s="383">
        <v>4.6180000000000003</v>
      </c>
      <c r="S6" s="383">
        <v>9.0543999999999993</v>
      </c>
      <c r="T6" s="383">
        <v>17.227</v>
      </c>
      <c r="U6" s="19">
        <f t="shared" si="7"/>
        <v>3.7984971182607423</v>
      </c>
      <c r="V6" s="19">
        <v>3.8435000000000001</v>
      </c>
      <c r="W6" s="19"/>
      <c r="X6" s="19"/>
      <c r="Y6" s="19"/>
      <c r="Z6" s="383">
        <v>7.2249999999999996</v>
      </c>
      <c r="AA6" s="383">
        <v>0.62170000000000003</v>
      </c>
      <c r="AB6" s="383">
        <v>3.3129</v>
      </c>
      <c r="AF6" s="383">
        <v>22.327999999999999</v>
      </c>
      <c r="AG6" s="383">
        <v>1.3904000000000001</v>
      </c>
      <c r="AH6" s="383">
        <v>2.6760999999999999</v>
      </c>
      <c r="AI6" s="384">
        <v>4.6210000000000004</v>
      </c>
      <c r="AJ6" s="384">
        <v>7.2431000000000001</v>
      </c>
      <c r="AK6" s="384">
        <v>13.480700000000001</v>
      </c>
      <c r="AL6" s="16">
        <f t="shared" si="8"/>
        <v>3.1377763186692933</v>
      </c>
      <c r="AM6" s="16">
        <v>3.1627999999999998</v>
      </c>
      <c r="AN6" s="16"/>
      <c r="AO6" s="16"/>
      <c r="AP6" s="16"/>
      <c r="AQ6" s="384">
        <v>7.2409999999999997</v>
      </c>
      <c r="AR6" s="384">
        <v>1.2171000000000001</v>
      </c>
      <c r="AS6" s="384">
        <v>3.5318999999999998</v>
      </c>
      <c r="AW6" s="384">
        <v>22.295000000000002</v>
      </c>
      <c r="AX6" s="384">
        <v>0.72960000000000003</v>
      </c>
      <c r="AY6" s="16">
        <v>1.7105999999999999</v>
      </c>
      <c r="AZ6" s="386">
        <v>4.6040000000000001</v>
      </c>
      <c r="BA6" s="386">
        <v>6.15</v>
      </c>
      <c r="BB6" s="386">
        <v>11.909599999999999</v>
      </c>
      <c r="BC6" s="18">
        <f t="shared" si="9"/>
        <v>2.7390384475085723</v>
      </c>
      <c r="BD6" s="18">
        <v>2.7519</v>
      </c>
      <c r="BE6" s="18"/>
      <c r="BF6" s="18"/>
      <c r="BG6" s="18"/>
      <c r="BH6" s="386">
        <v>7.2110000000000003</v>
      </c>
      <c r="BI6" s="386">
        <v>0.58160000000000001</v>
      </c>
      <c r="BJ6" s="386">
        <v>3.1187</v>
      </c>
      <c r="BN6" s="386">
        <v>22.440999999999999</v>
      </c>
      <c r="BO6" s="386">
        <v>1.2064999999999999</v>
      </c>
      <c r="BP6" s="386">
        <v>2.1400999999999999</v>
      </c>
      <c r="BT6" s="23">
        <v>0</v>
      </c>
      <c r="BU6" s="23">
        <v>0</v>
      </c>
      <c r="BV6" s="23"/>
      <c r="BW6" s="23"/>
      <c r="BX6" s="23"/>
      <c r="BY6" s="385">
        <v>7.2240000000000002</v>
      </c>
      <c r="BZ6" s="385">
        <v>1.0011000000000001</v>
      </c>
      <c r="CA6" s="385">
        <v>3.4658000000000002</v>
      </c>
      <c r="CE6" s="385">
        <v>22.544</v>
      </c>
      <c r="CF6" s="385">
        <v>3.3700000000000001E-2</v>
      </c>
      <c r="CG6" s="385">
        <v>0.31919999999999998</v>
      </c>
      <c r="CI6" s="12">
        <f t="shared" si="0"/>
        <v>3.7984971182607423</v>
      </c>
      <c r="CJ6" s="12">
        <f t="shared" si="1"/>
        <v>3.1377763186692933</v>
      </c>
      <c r="CK6" s="12">
        <f t="shared" si="2"/>
        <v>2.7390384475085723</v>
      </c>
      <c r="CL6" s="12">
        <f t="shared" si="11"/>
        <v>3.2251039614795354</v>
      </c>
      <c r="CM6">
        <f t="shared" si="12"/>
        <v>0.53510069767949942</v>
      </c>
      <c r="CN6">
        <v>3</v>
      </c>
      <c r="CO6">
        <v>3.18</v>
      </c>
      <c r="CP6" s="12">
        <f t="shared" si="13"/>
        <v>0.98243089127923355</v>
      </c>
      <c r="CR6">
        <f t="shared" si="3"/>
        <v>3.1530695994747209</v>
      </c>
      <c r="CS6">
        <f t="shared" si="4"/>
        <v>0.46004815147527633</v>
      </c>
      <c r="CT6">
        <f t="shared" si="14"/>
        <v>0.53510069767949642</v>
      </c>
      <c r="CU6" s="12">
        <f t="shared" si="15"/>
        <v>7.2034362004814501E-2</v>
      </c>
      <c r="CV6" s="12">
        <f t="shared" si="5"/>
        <v>0.12998938810278429</v>
      </c>
      <c r="CW6">
        <f t="shared" si="16"/>
        <v>2</v>
      </c>
      <c r="CX6">
        <v>3</v>
      </c>
      <c r="CY6">
        <v>1</v>
      </c>
      <c r="CZ6">
        <v>2.92</v>
      </c>
      <c r="DA6" t="s">
        <v>211</v>
      </c>
      <c r="DM6" t="s">
        <v>41</v>
      </c>
      <c r="DN6">
        <f t="shared" si="17"/>
        <v>12.591799999999999</v>
      </c>
      <c r="DO6" s="17">
        <f t="shared" si="18"/>
        <v>3.1625816262635302</v>
      </c>
      <c r="DQ6" s="12">
        <v>0</v>
      </c>
      <c r="DR6" s="12">
        <v>2.9369665134602756</v>
      </c>
      <c r="DS6" s="12">
        <f t="shared" si="19"/>
        <v>2.8596054069824537</v>
      </c>
      <c r="DU6" s="12">
        <v>2.9369665134602756</v>
      </c>
      <c r="EG6">
        <f t="shared" si="20"/>
        <v>-0.28813744801926039</v>
      </c>
    </row>
    <row r="7" spans="1:137">
      <c r="A7" s="256" t="s">
        <v>41</v>
      </c>
      <c r="B7" s="14">
        <v>44428</v>
      </c>
      <c r="C7" s="12">
        <f>5939/60</f>
        <v>98.983333333333334</v>
      </c>
      <c r="D7" s="79">
        <v>4.6109999999999998</v>
      </c>
      <c r="E7" s="79">
        <v>7.3836000000000004</v>
      </c>
      <c r="F7" s="79">
        <v>13.805899999999999</v>
      </c>
      <c r="G7" s="17">
        <f t="shared" si="6"/>
        <v>3.1890275041949367</v>
      </c>
      <c r="H7" s="17">
        <v>3.2155</v>
      </c>
      <c r="I7" s="79">
        <v>7.2679999999999998</v>
      </c>
      <c r="J7" s="79">
        <v>0.46100000000000002</v>
      </c>
      <c r="K7" s="79">
        <v>2.0979999999999999</v>
      </c>
      <c r="L7" s="79">
        <v>12.337999999999999</v>
      </c>
      <c r="M7" s="79">
        <v>0.1095</v>
      </c>
      <c r="N7" s="79">
        <v>0.73919999999999997</v>
      </c>
      <c r="O7" s="79">
        <v>22.457999999999998</v>
      </c>
      <c r="P7" s="79">
        <v>1.3446</v>
      </c>
      <c r="Q7" s="79">
        <v>2.0398000000000001</v>
      </c>
      <c r="R7" s="383">
        <v>4.6109999999999998</v>
      </c>
      <c r="S7" s="383">
        <v>7.6668000000000003</v>
      </c>
      <c r="T7" s="383">
        <v>16.200399999999998</v>
      </c>
      <c r="U7" s="19">
        <f t="shared" si="7"/>
        <v>3.2923323849128185</v>
      </c>
      <c r="V7" s="19">
        <v>3.3220000000000001</v>
      </c>
      <c r="W7" s="19"/>
      <c r="X7" s="19"/>
      <c r="Y7" s="19"/>
      <c r="Z7" s="383">
        <v>7.2080000000000002</v>
      </c>
      <c r="AA7" s="383">
        <v>0.42320000000000002</v>
      </c>
      <c r="AB7" s="383">
        <v>1.6914</v>
      </c>
      <c r="AF7" s="383">
        <v>22.390999999999998</v>
      </c>
      <c r="AG7" s="383">
        <v>1.4588000000000001</v>
      </c>
      <c r="AH7" s="383">
        <v>2.8016999999999999</v>
      </c>
      <c r="AI7" s="384">
        <v>4.6139999999999999</v>
      </c>
      <c r="AJ7" s="384">
        <v>8.7226999999999997</v>
      </c>
      <c r="AK7" s="384">
        <v>15.267300000000001</v>
      </c>
      <c r="AL7" s="16">
        <f t="shared" si="8"/>
        <v>3.6775005471656819</v>
      </c>
      <c r="AM7" s="16">
        <v>3.7187999999999999</v>
      </c>
      <c r="AN7" s="16"/>
      <c r="AO7" s="16"/>
      <c r="AP7" s="16"/>
      <c r="AQ7" s="384">
        <v>7.258</v>
      </c>
      <c r="AR7" s="384">
        <v>0.45140000000000002</v>
      </c>
      <c r="AS7" s="384">
        <v>2.0796000000000001</v>
      </c>
      <c r="AW7" s="384">
        <v>22.370999999999999</v>
      </c>
      <c r="AX7" s="384">
        <v>1.0354000000000001</v>
      </c>
      <c r="AY7" s="384">
        <v>2.4420000000000002</v>
      </c>
      <c r="AZ7" s="386">
        <v>4.6050000000000004</v>
      </c>
      <c r="BA7" s="386">
        <v>6.8048999999999999</v>
      </c>
      <c r="BB7" s="386">
        <v>13.5967</v>
      </c>
      <c r="BC7" s="18">
        <f t="shared" si="9"/>
        <v>2.977930984168673</v>
      </c>
      <c r="BD7" s="18">
        <v>2.9981</v>
      </c>
      <c r="BE7" s="18"/>
      <c r="BF7" s="18"/>
      <c r="BG7" s="18"/>
      <c r="BH7" s="386">
        <v>7.2409999999999997</v>
      </c>
      <c r="BI7" s="386">
        <v>0.38990000000000002</v>
      </c>
      <c r="BJ7" s="386">
        <v>2.1741999999999999</v>
      </c>
      <c r="BN7" s="386">
        <v>22.550999999999998</v>
      </c>
      <c r="BO7" s="386">
        <v>0.17879999999999999</v>
      </c>
      <c r="BP7" s="386">
        <v>1.0953999999999999</v>
      </c>
      <c r="BT7" s="23">
        <v>0</v>
      </c>
      <c r="BU7" s="23">
        <v>0</v>
      </c>
      <c r="BV7" s="23"/>
      <c r="BW7" s="23"/>
      <c r="BX7" s="23"/>
      <c r="BY7" s="385">
        <v>7.2309999999999999</v>
      </c>
      <c r="BZ7" s="385">
        <v>0.49230000000000002</v>
      </c>
      <c r="CA7" s="385">
        <v>1.9454</v>
      </c>
      <c r="CI7" s="12">
        <f t="shared" si="0"/>
        <v>3.2923323849128185</v>
      </c>
      <c r="CJ7" s="12">
        <f t="shared" si="1"/>
        <v>3.6775005471656819</v>
      </c>
      <c r="CK7" s="12">
        <f t="shared" si="2"/>
        <v>2.977930984168673</v>
      </c>
      <c r="CL7" s="12">
        <f t="shared" si="11"/>
        <v>3.3159213054157242</v>
      </c>
      <c r="CM7">
        <f t="shared" si="12"/>
        <v>0.35038082317076913</v>
      </c>
      <c r="CN7">
        <v>3</v>
      </c>
      <c r="CO7">
        <v>3.18</v>
      </c>
      <c r="CP7" s="12">
        <f t="shared" si="13"/>
        <v>0.64329003099335347</v>
      </c>
      <c r="CR7">
        <f t="shared" si="3"/>
        <v>3.2841978551105275</v>
      </c>
      <c r="CS7">
        <f t="shared" si="4"/>
        <v>0.29303581697058079</v>
      </c>
      <c r="CT7">
        <f t="shared" si="14"/>
        <v>0.35038082317076913</v>
      </c>
      <c r="CU7" s="12">
        <f t="shared" si="15"/>
        <v>3.1723450305196632E-2</v>
      </c>
      <c r="CV7" s="12">
        <f t="shared" si="5"/>
        <v>8.9091053621087296E-2</v>
      </c>
      <c r="CW7">
        <f t="shared" si="16"/>
        <v>2</v>
      </c>
      <c r="CX7">
        <v>3</v>
      </c>
      <c r="CY7">
        <v>1</v>
      </c>
      <c r="CZ7">
        <v>2.92</v>
      </c>
      <c r="DA7" t="s">
        <v>211</v>
      </c>
      <c r="DM7" t="s">
        <v>41</v>
      </c>
      <c r="DN7">
        <f t="shared" si="17"/>
        <v>13.805899999999999</v>
      </c>
      <c r="DO7" s="17">
        <f t="shared" si="18"/>
        <v>3.4340951784596121</v>
      </c>
      <c r="DQ7" s="12">
        <v>0</v>
      </c>
      <c r="DR7" s="12">
        <v>3.1890275041949367</v>
      </c>
      <c r="DS7" s="12">
        <f t="shared" si="19"/>
        <v>2.662403668859131</v>
      </c>
      <c r="DU7" s="12">
        <v>3.1890275041949367</v>
      </c>
      <c r="EG7">
        <f t="shared" si="20"/>
        <v>-0.12689380122078772</v>
      </c>
    </row>
    <row r="8" spans="1:137">
      <c r="A8" s="256" t="s">
        <v>41</v>
      </c>
      <c r="B8" s="14">
        <v>44431</v>
      </c>
      <c r="C8" s="12">
        <f>10327/60</f>
        <v>172.11666666666667</v>
      </c>
      <c r="D8" s="79">
        <v>4.6079999999999997</v>
      </c>
      <c r="E8" s="79">
        <v>5.6631</v>
      </c>
      <c r="F8" s="79">
        <v>11.908899999999999</v>
      </c>
      <c r="G8" s="17">
        <f t="shared" si="6"/>
        <v>2.5614284672065368</v>
      </c>
      <c r="H8" s="17">
        <v>2.5689000000000002</v>
      </c>
      <c r="I8" s="125" t="s">
        <v>321</v>
      </c>
      <c r="O8" s="79">
        <v>22.474</v>
      </c>
      <c r="P8" s="79">
        <v>0.39989999999999998</v>
      </c>
      <c r="Q8" s="79">
        <v>0.99060000000000004</v>
      </c>
      <c r="R8" s="383">
        <v>4.6109999999999998</v>
      </c>
      <c r="S8" s="383">
        <v>7.1237000000000004</v>
      </c>
      <c r="T8" s="383">
        <v>14.809699999999999</v>
      </c>
      <c r="U8" s="19">
        <f t="shared" si="7"/>
        <v>3.0942219304005252</v>
      </c>
      <c r="V8" s="19">
        <v>3.1179000000000001</v>
      </c>
      <c r="W8" s="19"/>
      <c r="X8" s="19"/>
      <c r="Y8" s="19"/>
      <c r="Z8" s="383">
        <v>7.298</v>
      </c>
      <c r="AA8" s="383">
        <v>0.20030000000000001</v>
      </c>
      <c r="AB8" s="383">
        <v>1.0313000000000001</v>
      </c>
      <c r="AF8" s="387" t="s">
        <v>48</v>
      </c>
      <c r="AI8" s="384">
        <v>4.6150000000000002</v>
      </c>
      <c r="AJ8" s="384">
        <v>8.8701000000000008</v>
      </c>
      <c r="AK8" s="384">
        <v>15.3146</v>
      </c>
      <c r="AL8" s="16">
        <f t="shared" si="8"/>
        <v>3.7312686948274609</v>
      </c>
      <c r="AM8" s="16">
        <v>3.7742</v>
      </c>
      <c r="AN8" s="16"/>
      <c r="AO8" s="16"/>
      <c r="AP8" s="16"/>
      <c r="AW8" s="384">
        <v>22.350999999999999</v>
      </c>
      <c r="AX8" s="384">
        <v>0.28410000000000002</v>
      </c>
      <c r="AY8" s="384">
        <v>1.2088000000000001</v>
      </c>
      <c r="AZ8" s="386">
        <v>4.6109999999999998</v>
      </c>
      <c r="BA8" s="386">
        <v>8.6967999999999996</v>
      </c>
      <c r="BB8" s="386">
        <v>15.0189</v>
      </c>
      <c r="BC8" s="18">
        <f t="shared" si="9"/>
        <v>3.6680528197271465</v>
      </c>
      <c r="BD8" s="18">
        <v>3.7090999999999998</v>
      </c>
      <c r="BE8" s="18"/>
      <c r="BF8" s="18"/>
      <c r="BG8" s="18"/>
      <c r="BH8" s="386">
        <v>7.2709999999999999</v>
      </c>
      <c r="BI8" s="386">
        <v>0.49320000000000003</v>
      </c>
      <c r="BJ8" s="386">
        <v>1.8834</v>
      </c>
      <c r="BN8" s="386">
        <v>22.388000000000002</v>
      </c>
      <c r="BO8" s="386">
        <v>0.33040000000000003</v>
      </c>
      <c r="BP8" s="386">
        <v>0.88319999999999999</v>
      </c>
      <c r="BT8" s="23">
        <v>0</v>
      </c>
      <c r="BU8" s="23">
        <v>0.4556</v>
      </c>
      <c r="BV8" s="23"/>
      <c r="BW8" s="23"/>
      <c r="BX8" s="23"/>
      <c r="BY8" s="385">
        <v>7.258</v>
      </c>
      <c r="BZ8" s="385">
        <v>0.13619999999999999</v>
      </c>
      <c r="CA8" s="385">
        <v>0.8448</v>
      </c>
      <c r="CI8" s="12">
        <f t="shared" si="0"/>
        <v>3.0942219304005252</v>
      </c>
      <c r="CJ8" s="12">
        <f t="shared" si="1"/>
        <v>3.7312686948274609</v>
      </c>
      <c r="CK8" s="12">
        <f t="shared" si="2"/>
        <v>3.6680528197271465</v>
      </c>
      <c r="CL8" s="12">
        <f t="shared" si="11"/>
        <v>3.4978478149850445</v>
      </c>
      <c r="CM8">
        <f t="shared" si="12"/>
        <v>0.3509764276217866</v>
      </c>
      <c r="CN8">
        <v>3</v>
      </c>
      <c r="CO8">
        <v>3.18</v>
      </c>
      <c r="CP8" s="12">
        <f t="shared" si="13"/>
        <v>0.64438354519395247</v>
      </c>
      <c r="CR8">
        <f t="shared" si="3"/>
        <v>3.2637429780404172</v>
      </c>
      <c r="CS8">
        <f t="shared" si="4"/>
        <v>0.54894741753734067</v>
      </c>
      <c r="CT8">
        <f t="shared" si="14"/>
        <v>0.3509764276217866</v>
      </c>
      <c r="CU8" s="12">
        <f t="shared" si="15"/>
        <v>0.23410483694462725</v>
      </c>
      <c r="CV8" s="12">
        <f t="shared" si="5"/>
        <v>0.40007415406335001</v>
      </c>
      <c r="CW8">
        <f t="shared" si="16"/>
        <v>2</v>
      </c>
      <c r="CX8">
        <v>3</v>
      </c>
      <c r="CY8">
        <v>1</v>
      </c>
      <c r="CZ8">
        <v>2.92</v>
      </c>
      <c r="DA8" t="s">
        <v>211</v>
      </c>
      <c r="DM8" t="s">
        <v>41</v>
      </c>
      <c r="DN8">
        <f t="shared" si="17"/>
        <v>11.908899999999999</v>
      </c>
      <c r="DO8" s="17">
        <f t="shared" si="18"/>
        <v>3.0098622417031939</v>
      </c>
      <c r="DQ8" s="12">
        <v>0</v>
      </c>
      <c r="DR8" s="12">
        <v>2.5614284672065368</v>
      </c>
      <c r="DS8" s="12">
        <f t="shared" si="19"/>
        <v>2.2784682562341843</v>
      </c>
      <c r="DU8" s="12">
        <v>2.5614284672065368</v>
      </c>
      <c r="EG8">
        <f t="shared" si="20"/>
        <v>-0.93641934777850733</v>
      </c>
    </row>
    <row r="9" spans="1:137">
      <c r="A9" s="256" t="s">
        <v>41</v>
      </c>
      <c r="B9" s="14">
        <v>44432</v>
      </c>
      <c r="C9" s="12">
        <f>11700/60</f>
        <v>195</v>
      </c>
      <c r="D9" s="79">
        <v>4.5910000000000002</v>
      </c>
      <c r="E9" s="79">
        <v>6.617</v>
      </c>
      <c r="F9" s="79">
        <v>12.4856</v>
      </c>
      <c r="G9" s="17">
        <f t="shared" si="6"/>
        <v>2.9093893630991463</v>
      </c>
      <c r="H9" s="17">
        <v>2.9274</v>
      </c>
      <c r="I9" s="79">
        <v>7.218</v>
      </c>
      <c r="J9" s="79">
        <v>0.60009999999999997</v>
      </c>
      <c r="K9" s="79">
        <v>3.0299</v>
      </c>
      <c r="L9" s="125" t="s">
        <v>321</v>
      </c>
      <c r="O9" s="79">
        <v>22.338000000000001</v>
      </c>
      <c r="P9" s="125" t="s">
        <v>49</v>
      </c>
      <c r="R9" s="383">
        <v>4.6109999999999998</v>
      </c>
      <c r="S9" s="383">
        <v>7.5655000000000001</v>
      </c>
      <c r="T9" s="383">
        <v>13.956099999999999</v>
      </c>
      <c r="U9" s="19">
        <f t="shared" si="7"/>
        <v>3.2553804625373899</v>
      </c>
      <c r="V9" s="19">
        <v>3.2839</v>
      </c>
      <c r="W9" s="19"/>
      <c r="X9" s="19"/>
      <c r="Y9" s="19"/>
      <c r="Z9" s="383">
        <v>7.2240000000000002</v>
      </c>
      <c r="AA9" s="383">
        <v>1.3581000000000001</v>
      </c>
      <c r="AB9" s="383">
        <v>4.4124999999999996</v>
      </c>
      <c r="AF9" s="383">
        <v>22.420999999999999</v>
      </c>
      <c r="AG9" s="383">
        <v>0.17349999999999999</v>
      </c>
      <c r="AH9" s="383">
        <v>0.58550000000000002</v>
      </c>
      <c r="AI9" s="384">
        <v>4.6070000000000002</v>
      </c>
      <c r="AJ9" s="384">
        <v>6.9425999999999997</v>
      </c>
      <c r="AK9" s="384">
        <v>14.1175</v>
      </c>
      <c r="AL9" s="16">
        <f t="shared" si="8"/>
        <v>3.0281607937550152</v>
      </c>
      <c r="AM9" s="16">
        <v>3.0497999999999998</v>
      </c>
      <c r="AN9" s="16"/>
      <c r="AO9" s="16"/>
      <c r="AP9" s="16"/>
      <c r="AQ9" s="384">
        <v>7.2240000000000002</v>
      </c>
      <c r="AR9" s="384">
        <v>0.71199999999999997</v>
      </c>
      <c r="AS9" s="384">
        <v>2.9398</v>
      </c>
      <c r="AW9" s="384">
        <v>22.481000000000002</v>
      </c>
      <c r="AX9" s="384">
        <v>5.5100000000000003E-2</v>
      </c>
      <c r="AY9" s="384">
        <v>0.58199999999999996</v>
      </c>
      <c r="AZ9" s="386">
        <v>4.5949999999999998</v>
      </c>
      <c r="BA9" s="386">
        <v>7.6204999999999998</v>
      </c>
      <c r="BB9" s="386">
        <v>15.013199999999999</v>
      </c>
      <c r="BC9" s="18">
        <f t="shared" si="9"/>
        <v>3.2754432042022326</v>
      </c>
      <c r="BD9" s="18">
        <v>3.3046000000000002</v>
      </c>
      <c r="BE9" s="18"/>
      <c r="BF9" s="18"/>
      <c r="BG9" s="18"/>
      <c r="BH9" s="386">
        <v>7.258</v>
      </c>
      <c r="BI9" s="386">
        <v>0.63660000000000005</v>
      </c>
      <c r="BJ9" s="386">
        <v>2.3723000000000001</v>
      </c>
      <c r="BN9" s="386">
        <v>22.164999999999999</v>
      </c>
      <c r="BO9" s="389" t="s">
        <v>50</v>
      </c>
      <c r="BT9" s="23">
        <v>0</v>
      </c>
      <c r="BU9" s="23">
        <v>0.4587</v>
      </c>
      <c r="BV9" s="23"/>
      <c r="BW9" s="23"/>
      <c r="BX9" s="23"/>
      <c r="BY9" s="385">
        <v>7.2140000000000004</v>
      </c>
      <c r="BZ9" s="385">
        <v>1.2222999999999999</v>
      </c>
      <c r="CA9" s="385">
        <v>4.3079999999999998</v>
      </c>
      <c r="CI9" s="12">
        <f t="shared" si="0"/>
        <v>3.2553804625373899</v>
      </c>
      <c r="CJ9" s="12">
        <f t="shared" si="1"/>
        <v>3.0281607937550152</v>
      </c>
      <c r="CK9" s="12">
        <f t="shared" si="2"/>
        <v>3.2754432042022326</v>
      </c>
      <c r="CL9" s="12">
        <f t="shared" si="11"/>
        <v>3.1863281534982129</v>
      </c>
      <c r="CM9">
        <f t="shared" si="12"/>
        <v>0.13734377913425147</v>
      </c>
      <c r="CN9">
        <v>3</v>
      </c>
      <c r="CO9">
        <v>3.18</v>
      </c>
      <c r="CP9" s="12">
        <f t="shared" si="13"/>
        <v>0.25215958777788433</v>
      </c>
      <c r="CR9">
        <f t="shared" si="3"/>
        <v>3.1170934558984462</v>
      </c>
      <c r="CS9">
        <f t="shared" si="4"/>
        <v>0.17818337703475556</v>
      </c>
      <c r="CT9">
        <f t="shared" si="14"/>
        <v>0.13734377913425147</v>
      </c>
      <c r="CU9" s="12">
        <f t="shared" si="15"/>
        <v>6.9234697599766637E-2</v>
      </c>
      <c r="CV9" s="12">
        <f t="shared" si="5"/>
        <v>0.35499331458836847</v>
      </c>
      <c r="CW9">
        <f t="shared" si="16"/>
        <v>2</v>
      </c>
      <c r="CX9">
        <v>3</v>
      </c>
      <c r="CY9">
        <v>1</v>
      </c>
      <c r="CZ9">
        <v>2.92</v>
      </c>
      <c r="DA9" t="s">
        <v>211</v>
      </c>
      <c r="DM9" t="s">
        <v>41</v>
      </c>
      <c r="DN9">
        <f t="shared" si="17"/>
        <v>12.4856</v>
      </c>
      <c r="DO9" s="17">
        <f t="shared" si="18"/>
        <v>3.1388317380803294</v>
      </c>
      <c r="DQ9" s="12">
        <v>0</v>
      </c>
      <c r="DR9" s="12">
        <v>2.9093893630991463</v>
      </c>
      <c r="DS9" s="12">
        <f t="shared" si="19"/>
        <v>2.1918383063567601</v>
      </c>
      <c r="DU9" s="12">
        <v>2.9093893630991463</v>
      </c>
      <c r="EG9">
        <f t="shared" si="20"/>
        <v>-0.27693879039906627</v>
      </c>
    </row>
    <row r="10" spans="1:137">
      <c r="A10" s="256" t="s">
        <v>51</v>
      </c>
      <c r="B10" s="14">
        <v>44433</v>
      </c>
      <c r="C10" s="12">
        <f>12992/60</f>
        <v>216.53333333333333</v>
      </c>
      <c r="D10" s="79">
        <v>4.5679999999999996</v>
      </c>
      <c r="E10" s="79">
        <v>5.3285999999999998</v>
      </c>
      <c r="F10" s="79">
        <v>11.475</v>
      </c>
      <c r="G10" s="17">
        <f>(E10+1.0236)/3.1008</f>
        <v>2.0485681114551082</v>
      </c>
      <c r="H10" s="17">
        <v>2.4432</v>
      </c>
      <c r="I10" s="79">
        <v>7.1580000000000004</v>
      </c>
      <c r="J10" s="79">
        <v>2.8317000000000001</v>
      </c>
      <c r="K10" s="79">
        <v>7.8489000000000004</v>
      </c>
      <c r="L10" s="79">
        <v>12.641</v>
      </c>
      <c r="M10" s="79">
        <v>2.621</v>
      </c>
      <c r="N10" s="79">
        <v>5.5704000000000002</v>
      </c>
      <c r="O10" s="79">
        <v>21.960999999999999</v>
      </c>
      <c r="P10" s="79">
        <v>2.3300000000000001E-2</v>
      </c>
      <c r="Q10" s="79">
        <v>0.28310000000000002</v>
      </c>
      <c r="R10" s="383">
        <v>4.5679999999999996</v>
      </c>
      <c r="S10" s="383">
        <v>6.3025000000000002</v>
      </c>
      <c r="T10" s="383">
        <v>13.397600000000001</v>
      </c>
      <c r="U10" s="19">
        <f>(S10+1.0236)/3.1008</f>
        <v>2.3626483488132095</v>
      </c>
      <c r="V10" s="19">
        <v>2.8092000000000001</v>
      </c>
      <c r="W10" s="19"/>
      <c r="X10" s="19"/>
      <c r="Y10" s="19"/>
      <c r="Z10" s="383">
        <v>7.1509999999999998</v>
      </c>
      <c r="AA10" s="383">
        <v>2.2160000000000002</v>
      </c>
      <c r="AB10" s="383">
        <v>7.6148999999999996</v>
      </c>
      <c r="AC10" s="383">
        <v>12.638</v>
      </c>
      <c r="AD10" s="383">
        <v>2.7549999999999999</v>
      </c>
      <c r="AE10" s="383">
        <v>5.7728000000000002</v>
      </c>
      <c r="AF10" s="383">
        <v>21.858000000000001</v>
      </c>
      <c r="AG10" s="383">
        <v>0.75260000000000005</v>
      </c>
      <c r="AH10" s="383">
        <v>1.4048</v>
      </c>
      <c r="AI10" s="384">
        <v>4.5679999999999996</v>
      </c>
      <c r="AJ10" s="384">
        <v>6.6176000000000004</v>
      </c>
      <c r="AK10" s="384">
        <v>13.130599999999999</v>
      </c>
      <c r="AL10" s="16">
        <f>(AJ10+1.0236)/3.1008</f>
        <v>2.4642672858617134</v>
      </c>
      <c r="AM10" s="16">
        <v>2.9277000000000002</v>
      </c>
      <c r="AN10" s="16"/>
      <c r="AO10" s="16"/>
      <c r="AP10" s="16"/>
      <c r="AQ10" s="384">
        <v>7.1509999999999998</v>
      </c>
      <c r="AR10" s="384">
        <v>2.3022999999999998</v>
      </c>
      <c r="AS10" s="384">
        <v>7.2222999999999997</v>
      </c>
      <c r="AT10" s="384">
        <v>12.667999999999999</v>
      </c>
      <c r="AU10" s="384">
        <v>2.3784000000000001</v>
      </c>
      <c r="AV10" s="384">
        <v>5.6684999999999999</v>
      </c>
      <c r="AW10" s="384">
        <v>21.824000000000002</v>
      </c>
      <c r="AX10" s="384">
        <v>1.1524000000000001</v>
      </c>
      <c r="AY10" s="384">
        <v>2.1886999999999999</v>
      </c>
      <c r="AZ10" s="386">
        <v>4.5609999999999999</v>
      </c>
      <c r="BA10" s="386">
        <v>6.5457999999999998</v>
      </c>
      <c r="BB10" s="386">
        <v>13.424200000000001</v>
      </c>
      <c r="BC10" s="18">
        <f>(BA10+1.0236)/3.1008</f>
        <v>2.4411119711042311</v>
      </c>
      <c r="BD10" s="18">
        <v>2.9007000000000001</v>
      </c>
      <c r="BE10" s="18"/>
      <c r="BF10" s="18"/>
      <c r="BG10" s="18"/>
      <c r="BH10" s="386">
        <v>7.141</v>
      </c>
      <c r="BI10" s="386">
        <v>2.5259999999999998</v>
      </c>
      <c r="BJ10" s="386">
        <v>7.8071000000000002</v>
      </c>
      <c r="BK10" s="386">
        <v>12.694000000000001</v>
      </c>
      <c r="BL10" s="386">
        <v>2.4681000000000002</v>
      </c>
      <c r="BM10" s="386">
        <v>5.4046000000000003</v>
      </c>
      <c r="BN10" s="386">
        <v>21.718</v>
      </c>
      <c r="BO10" s="386">
        <v>1.5623</v>
      </c>
      <c r="BP10" s="386">
        <v>2.5969000000000002</v>
      </c>
      <c r="BT10" s="23">
        <v>0</v>
      </c>
      <c r="BU10" s="23">
        <v>0</v>
      </c>
      <c r="BV10" s="23"/>
      <c r="BW10" s="23"/>
      <c r="BX10" s="23"/>
      <c r="BY10" s="385">
        <v>7.1440000000000001</v>
      </c>
      <c r="BZ10" s="385">
        <v>2.6812</v>
      </c>
      <c r="CA10" s="385">
        <v>8.0321999999999996</v>
      </c>
      <c r="CB10" s="385">
        <v>12.683999999999999</v>
      </c>
      <c r="CC10" s="385">
        <v>2.3978000000000002</v>
      </c>
      <c r="CD10" s="385">
        <v>5.3936000000000002</v>
      </c>
      <c r="CI10" s="12">
        <f t="shared" si="0"/>
        <v>2.3626483488132095</v>
      </c>
      <c r="CJ10" s="12">
        <f t="shared" si="1"/>
        <v>2.4642672858617134</v>
      </c>
      <c r="CK10" s="12">
        <f t="shared" si="2"/>
        <v>2.4411119711042311</v>
      </c>
      <c r="CL10" s="12">
        <f t="shared" si="11"/>
        <v>2.4226758685930512</v>
      </c>
      <c r="CM10">
        <f t="shared" si="12"/>
        <v>5.3258985144001715E-2</v>
      </c>
      <c r="CN10">
        <v>3</v>
      </c>
      <c r="CO10">
        <v>3.18</v>
      </c>
      <c r="CP10" s="12">
        <f t="shared" si="13"/>
        <v>9.7782104322705038E-2</v>
      </c>
      <c r="CR10">
        <f t="shared" si="3"/>
        <v>2.3291489293085652</v>
      </c>
      <c r="CS10">
        <f t="shared" si="4"/>
        <v>0.19204209561120072</v>
      </c>
      <c r="CT10">
        <f t="shared" si="14"/>
        <v>5.3258985144001715E-2</v>
      </c>
      <c r="CU10" s="12">
        <f t="shared" si="15"/>
        <v>9.3526939284485966E-2</v>
      </c>
      <c r="CV10" s="12">
        <f t="shared" si="5"/>
        <v>0.48088739139232861</v>
      </c>
      <c r="CW10">
        <f t="shared" si="16"/>
        <v>2</v>
      </c>
      <c r="CX10">
        <v>3</v>
      </c>
      <c r="CY10">
        <v>1</v>
      </c>
      <c r="CZ10">
        <v>2.92</v>
      </c>
      <c r="DA10" t="s">
        <v>211</v>
      </c>
      <c r="DL10" t="s">
        <v>884</v>
      </c>
      <c r="DM10" t="s">
        <v>51</v>
      </c>
      <c r="DN10">
        <f t="shared" si="17"/>
        <v>11.475</v>
      </c>
      <c r="DO10" s="17">
        <f>(DN10+0.2157)/5.5778</f>
        <v>2.0959338807415109</v>
      </c>
      <c r="DQ10" s="12">
        <v>0</v>
      </c>
      <c r="DR10" s="12">
        <v>2.0485681114551082</v>
      </c>
      <c r="DS10" s="12">
        <f t="shared" si="19"/>
        <v>2.1191453168755259</v>
      </c>
      <c r="DU10" s="12">
        <v>2.0485681114551082</v>
      </c>
      <c r="EG10">
        <f t="shared" si="20"/>
        <v>-0.37410775713794314</v>
      </c>
    </row>
    <row r="11" spans="1:137">
      <c r="A11" s="256" t="s">
        <v>51</v>
      </c>
      <c r="B11" s="14">
        <v>44434</v>
      </c>
      <c r="C11" s="12">
        <f>14420/60</f>
        <v>240.33333333333334</v>
      </c>
      <c r="D11" s="79">
        <v>4.5609999999999999</v>
      </c>
      <c r="E11" s="79">
        <v>5.3433000000000002</v>
      </c>
      <c r="F11" s="79">
        <v>11.699</v>
      </c>
      <c r="G11" s="17">
        <f t="shared" ref="G11:G15" si="21">(E11+1.0236)/3.1008</f>
        <v>2.0533088235294117</v>
      </c>
      <c r="H11" s="17">
        <v>2.4487000000000001</v>
      </c>
      <c r="I11" s="79">
        <v>7.1609999999999996</v>
      </c>
      <c r="J11" s="79">
        <v>2.5844999999999998</v>
      </c>
      <c r="K11" s="79">
        <v>8.0838000000000001</v>
      </c>
      <c r="L11" s="79">
        <v>12.661</v>
      </c>
      <c r="M11" s="79">
        <v>1.9755</v>
      </c>
      <c r="N11" s="79">
        <v>4.6186999999999996</v>
      </c>
      <c r="O11" s="79">
        <v>21.751000000000001</v>
      </c>
      <c r="P11" s="79">
        <v>1.5615000000000001</v>
      </c>
      <c r="Q11" s="79">
        <v>2.4247999999999998</v>
      </c>
      <c r="R11" s="383">
        <v>4.5640000000000001</v>
      </c>
      <c r="S11" s="383">
        <v>7.0637999999999996</v>
      </c>
      <c r="T11" s="383">
        <v>13.8429</v>
      </c>
      <c r="U11" s="19">
        <f t="shared" ref="U11:U15" si="22">(S11+1.0236)/3.1008</f>
        <v>2.608165634674922</v>
      </c>
      <c r="V11" s="19">
        <v>3.0954000000000002</v>
      </c>
      <c r="W11" s="19"/>
      <c r="X11" s="19"/>
      <c r="Y11" s="19"/>
      <c r="Z11" s="383">
        <v>7.1539999999999999</v>
      </c>
      <c r="AA11" s="383">
        <v>2.0547</v>
      </c>
      <c r="AB11" s="383">
        <v>6.3860999999999999</v>
      </c>
      <c r="AC11" s="383">
        <v>12.714</v>
      </c>
      <c r="AD11" s="383">
        <v>2.3102</v>
      </c>
      <c r="AE11" s="383">
        <v>5.0568</v>
      </c>
      <c r="AF11" s="383">
        <v>21.788</v>
      </c>
      <c r="AG11" s="383">
        <v>0.97989999999999999</v>
      </c>
      <c r="AH11" s="383">
        <v>2.0663999999999998</v>
      </c>
      <c r="AI11" s="384">
        <v>4.5579999999999998</v>
      </c>
      <c r="AJ11" s="384">
        <v>5.6938000000000004</v>
      </c>
      <c r="AK11" s="384">
        <v>13.040900000000001</v>
      </c>
      <c r="AL11" s="16">
        <f t="shared" ref="AL11:AL15" si="23">(AJ11+1.0236)/3.1008</f>
        <v>2.1663441692466461</v>
      </c>
      <c r="AM11" s="16">
        <v>2.5804999999999998</v>
      </c>
      <c r="AN11" s="16"/>
      <c r="AO11" s="16"/>
      <c r="AP11" s="16"/>
      <c r="AQ11" s="384">
        <v>7.1539999999999999</v>
      </c>
      <c r="AR11" s="384">
        <v>1.9704999999999999</v>
      </c>
      <c r="AS11" s="384">
        <v>6.5856000000000003</v>
      </c>
      <c r="AT11" s="384">
        <v>12.691000000000001</v>
      </c>
      <c r="AU11" s="384">
        <v>1.9171</v>
      </c>
      <c r="AV11" s="384">
        <v>4.6554000000000002</v>
      </c>
      <c r="AW11" s="384">
        <v>21.673999999999999</v>
      </c>
      <c r="AX11" s="384">
        <v>0.1628</v>
      </c>
      <c r="AY11" s="384">
        <v>0.7611</v>
      </c>
      <c r="AZ11" s="386">
        <v>4.5579999999999998</v>
      </c>
      <c r="BA11" s="386">
        <v>5.3268000000000004</v>
      </c>
      <c r="BB11" s="386">
        <v>12.659800000000001</v>
      </c>
      <c r="BC11" s="18">
        <f t="shared" ref="BC11:BC15" si="24">(BA11+1.0236)/3.1008</f>
        <v>2.0479876160990713</v>
      </c>
      <c r="BD11" s="18">
        <v>2.4424999999999999</v>
      </c>
      <c r="BE11" s="18"/>
      <c r="BF11" s="18"/>
      <c r="BG11" s="18"/>
      <c r="BH11" s="386">
        <v>7.1609999999999996</v>
      </c>
      <c r="BI11" s="386">
        <v>2.5171000000000001</v>
      </c>
      <c r="BJ11" s="386">
        <v>7.1101999999999999</v>
      </c>
      <c r="BK11" s="386">
        <v>12.698</v>
      </c>
      <c r="BL11" s="386">
        <v>2.1168</v>
      </c>
      <c r="BM11" s="386">
        <v>4.96</v>
      </c>
      <c r="BN11" s="386">
        <v>21.780999999999999</v>
      </c>
      <c r="BO11" s="386">
        <v>1.3075000000000001</v>
      </c>
      <c r="BP11" s="386">
        <v>2.3466</v>
      </c>
      <c r="BT11" s="23">
        <v>0</v>
      </c>
      <c r="BU11" s="23">
        <v>0.46779999999999999</v>
      </c>
      <c r="BV11" s="23"/>
      <c r="BW11" s="23"/>
      <c r="BX11" s="23"/>
      <c r="BY11" s="385">
        <v>7.1440000000000001</v>
      </c>
      <c r="BZ11" s="385">
        <v>2.1585000000000001</v>
      </c>
      <c r="CA11" s="385">
        <v>7.1845999999999997</v>
      </c>
      <c r="CB11" s="385">
        <v>12.688000000000001</v>
      </c>
      <c r="CC11" s="385">
        <v>1.6077999999999999</v>
      </c>
      <c r="CD11" s="385">
        <v>4.3380000000000001</v>
      </c>
      <c r="CI11" s="12">
        <f t="shared" si="0"/>
        <v>2.608165634674922</v>
      </c>
      <c r="CJ11" s="12">
        <f t="shared" si="1"/>
        <v>2.1663441692466461</v>
      </c>
      <c r="CK11" s="12">
        <f t="shared" si="2"/>
        <v>2.0479876160990713</v>
      </c>
      <c r="CL11" s="12">
        <f t="shared" si="11"/>
        <v>2.2741658066735462</v>
      </c>
      <c r="CM11">
        <f t="shared" si="12"/>
        <v>0.29524393685045724</v>
      </c>
      <c r="CN11">
        <v>3</v>
      </c>
      <c r="CO11">
        <v>3.18</v>
      </c>
      <c r="CP11" s="12">
        <f t="shared" si="13"/>
        <v>0.54206014920674805</v>
      </c>
      <c r="CR11">
        <f t="shared" si="3"/>
        <v>2.2189515608875126</v>
      </c>
      <c r="CS11">
        <f t="shared" si="4"/>
        <v>0.26515487282376216</v>
      </c>
      <c r="CT11">
        <f t="shared" si="14"/>
        <v>0.29524393685045425</v>
      </c>
      <c r="CU11" s="12">
        <f t="shared" si="15"/>
        <v>5.5214245786033622E-2</v>
      </c>
      <c r="CV11" s="12">
        <f t="shared" si="5"/>
        <v>0.17516117427659744</v>
      </c>
      <c r="CW11">
        <f t="shared" si="16"/>
        <v>2</v>
      </c>
      <c r="CX11">
        <v>3</v>
      </c>
      <c r="CY11">
        <v>1</v>
      </c>
      <c r="CZ11">
        <v>2.92</v>
      </c>
      <c r="DA11" t="s">
        <v>211</v>
      </c>
      <c r="DM11" t="s">
        <v>51</v>
      </c>
      <c r="DN11">
        <f t="shared" si="17"/>
        <v>11.699</v>
      </c>
      <c r="DO11" s="17">
        <f t="shared" ref="DO11:DO15" si="25">(DN11+0.2157)/5.5778</f>
        <v>2.1360930832944889</v>
      </c>
      <c r="DQ11" s="12">
        <v>0</v>
      </c>
      <c r="DR11" s="12">
        <v>2.0533088235294117</v>
      </c>
      <c r="DS11" s="12">
        <f t="shared" si="19"/>
        <v>2.046773367059914</v>
      </c>
      <c r="DU11" s="12">
        <v>2.0533088235294117</v>
      </c>
      <c r="EG11">
        <f t="shared" si="20"/>
        <v>-0.22085698314413479</v>
      </c>
    </row>
    <row r="12" spans="1:137">
      <c r="A12" s="256" t="s">
        <v>51</v>
      </c>
      <c r="B12" s="14">
        <v>44435</v>
      </c>
      <c r="C12" s="12">
        <f>15878/60</f>
        <v>264.63333333333333</v>
      </c>
      <c r="D12" s="79">
        <v>4.5540000000000003</v>
      </c>
      <c r="E12" s="79">
        <v>4.6920999999999999</v>
      </c>
      <c r="F12" s="79">
        <v>10.839700000000001</v>
      </c>
      <c r="G12" s="17">
        <f t="shared" si="21"/>
        <v>1.8432985036119711</v>
      </c>
      <c r="H12" s="17">
        <v>2.2040000000000002</v>
      </c>
      <c r="I12" s="79">
        <v>7.1509999999999998</v>
      </c>
      <c r="J12" s="79">
        <v>3.0425</v>
      </c>
      <c r="K12" s="79">
        <v>9.1867000000000001</v>
      </c>
      <c r="L12" s="79">
        <v>12.670999999999999</v>
      </c>
      <c r="M12" s="79">
        <v>3.1831999999999998</v>
      </c>
      <c r="N12" s="79">
        <v>6.5835999999999997</v>
      </c>
      <c r="O12" s="79">
        <v>21.654</v>
      </c>
      <c r="P12" s="79">
        <v>5.9900000000000002E-2</v>
      </c>
      <c r="Q12" s="79">
        <v>0.44819999999999999</v>
      </c>
      <c r="R12" s="383">
        <v>4.5540000000000003</v>
      </c>
      <c r="S12" s="383">
        <v>6.7759999999999998</v>
      </c>
      <c r="T12" s="383">
        <v>13.3192</v>
      </c>
      <c r="U12" s="19">
        <f t="shared" si="22"/>
        <v>2.5153508771929824</v>
      </c>
      <c r="V12" s="19">
        <v>2.9872000000000001</v>
      </c>
      <c r="W12" s="19"/>
      <c r="X12" s="19"/>
      <c r="Y12" s="19"/>
      <c r="Z12" s="383">
        <v>7.1509999999999998</v>
      </c>
      <c r="AA12" s="383">
        <v>2.0871</v>
      </c>
      <c r="AB12" s="383">
        <v>7.3334999999999999</v>
      </c>
      <c r="AC12" s="383">
        <v>12.657999999999999</v>
      </c>
      <c r="AD12" s="383">
        <v>2.7292999999999998</v>
      </c>
      <c r="AE12" s="383">
        <v>6.2701000000000002</v>
      </c>
      <c r="AF12" s="383">
        <v>21.811</v>
      </c>
      <c r="AG12" s="383">
        <v>0.89300000000000002</v>
      </c>
      <c r="AH12" s="383">
        <v>1.8335999999999999</v>
      </c>
      <c r="AI12" s="384">
        <v>4.5579999999999998</v>
      </c>
      <c r="AJ12" s="384">
        <v>5.0686999999999998</v>
      </c>
      <c r="AK12" s="384">
        <v>11.576700000000001</v>
      </c>
      <c r="AL12" s="16">
        <f t="shared" si="23"/>
        <v>1.9647510319917441</v>
      </c>
      <c r="AM12" s="16">
        <v>2.3454999999999999</v>
      </c>
      <c r="AN12" s="16"/>
      <c r="AO12" s="16"/>
      <c r="AP12" s="16"/>
      <c r="AQ12" s="384">
        <v>7.1479999999999997</v>
      </c>
      <c r="AR12" s="384">
        <v>2.13</v>
      </c>
      <c r="AS12" s="384">
        <v>7.9288999999999996</v>
      </c>
      <c r="AT12" s="384">
        <v>12.691000000000001</v>
      </c>
      <c r="AU12" s="384">
        <v>2.7056</v>
      </c>
      <c r="AV12" s="384">
        <v>6.1292</v>
      </c>
      <c r="AW12" s="384">
        <v>21.728000000000002</v>
      </c>
      <c r="AX12" s="384">
        <v>1.0285</v>
      </c>
      <c r="AY12" s="384">
        <v>2.1276999999999999</v>
      </c>
      <c r="AZ12" s="386">
        <v>4.5609999999999999</v>
      </c>
      <c r="BA12" s="386">
        <v>5.5880000000000001</v>
      </c>
      <c r="BB12" s="386">
        <v>12.695399999999999</v>
      </c>
      <c r="BC12" s="18">
        <f t="shared" si="24"/>
        <v>2.1322239422084626</v>
      </c>
      <c r="BD12" s="18">
        <v>2.5407000000000002</v>
      </c>
      <c r="BE12" s="18"/>
      <c r="BF12" s="18"/>
      <c r="BG12" s="18"/>
      <c r="BH12" s="386">
        <v>7.1479999999999997</v>
      </c>
      <c r="BI12" s="386">
        <v>2.5405000000000002</v>
      </c>
      <c r="BJ12" s="386">
        <v>7.8255999999999997</v>
      </c>
      <c r="BK12" s="386">
        <v>12.651</v>
      </c>
      <c r="BL12" s="386">
        <v>2.9759000000000002</v>
      </c>
      <c r="BM12" s="386">
        <v>6.4123000000000001</v>
      </c>
      <c r="BN12" s="386">
        <v>21.603999999999999</v>
      </c>
      <c r="BO12" s="386">
        <v>4.4999999999999997E-3</v>
      </c>
      <c r="BP12" s="386">
        <v>0.1075</v>
      </c>
      <c r="BT12" s="23">
        <v>0</v>
      </c>
      <c r="BU12" s="23">
        <v>0</v>
      </c>
      <c r="BV12" s="23"/>
      <c r="BW12" s="23"/>
      <c r="BX12" s="23"/>
      <c r="BY12" s="385">
        <v>7.1479999999999997</v>
      </c>
      <c r="BZ12" s="385">
        <v>2.7271000000000001</v>
      </c>
      <c r="CA12" s="385">
        <v>9.0920000000000005</v>
      </c>
      <c r="CB12" s="385">
        <v>12.714</v>
      </c>
      <c r="CC12" s="385">
        <v>3.2351999999999999</v>
      </c>
      <c r="CD12" s="385">
        <v>6.1588000000000003</v>
      </c>
      <c r="CE12" s="385">
        <v>21.584</v>
      </c>
      <c r="CF12" s="385">
        <v>0.1074</v>
      </c>
      <c r="CG12" s="385">
        <v>0.64459999999999995</v>
      </c>
      <c r="CI12" s="12">
        <f t="shared" si="0"/>
        <v>2.5153508771929824</v>
      </c>
      <c r="CJ12" s="12">
        <f t="shared" si="1"/>
        <v>1.9647510319917441</v>
      </c>
      <c r="CK12" s="12">
        <f t="shared" si="2"/>
        <v>2.1322239422084626</v>
      </c>
      <c r="CL12" s="12">
        <f t="shared" si="11"/>
        <v>2.2041086171310629</v>
      </c>
      <c r="CM12">
        <f t="shared" si="12"/>
        <v>0.28225095615507378</v>
      </c>
      <c r="CN12">
        <v>3</v>
      </c>
      <c r="CO12">
        <v>3.18</v>
      </c>
      <c r="CP12" s="12">
        <f t="shared" si="13"/>
        <v>0.5182053763382124</v>
      </c>
      <c r="CR12">
        <f t="shared" si="3"/>
        <v>2.1139060887512899</v>
      </c>
      <c r="CS12">
        <f t="shared" si="4"/>
        <v>0.29267112260132006</v>
      </c>
      <c r="CT12">
        <f t="shared" si="14"/>
        <v>0.2822509561550729</v>
      </c>
      <c r="CU12" s="12">
        <f t="shared" si="15"/>
        <v>9.0202528379772939E-2</v>
      </c>
      <c r="CV12" s="12">
        <f t="shared" si="5"/>
        <v>0.26927737137789765</v>
      </c>
      <c r="CW12">
        <f t="shared" si="16"/>
        <v>2</v>
      </c>
      <c r="CX12">
        <v>3</v>
      </c>
      <c r="CY12">
        <v>1</v>
      </c>
      <c r="CZ12">
        <v>2.92</v>
      </c>
      <c r="DA12" t="s">
        <v>211</v>
      </c>
      <c r="DM12" t="s">
        <v>51</v>
      </c>
      <c r="DN12">
        <f t="shared" si="17"/>
        <v>10.839700000000001</v>
      </c>
      <c r="DO12" s="17">
        <f t="shared" si="25"/>
        <v>1.9820359281437128</v>
      </c>
      <c r="DQ12" s="12">
        <v>0</v>
      </c>
      <c r="DR12" s="12">
        <v>1.8432985036119711</v>
      </c>
      <c r="DS12" s="12">
        <f t="shared" si="19"/>
        <v>1.9799284172763079</v>
      </c>
      <c r="DU12" s="12">
        <v>1.8432985036119711</v>
      </c>
      <c r="EG12">
        <f t="shared" si="20"/>
        <v>-0.36081011351909192</v>
      </c>
    </row>
    <row r="13" spans="1:137">
      <c r="A13" s="256" t="s">
        <v>51</v>
      </c>
      <c r="B13" s="14">
        <v>44439</v>
      </c>
      <c r="C13" s="12">
        <f>22025/60</f>
        <v>367.08333333333331</v>
      </c>
      <c r="D13" s="79">
        <v>4.5540000000000003</v>
      </c>
      <c r="E13" s="79">
        <v>4.4261999999999997</v>
      </c>
      <c r="F13" s="79">
        <v>9.9809000000000001</v>
      </c>
      <c r="G13" s="17">
        <f t="shared" si="21"/>
        <v>1.757546439628483</v>
      </c>
      <c r="H13" s="17">
        <v>2.1040999999999999</v>
      </c>
      <c r="I13" s="79">
        <v>7.141</v>
      </c>
      <c r="J13" s="79">
        <v>1.8149999999999999</v>
      </c>
      <c r="K13" s="79">
        <v>5.8925000000000001</v>
      </c>
      <c r="L13" s="79">
        <v>12.714</v>
      </c>
      <c r="M13" s="79">
        <v>3.0590999999999999</v>
      </c>
      <c r="N13" s="79">
        <v>6.3357000000000001</v>
      </c>
      <c r="O13" s="79">
        <v>21.763999999999999</v>
      </c>
      <c r="P13" s="79">
        <v>0.83140000000000003</v>
      </c>
      <c r="Q13" s="79">
        <v>1.5145999999999999</v>
      </c>
      <c r="R13" s="383">
        <v>4.5510000000000002</v>
      </c>
      <c r="S13" s="383">
        <v>5.2788000000000004</v>
      </c>
      <c r="T13" s="383">
        <v>10.7203</v>
      </c>
      <c r="U13" s="19">
        <f t="shared" si="22"/>
        <v>2.0325077399380804</v>
      </c>
      <c r="V13" s="19">
        <v>2.4245000000000001</v>
      </c>
      <c r="W13" s="19"/>
      <c r="X13" s="19"/>
      <c r="Y13" s="19"/>
      <c r="Z13" s="383">
        <v>7.1509999999999998</v>
      </c>
      <c r="AA13" s="383">
        <v>1.9692000000000001</v>
      </c>
      <c r="AB13" s="383">
        <v>6.6717000000000004</v>
      </c>
      <c r="AC13" s="383">
        <v>12.688000000000001</v>
      </c>
      <c r="AD13" s="383">
        <v>3.3094999999999999</v>
      </c>
      <c r="AE13" s="383">
        <v>6.9828999999999999</v>
      </c>
      <c r="AF13" s="383">
        <v>21.803999999999998</v>
      </c>
      <c r="AG13" s="383">
        <v>0.81759999999999999</v>
      </c>
      <c r="AH13" s="383">
        <v>1.7823</v>
      </c>
      <c r="AI13" s="384">
        <v>4.5510000000000002</v>
      </c>
      <c r="AJ13" s="384">
        <v>4.8334000000000001</v>
      </c>
      <c r="AK13" s="384">
        <v>10.640599999999999</v>
      </c>
      <c r="AL13" s="16">
        <f t="shared" si="23"/>
        <v>1.8888673890608876</v>
      </c>
      <c r="AM13" s="16">
        <v>2.2570999999999999</v>
      </c>
      <c r="AN13" s="16"/>
      <c r="AO13" s="16"/>
      <c r="AP13" s="16"/>
      <c r="AQ13" s="384">
        <v>7.141</v>
      </c>
      <c r="AR13" s="384">
        <v>1.8949</v>
      </c>
      <c r="AS13" s="384">
        <v>5.8205</v>
      </c>
      <c r="AT13" s="384">
        <v>12.678000000000001</v>
      </c>
      <c r="AU13" s="384">
        <v>2.2898999999999998</v>
      </c>
      <c r="AV13" s="384">
        <v>5.6905000000000001</v>
      </c>
      <c r="AW13" s="384">
        <v>21.704000000000001</v>
      </c>
      <c r="AX13" s="384">
        <v>1.5858000000000001</v>
      </c>
      <c r="AY13" s="384">
        <v>2.5950000000000002</v>
      </c>
      <c r="AZ13" s="386">
        <v>4.5540000000000003</v>
      </c>
      <c r="BA13" s="386">
        <v>5.4726999999999997</v>
      </c>
      <c r="BB13" s="386">
        <v>11.0831</v>
      </c>
      <c r="BC13" s="18">
        <f t="shared" si="24"/>
        <v>2.0950399896800826</v>
      </c>
      <c r="BD13" s="18">
        <v>2.4973999999999998</v>
      </c>
      <c r="BE13" s="18"/>
      <c r="BF13" s="18"/>
      <c r="BG13" s="18"/>
      <c r="BH13" s="386">
        <v>7.1509999999999998</v>
      </c>
      <c r="BI13" s="386">
        <v>2.1947999999999999</v>
      </c>
      <c r="BJ13" s="386">
        <v>6.3975</v>
      </c>
      <c r="BK13" s="386">
        <v>12.673999999999999</v>
      </c>
      <c r="BL13" s="386">
        <v>2.4076</v>
      </c>
      <c r="BM13" s="386">
        <v>6.1291000000000002</v>
      </c>
      <c r="BN13" s="386">
        <v>21.754000000000001</v>
      </c>
      <c r="BO13" s="386">
        <v>1.6154999999999999</v>
      </c>
      <c r="BP13" s="386">
        <v>2.4125000000000001</v>
      </c>
      <c r="BT13" s="23">
        <v>0</v>
      </c>
      <c r="BU13" s="23">
        <v>0.47049999999999997</v>
      </c>
      <c r="BV13" s="23"/>
      <c r="BW13" s="23"/>
      <c r="BX13" s="23"/>
      <c r="BY13" s="385">
        <v>7.141</v>
      </c>
      <c r="BZ13" s="385">
        <v>2.1375000000000002</v>
      </c>
      <c r="CA13" s="385">
        <v>6.9366000000000003</v>
      </c>
      <c r="CB13" s="385">
        <v>12.667999999999999</v>
      </c>
      <c r="CC13" s="385">
        <v>2.5870000000000002</v>
      </c>
      <c r="CD13" s="385">
        <v>6.2173999999999996</v>
      </c>
      <c r="CI13" s="12">
        <f t="shared" si="0"/>
        <v>2.0325077399380804</v>
      </c>
      <c r="CJ13" s="12">
        <f t="shared" si="1"/>
        <v>1.8888673890608876</v>
      </c>
      <c r="CK13" s="12">
        <f t="shared" si="2"/>
        <v>2.0950399896800826</v>
      </c>
      <c r="CL13" s="12">
        <f t="shared" si="11"/>
        <v>2.0054717062263503</v>
      </c>
      <c r="CM13">
        <f t="shared" si="12"/>
        <v>0.10571185198768816</v>
      </c>
      <c r="CN13">
        <v>3</v>
      </c>
      <c r="CO13">
        <v>3.18</v>
      </c>
      <c r="CP13" s="12">
        <f t="shared" si="13"/>
        <v>0.19408419652116957</v>
      </c>
      <c r="CR13">
        <f t="shared" si="3"/>
        <v>1.9434903895768834</v>
      </c>
      <c r="CS13">
        <f t="shared" si="4"/>
        <v>0.15105208225923428</v>
      </c>
      <c r="CT13">
        <f t="shared" si="14"/>
        <v>0.10571185198768816</v>
      </c>
      <c r="CU13" s="12">
        <f t="shared" si="15"/>
        <v>6.1981316649466933E-2</v>
      </c>
      <c r="CV13" s="12">
        <f t="shared" si="5"/>
        <v>0.38044876903857672</v>
      </c>
      <c r="CW13">
        <f t="shared" si="16"/>
        <v>2</v>
      </c>
      <c r="CX13">
        <v>3</v>
      </c>
      <c r="CY13">
        <v>1</v>
      </c>
      <c r="CZ13">
        <v>2.92</v>
      </c>
      <c r="DA13" t="s">
        <v>211</v>
      </c>
      <c r="DM13" t="s">
        <v>51</v>
      </c>
      <c r="DN13">
        <f t="shared" si="17"/>
        <v>9.9809000000000001</v>
      </c>
      <c r="DO13" s="17">
        <f t="shared" si="25"/>
        <v>1.8280684140700636</v>
      </c>
      <c r="DQ13" s="12">
        <v>0</v>
      </c>
      <c r="DR13" s="12">
        <v>1.757546439628483</v>
      </c>
      <c r="DS13" s="12">
        <f t="shared" si="19"/>
        <v>1.7528213113238982</v>
      </c>
      <c r="DU13" s="12">
        <v>1.757546439628483</v>
      </c>
      <c r="EG13">
        <f t="shared" si="20"/>
        <v>-0.24792526659786721</v>
      </c>
    </row>
    <row r="14" spans="1:137">
      <c r="A14" s="256" t="s">
        <v>51</v>
      </c>
      <c r="B14" s="14">
        <v>44440</v>
      </c>
      <c r="C14" s="12">
        <f>23405/60</f>
        <v>390.08333333333331</v>
      </c>
      <c r="D14" s="79">
        <v>4.5549999999999997</v>
      </c>
      <c r="E14" s="79">
        <v>4.5069999999999997</v>
      </c>
      <c r="F14" s="79">
        <v>9.2134999999999998</v>
      </c>
      <c r="G14" s="17">
        <f t="shared" si="21"/>
        <v>1.7836042311661506</v>
      </c>
      <c r="H14" s="17">
        <v>2.1343999999999999</v>
      </c>
      <c r="I14" s="79">
        <v>7.1509999999999998</v>
      </c>
      <c r="J14" s="79">
        <v>2.9270999999999998</v>
      </c>
      <c r="K14" s="79">
        <v>9.5698000000000008</v>
      </c>
      <c r="L14" s="79">
        <v>12.667999999999999</v>
      </c>
      <c r="M14" s="79">
        <v>6.9352999999999998</v>
      </c>
      <c r="N14" s="79">
        <v>15.1243</v>
      </c>
      <c r="O14" s="79">
        <v>21.628</v>
      </c>
      <c r="P14" s="79">
        <v>0.20280000000000001</v>
      </c>
      <c r="Q14" s="79">
        <v>0.76060000000000005</v>
      </c>
      <c r="R14" s="383">
        <v>4.5439999999999996</v>
      </c>
      <c r="S14" s="383">
        <v>4.5204000000000004</v>
      </c>
      <c r="T14" s="383">
        <v>9.9064999999999994</v>
      </c>
      <c r="U14" s="19">
        <f t="shared" si="22"/>
        <v>1.7879256965944275</v>
      </c>
      <c r="V14" s="19">
        <v>2.1395</v>
      </c>
      <c r="W14" s="19"/>
      <c r="X14" s="19"/>
      <c r="Y14" s="19"/>
      <c r="Z14" s="383">
        <v>7.1479999999999997</v>
      </c>
      <c r="AA14" s="383">
        <v>3.1530999999999998</v>
      </c>
      <c r="AB14" s="383">
        <v>9.6681000000000008</v>
      </c>
      <c r="AC14" s="383">
        <v>12.657999999999999</v>
      </c>
      <c r="AD14" s="383">
        <v>6.0989000000000004</v>
      </c>
      <c r="AE14" s="383">
        <v>14.5343</v>
      </c>
      <c r="AF14" s="383">
        <v>21.623999999999999</v>
      </c>
      <c r="AG14" s="383">
        <v>0.1487</v>
      </c>
      <c r="AH14" s="383">
        <v>0.64739999999999998</v>
      </c>
      <c r="AI14" s="384">
        <v>4.548</v>
      </c>
      <c r="AJ14" s="384">
        <v>4.5503999999999998</v>
      </c>
      <c r="AK14" s="384">
        <v>9.6056000000000008</v>
      </c>
      <c r="AL14" s="16">
        <f t="shared" si="23"/>
        <v>1.7976006191950464</v>
      </c>
      <c r="AM14" s="16">
        <v>2.1507999999999998</v>
      </c>
      <c r="AN14" s="16"/>
      <c r="AO14" s="16"/>
      <c r="AP14" s="16"/>
      <c r="AQ14" s="384">
        <v>7.1509999999999998</v>
      </c>
      <c r="AR14" s="384">
        <v>2.9390000000000001</v>
      </c>
      <c r="AS14" s="384">
        <v>9.3684999999999992</v>
      </c>
      <c r="AT14" s="384">
        <v>12.651</v>
      </c>
      <c r="AU14" s="384">
        <v>6.8879999999999999</v>
      </c>
      <c r="AV14" s="384">
        <v>14.7035</v>
      </c>
      <c r="AW14" s="384">
        <v>21.771000000000001</v>
      </c>
      <c r="AX14" s="384">
        <v>0.1179</v>
      </c>
      <c r="AY14" s="384">
        <v>0.2472</v>
      </c>
      <c r="AZ14" s="386">
        <v>4.5510000000000002</v>
      </c>
      <c r="BA14" s="386">
        <v>4.5282</v>
      </c>
      <c r="BB14" s="386">
        <v>10.0221</v>
      </c>
      <c r="BC14" s="18">
        <f t="shared" si="24"/>
        <v>1.7904411764705883</v>
      </c>
      <c r="BD14" s="18">
        <v>2.1423999999999999</v>
      </c>
      <c r="BE14" s="18"/>
      <c r="BF14" s="18"/>
      <c r="BG14" s="18"/>
      <c r="BH14" s="386">
        <v>7.1509999999999998</v>
      </c>
      <c r="BI14" s="386">
        <v>3.2187000000000001</v>
      </c>
      <c r="BJ14" s="386">
        <v>9.6720000000000006</v>
      </c>
      <c r="BK14" s="386">
        <v>12.651</v>
      </c>
      <c r="BL14" s="386">
        <v>6.2107000000000001</v>
      </c>
      <c r="BM14" s="386">
        <v>14.3969</v>
      </c>
      <c r="BN14" s="386">
        <v>21.728000000000002</v>
      </c>
      <c r="BO14" s="386">
        <v>0.22559999999999999</v>
      </c>
      <c r="BP14" s="386">
        <v>0.5776</v>
      </c>
      <c r="BT14" s="23">
        <v>0</v>
      </c>
      <c r="BU14" s="23">
        <v>0.4592</v>
      </c>
      <c r="BV14" s="23"/>
      <c r="BW14" s="23"/>
      <c r="BX14" s="23"/>
      <c r="BY14" s="385">
        <v>7.1479999999999997</v>
      </c>
      <c r="BZ14" s="385">
        <v>2.7353999999999998</v>
      </c>
      <c r="CA14" s="385">
        <v>9.6445000000000007</v>
      </c>
      <c r="CB14" s="385">
        <v>12.651</v>
      </c>
      <c r="CC14" s="385">
        <v>6.7415000000000003</v>
      </c>
      <c r="CD14" s="385">
        <v>14.4938</v>
      </c>
      <c r="CI14" s="12">
        <f t="shared" si="0"/>
        <v>1.7879256965944275</v>
      </c>
      <c r="CJ14" s="12">
        <f t="shared" si="1"/>
        <v>1.7976006191950464</v>
      </c>
      <c r="CK14" s="12">
        <f t="shared" si="2"/>
        <v>1.7904411764705883</v>
      </c>
      <c r="CL14" s="12">
        <f t="shared" si="11"/>
        <v>1.7919891640866874</v>
      </c>
      <c r="CM14">
        <f t="shared" si="12"/>
        <v>5.0197839671333525E-3</v>
      </c>
      <c r="CN14">
        <v>3</v>
      </c>
      <c r="CO14">
        <v>3.18</v>
      </c>
      <c r="CP14" s="12">
        <f t="shared" si="13"/>
        <v>9.2161921265403041E-3</v>
      </c>
      <c r="CR14">
        <f t="shared" si="3"/>
        <v>1.7898929308565532</v>
      </c>
      <c r="CS14">
        <f t="shared" si="4"/>
        <v>5.8630705042893713E-3</v>
      </c>
      <c r="CT14">
        <f t="shared" si="14"/>
        <v>5.0197839671333525E-3</v>
      </c>
      <c r="CU14" s="12">
        <f t="shared" si="15"/>
        <v>2.0962332301341924E-3</v>
      </c>
      <c r="CV14" s="12">
        <f t="shared" si="5"/>
        <v>0.32051219706771505</v>
      </c>
      <c r="CW14">
        <f t="shared" si="16"/>
        <v>2</v>
      </c>
      <c r="CX14">
        <v>3</v>
      </c>
      <c r="CY14">
        <v>1</v>
      </c>
      <c r="CZ14">
        <v>2.92</v>
      </c>
      <c r="DA14" t="s">
        <v>211</v>
      </c>
      <c r="DM14" t="s">
        <v>51</v>
      </c>
      <c r="DN14">
        <f t="shared" si="17"/>
        <v>9.2134999999999998</v>
      </c>
      <c r="DO14" s="17">
        <f t="shared" si="25"/>
        <v>1.6904872888952633</v>
      </c>
      <c r="DQ14" s="12">
        <v>0</v>
      </c>
      <c r="DR14" s="12">
        <v>1.7836042311661506</v>
      </c>
      <c r="DS14" s="12">
        <f t="shared" si="19"/>
        <v>1.7106458882906237</v>
      </c>
      <c r="DU14" s="12">
        <v>1.7836042311661506</v>
      </c>
      <c r="EG14">
        <f t="shared" si="20"/>
        <v>-8.3849329205367695E-3</v>
      </c>
    </row>
    <row r="15" spans="1:137">
      <c r="A15" s="256" t="s">
        <v>51</v>
      </c>
      <c r="B15" s="14">
        <v>44441</v>
      </c>
      <c r="C15" s="12">
        <f>24547/60</f>
        <v>409.11666666666667</v>
      </c>
      <c r="D15" s="79">
        <v>4.5410000000000004</v>
      </c>
      <c r="E15" s="79">
        <v>3.5301999999999998</v>
      </c>
      <c r="F15" s="79">
        <v>8.6319999999999997</v>
      </c>
      <c r="G15" s="17">
        <f t="shared" si="21"/>
        <v>1.4685887512899896</v>
      </c>
      <c r="H15" s="17">
        <v>1.7673000000000001</v>
      </c>
      <c r="I15" s="79">
        <v>7.1550000000000002</v>
      </c>
      <c r="J15" s="79">
        <v>4.5937999999999999</v>
      </c>
      <c r="K15" s="79">
        <v>14.187200000000001</v>
      </c>
      <c r="L15" s="79">
        <v>12.667999999999999</v>
      </c>
      <c r="M15" s="79">
        <v>6.3278999999999996</v>
      </c>
      <c r="N15" s="79">
        <v>13.338800000000001</v>
      </c>
      <c r="O15" s="79">
        <v>21.681000000000001</v>
      </c>
      <c r="P15" s="79">
        <v>0.48970000000000002</v>
      </c>
      <c r="Q15" s="79">
        <v>1.391</v>
      </c>
      <c r="R15" s="383">
        <v>4.5430000000000001</v>
      </c>
      <c r="S15" s="383">
        <v>4.4259000000000004</v>
      </c>
      <c r="T15" s="383">
        <v>9.8514999999999997</v>
      </c>
      <c r="U15" s="19">
        <f t="shared" si="22"/>
        <v>1.757449690402477</v>
      </c>
      <c r="V15" s="19">
        <v>2.1038999999999999</v>
      </c>
      <c r="W15" s="19"/>
      <c r="X15" s="19"/>
      <c r="Y15" s="19"/>
      <c r="Z15" s="383">
        <v>7.1529999999999996</v>
      </c>
      <c r="AA15" s="383">
        <v>4.6314000000000002</v>
      </c>
      <c r="AB15" s="383">
        <v>14.384399999999999</v>
      </c>
      <c r="AC15" s="383">
        <v>12.66</v>
      </c>
      <c r="AD15" s="383">
        <v>6.4587000000000003</v>
      </c>
      <c r="AE15" s="383">
        <v>13.7143</v>
      </c>
      <c r="AF15" s="383">
        <v>21.667000000000002</v>
      </c>
      <c r="AG15" s="383">
        <v>0.17910000000000001</v>
      </c>
      <c r="AH15" s="383">
        <v>0.67559999999999998</v>
      </c>
      <c r="AI15" s="384">
        <v>4.5439999999999996</v>
      </c>
      <c r="AJ15" s="384">
        <v>4.2820999999999998</v>
      </c>
      <c r="AK15" s="384">
        <v>8.7614000000000001</v>
      </c>
      <c r="AL15" s="16">
        <f t="shared" si="23"/>
        <v>1.7110745614035088</v>
      </c>
      <c r="AM15" s="16">
        <v>2.0499000000000001</v>
      </c>
      <c r="AN15" s="16"/>
      <c r="AO15" s="16"/>
      <c r="AP15" s="16"/>
      <c r="AQ15" s="384">
        <v>7.1539999999999999</v>
      </c>
      <c r="AR15" s="384">
        <v>3.7761</v>
      </c>
      <c r="AS15" s="384">
        <v>13.2066</v>
      </c>
      <c r="AT15" s="384">
        <v>12.648</v>
      </c>
      <c r="AU15" s="384">
        <v>5.9904000000000002</v>
      </c>
      <c r="AV15" s="384">
        <v>13.5328</v>
      </c>
      <c r="AW15" s="384">
        <v>21.643999999999998</v>
      </c>
      <c r="AX15" s="384">
        <v>0.59989999999999999</v>
      </c>
      <c r="AY15" s="384">
        <v>1.7111000000000001</v>
      </c>
      <c r="AZ15" s="386">
        <v>4.548</v>
      </c>
      <c r="BA15" s="386">
        <v>4.0309999999999997</v>
      </c>
      <c r="BB15" s="386">
        <v>9.4856999999999996</v>
      </c>
      <c r="BC15" s="18">
        <f t="shared" si="24"/>
        <v>1.6300954592363259</v>
      </c>
      <c r="BD15" s="18">
        <v>1.9556</v>
      </c>
      <c r="BE15" s="18"/>
      <c r="BF15" s="18"/>
      <c r="BG15" s="18"/>
      <c r="BH15" s="386">
        <v>7.1509999999999998</v>
      </c>
      <c r="BI15" s="386">
        <v>4.6418999999999997</v>
      </c>
      <c r="BJ15" s="386">
        <v>14.4198</v>
      </c>
      <c r="BK15" s="386">
        <v>12.648</v>
      </c>
      <c r="BL15" s="386">
        <v>6.3163999999999998</v>
      </c>
      <c r="BM15" s="386">
        <v>14.2521</v>
      </c>
      <c r="BN15" s="386">
        <v>21.800999999999998</v>
      </c>
      <c r="BO15" s="386">
        <v>1.7509999999999999</v>
      </c>
      <c r="BP15" s="386">
        <v>2.8243</v>
      </c>
      <c r="BT15" s="23">
        <v>0</v>
      </c>
      <c r="BU15" s="23">
        <v>0.4526</v>
      </c>
      <c r="BV15" s="23"/>
      <c r="BW15" s="23"/>
      <c r="BX15" s="23"/>
      <c r="BY15" s="385">
        <v>7.1479999999999997</v>
      </c>
      <c r="BZ15" s="385">
        <v>4.4875999999999996</v>
      </c>
      <c r="CA15" s="385">
        <v>14.493399999999999</v>
      </c>
      <c r="CB15" s="385">
        <v>12.673999999999999</v>
      </c>
      <c r="CC15" s="385">
        <v>5.3056999999999999</v>
      </c>
      <c r="CD15" s="385">
        <v>12.7934</v>
      </c>
      <c r="CI15" s="12">
        <f t="shared" si="0"/>
        <v>1.757449690402477</v>
      </c>
      <c r="CJ15" s="12">
        <f t="shared" si="1"/>
        <v>1.7110745614035088</v>
      </c>
      <c r="CK15" s="12">
        <f t="shared" si="2"/>
        <v>1.6300954592363259</v>
      </c>
      <c r="CL15" s="12">
        <f t="shared" si="11"/>
        <v>1.6995399036807706</v>
      </c>
      <c r="CM15">
        <f t="shared" si="12"/>
        <v>6.4455886430689197E-2</v>
      </c>
      <c r="CN15">
        <v>3</v>
      </c>
      <c r="CO15">
        <v>3.18</v>
      </c>
      <c r="CP15" s="12">
        <f t="shared" si="13"/>
        <v>0.11833932235353366</v>
      </c>
      <c r="CR15">
        <f t="shared" si="3"/>
        <v>1.6418021155830753</v>
      </c>
      <c r="CS15">
        <f t="shared" si="4"/>
        <v>0.12690278258586257</v>
      </c>
      <c r="CT15">
        <f t="shared" si="14"/>
        <v>6.4455886430689197E-2</v>
      </c>
      <c r="CU15" s="12">
        <f t="shared" si="15"/>
        <v>5.7737788097695253E-2</v>
      </c>
      <c r="CV15" s="12">
        <f t="shared" si="5"/>
        <v>0.43659176798033505</v>
      </c>
      <c r="CW15">
        <f t="shared" si="16"/>
        <v>2</v>
      </c>
      <c r="CX15">
        <v>3</v>
      </c>
      <c r="CY15">
        <v>1</v>
      </c>
      <c r="CZ15">
        <v>2.92</v>
      </c>
      <c r="DA15" t="s">
        <v>211</v>
      </c>
      <c r="DM15" t="s">
        <v>51</v>
      </c>
      <c r="DN15">
        <f t="shared" si="17"/>
        <v>8.6319999999999997</v>
      </c>
      <c r="DO15" s="17">
        <f t="shared" si="25"/>
        <v>1.5862347161963497</v>
      </c>
      <c r="DQ15" s="12">
        <v>0</v>
      </c>
      <c r="DR15" s="12">
        <v>1.4685887512899896</v>
      </c>
      <c r="DS15" s="12">
        <f t="shared" si="19"/>
        <v>1.6775837474250022</v>
      </c>
      <c r="DU15" s="12">
        <v>1.4685887512899896</v>
      </c>
      <c r="EG15">
        <f t="shared" si="20"/>
        <v>-0.23095115239078101</v>
      </c>
    </row>
    <row r="16" spans="1:137">
      <c r="A16" s="256" t="s">
        <v>82</v>
      </c>
      <c r="B16" s="14">
        <v>44442</v>
      </c>
      <c r="C16" s="12">
        <f>26109/60</f>
        <v>435.15</v>
      </c>
      <c r="D16" s="125">
        <v>4.4050000000000002</v>
      </c>
      <c r="E16" s="125">
        <v>4.6135999999999999</v>
      </c>
      <c r="F16" s="125">
        <v>28.976299999999998</v>
      </c>
      <c r="G16" s="17">
        <f>(E16+0.036)/3.3113</f>
        <v>1.4041615075650045</v>
      </c>
      <c r="H16" s="224">
        <v>2.1745000000000001</v>
      </c>
      <c r="I16" s="225">
        <v>6.8979999999999997</v>
      </c>
      <c r="J16" s="225">
        <v>5.0805999999999996</v>
      </c>
      <c r="K16" s="225">
        <v>28.001000000000001</v>
      </c>
      <c r="L16" s="225">
        <v>12.051</v>
      </c>
      <c r="M16" s="225">
        <v>6.7079000000000004</v>
      </c>
      <c r="N16" s="225">
        <v>21.472100000000001</v>
      </c>
      <c r="O16" s="225">
        <v>19.878</v>
      </c>
      <c r="P16" s="225">
        <v>1.4517</v>
      </c>
      <c r="Q16" s="225">
        <v>2.5777000000000001</v>
      </c>
      <c r="R16" s="218">
        <v>4.4080000000000004</v>
      </c>
      <c r="S16" s="218">
        <v>5.5092999999999996</v>
      </c>
      <c r="T16" s="218">
        <v>32.801400000000001</v>
      </c>
      <c r="U16" s="219">
        <f>(S16+0.036)/3.3113</f>
        <v>1.6746594992903086</v>
      </c>
      <c r="V16" s="219">
        <v>2.5110999999999999</v>
      </c>
      <c r="W16" s="219"/>
      <c r="X16" s="219"/>
      <c r="Y16" s="219"/>
      <c r="Z16" s="218">
        <v>6.8940000000000001</v>
      </c>
      <c r="AA16" s="218">
        <v>4.9448999999999996</v>
      </c>
      <c r="AB16" s="218">
        <v>26.717700000000001</v>
      </c>
      <c r="AC16" s="218">
        <v>12.048</v>
      </c>
      <c r="AD16" s="218">
        <v>6.8253000000000004</v>
      </c>
      <c r="AE16" s="218">
        <v>21.857800000000001</v>
      </c>
      <c r="AF16" s="218">
        <v>19.873999999999999</v>
      </c>
      <c r="AG16" s="218">
        <v>1.4161999999999999</v>
      </c>
      <c r="AH16" s="218">
        <v>2.5423</v>
      </c>
      <c r="AI16" s="220">
        <v>4.4039999999999999</v>
      </c>
      <c r="AJ16" s="220">
        <v>4.8392999999999997</v>
      </c>
      <c r="AK16" s="220">
        <v>28.7135</v>
      </c>
      <c r="AL16" s="221">
        <f>(AJ16+0.036)/3.3113</f>
        <v>1.4723220487421855</v>
      </c>
      <c r="AM16" s="221">
        <v>2.2593000000000001</v>
      </c>
      <c r="AN16" s="221"/>
      <c r="AO16" s="221"/>
      <c r="AP16" s="221"/>
      <c r="AQ16" s="220">
        <v>6.8940000000000001</v>
      </c>
      <c r="AR16" s="220">
        <v>5.6456</v>
      </c>
      <c r="AS16" s="220">
        <v>30.6374</v>
      </c>
      <c r="AT16" s="220">
        <v>12.048</v>
      </c>
      <c r="AU16" s="220">
        <v>6.9157999999999999</v>
      </c>
      <c r="AV16" s="220">
        <v>22.118500000000001</v>
      </c>
      <c r="AW16" s="220">
        <v>19.870999999999999</v>
      </c>
      <c r="AX16" s="220">
        <v>1.5588</v>
      </c>
      <c r="AY16" s="220">
        <v>2.7315999999999998</v>
      </c>
      <c r="AZ16" s="222">
        <v>4.4050000000000002</v>
      </c>
      <c r="BA16" s="222">
        <v>5.3444000000000003</v>
      </c>
      <c r="BB16" s="222">
        <v>31.495000000000001</v>
      </c>
      <c r="BC16" s="223">
        <f>(BA16+0.036)/3.3113</f>
        <v>1.6248603267598827</v>
      </c>
      <c r="BD16" s="223">
        <v>2.4491000000000001</v>
      </c>
      <c r="BE16" s="223"/>
      <c r="BF16" s="223"/>
      <c r="BG16" s="223"/>
      <c r="BH16" s="222">
        <v>6.8949999999999996</v>
      </c>
      <c r="BI16" s="222">
        <v>5.1257999999999999</v>
      </c>
      <c r="BJ16" s="222">
        <v>26.977799999999998</v>
      </c>
      <c r="BK16" s="222">
        <v>12.048</v>
      </c>
      <c r="BL16" s="222">
        <v>6.7762000000000002</v>
      </c>
      <c r="BM16" s="222">
        <v>21.655999999999999</v>
      </c>
      <c r="BN16" s="222">
        <v>19.870999999999999</v>
      </c>
      <c r="BO16" s="222">
        <v>1.6955</v>
      </c>
      <c r="BP16" s="222">
        <v>3.0347</v>
      </c>
      <c r="BQ16" s="217">
        <v>4.3879999999999999</v>
      </c>
      <c r="BR16" s="217">
        <v>0.23669999999999999</v>
      </c>
      <c r="BS16" s="217">
        <v>0.63170000000000004</v>
      </c>
      <c r="BT16" s="216">
        <f>(BR16+0.036)/3.3113</f>
        <v>8.235436233503457E-2</v>
      </c>
      <c r="BU16" s="216">
        <v>0.52949999999999997</v>
      </c>
      <c r="BV16" s="216"/>
      <c r="BW16" s="216"/>
      <c r="BX16" s="216"/>
      <c r="BY16" s="390">
        <v>6.8940000000000001</v>
      </c>
      <c r="BZ16" s="390">
        <v>5.0134999999999996</v>
      </c>
      <c r="CA16" s="390">
        <v>27.4312</v>
      </c>
      <c r="CB16" s="390">
        <v>12.048</v>
      </c>
      <c r="CC16" s="390">
        <v>6.6444000000000001</v>
      </c>
      <c r="CD16" s="390">
        <v>21.202100000000002</v>
      </c>
      <c r="CE16" s="390">
        <v>19.870999999999999</v>
      </c>
      <c r="CF16" s="390">
        <v>0.58540000000000003</v>
      </c>
      <c r="CG16" s="390">
        <v>1.0353000000000001</v>
      </c>
      <c r="CI16" s="12">
        <f t="shared" si="0"/>
        <v>1.6746594992903086</v>
      </c>
      <c r="CJ16" s="12">
        <f t="shared" si="1"/>
        <v>1.4723220487421855</v>
      </c>
      <c r="CK16" s="12">
        <f t="shared" si="2"/>
        <v>1.6248603267598827</v>
      </c>
      <c r="CL16" s="12">
        <f t="shared" si="11"/>
        <v>1.5906139582641259</v>
      </c>
      <c r="CM16">
        <f t="shared" si="12"/>
        <v>0.10542637852994345</v>
      </c>
      <c r="CN16">
        <v>3</v>
      </c>
      <c r="CO16">
        <v>3.18</v>
      </c>
      <c r="CP16" s="12">
        <f t="shared" si="13"/>
        <v>0.19356007471616177</v>
      </c>
      <c r="CR16">
        <f t="shared" si="3"/>
        <v>1.5440008455893452</v>
      </c>
      <c r="CS16">
        <f t="shared" si="4"/>
        <v>0.12688949241848066</v>
      </c>
      <c r="CT16">
        <f t="shared" si="14"/>
        <v>0.10542637852994345</v>
      </c>
      <c r="CU16" s="12">
        <f t="shared" si="15"/>
        <v>4.6613112674780632E-2</v>
      </c>
      <c r="CV16" s="12">
        <f t="shared" si="5"/>
        <v>0.33121603789739207</v>
      </c>
      <c r="CW16">
        <f t="shared" si="16"/>
        <v>2</v>
      </c>
      <c r="CX16">
        <v>3</v>
      </c>
      <c r="CY16">
        <v>1</v>
      </c>
      <c r="CZ16">
        <v>2.92</v>
      </c>
      <c r="DA16" t="s">
        <v>211</v>
      </c>
      <c r="DL16" t="s">
        <v>885</v>
      </c>
      <c r="DM16" t="s">
        <v>82</v>
      </c>
      <c r="DN16">
        <f t="shared" si="17"/>
        <v>28.976299999999998</v>
      </c>
      <c r="DO16" s="17">
        <f>(DN16-1.0293)/18.758</f>
        <v>1.4898709883782919</v>
      </c>
      <c r="DQ16" s="12">
        <v>8.235436233503457E-2</v>
      </c>
      <c r="DR16" s="12">
        <v>1.4041615075650045</v>
      </c>
      <c r="DS16" s="12">
        <f t="shared" si="19"/>
        <v>1.6347705853305472</v>
      </c>
      <c r="DU16" s="12">
        <v>1.4041615075650045</v>
      </c>
      <c r="EG16">
        <f t="shared" si="20"/>
        <v>-0.18645245069912111</v>
      </c>
    </row>
    <row r="17" spans="1:137">
      <c r="A17" s="256" t="s">
        <v>82</v>
      </c>
      <c r="B17" s="14">
        <v>44446</v>
      </c>
      <c r="C17" s="12">
        <f>31829/60</f>
        <v>530.48333333333335</v>
      </c>
      <c r="D17" s="125">
        <v>4.4080000000000004</v>
      </c>
      <c r="E17" s="125">
        <v>5.1897000000000002</v>
      </c>
      <c r="F17" s="125">
        <v>30.623799999999999</v>
      </c>
      <c r="G17" s="17">
        <f t="shared" ref="G17:G19" si="26">(E17+0.036)/3.3113</f>
        <v>1.5781415154169056</v>
      </c>
      <c r="H17" s="224">
        <v>2.391</v>
      </c>
      <c r="I17" s="225">
        <v>6.8940000000000001</v>
      </c>
      <c r="J17" s="225">
        <v>3.1938</v>
      </c>
      <c r="K17" s="225">
        <v>16.1998</v>
      </c>
      <c r="L17" s="225">
        <v>12.058</v>
      </c>
      <c r="M17" s="225">
        <v>5.3686999999999996</v>
      </c>
      <c r="N17" s="225">
        <v>17.017099999999999</v>
      </c>
      <c r="O17" s="225">
        <v>19.878</v>
      </c>
      <c r="P17" s="225">
        <v>1.3583000000000001</v>
      </c>
      <c r="Q17" s="225">
        <v>2.4009999999999998</v>
      </c>
      <c r="R17" s="218">
        <v>4.4039999999999999</v>
      </c>
      <c r="S17" s="218">
        <v>5.4547999999999996</v>
      </c>
      <c r="T17" s="218">
        <v>33.576599999999999</v>
      </c>
      <c r="U17" s="219">
        <f t="shared" ref="U17:U19" si="27">(S17+0.036)/3.3113</f>
        <v>1.6582007066710955</v>
      </c>
      <c r="V17" s="219">
        <v>2.4906999999999999</v>
      </c>
      <c r="W17" s="219"/>
      <c r="X17" s="219"/>
      <c r="Y17" s="219"/>
      <c r="Z17" s="218">
        <v>6.8879999999999999</v>
      </c>
      <c r="AA17" s="218">
        <v>3.0085000000000002</v>
      </c>
      <c r="AB17" s="218">
        <v>16.1462</v>
      </c>
      <c r="AC17" s="218">
        <v>12.051</v>
      </c>
      <c r="AD17" s="218">
        <v>5.3167</v>
      </c>
      <c r="AE17" s="218">
        <v>16.847000000000001</v>
      </c>
      <c r="AF17" s="218">
        <v>19.867999999999999</v>
      </c>
      <c r="AG17" s="218">
        <v>1.4056</v>
      </c>
      <c r="AH17" s="218">
        <v>2.5146000000000002</v>
      </c>
      <c r="AI17" s="220">
        <v>4.4050000000000002</v>
      </c>
      <c r="AJ17" s="220">
        <v>4.9855</v>
      </c>
      <c r="AK17" s="220">
        <v>29.564399999999999</v>
      </c>
      <c r="AL17" s="221">
        <f t="shared" ref="AL17:AL19" si="28">(AJ17+0.036)/3.3113</f>
        <v>1.5164738924289551</v>
      </c>
      <c r="AM17" s="221">
        <v>2.3142999999999998</v>
      </c>
      <c r="AN17" s="221"/>
      <c r="AO17" s="221"/>
      <c r="AP17" s="221"/>
      <c r="AQ17" s="220">
        <v>6.8879999999999999</v>
      </c>
      <c r="AR17" s="220">
        <v>3.1838000000000002</v>
      </c>
      <c r="AS17" s="220">
        <v>16.027699999999999</v>
      </c>
      <c r="AT17" s="220">
        <v>12.051</v>
      </c>
      <c r="AU17" s="220">
        <v>5.2789000000000001</v>
      </c>
      <c r="AV17" s="220">
        <v>16.724299999999999</v>
      </c>
      <c r="AW17" s="220">
        <v>19.867999999999999</v>
      </c>
      <c r="AX17" s="220">
        <v>1.4178999999999999</v>
      </c>
      <c r="AY17" s="220">
        <v>2.4754999999999998</v>
      </c>
      <c r="AZ17" s="222">
        <v>4.4039999999999999</v>
      </c>
      <c r="BA17" s="222">
        <v>5.5564999999999998</v>
      </c>
      <c r="BB17" s="222">
        <v>33.069200000000002</v>
      </c>
      <c r="BC17" s="223">
        <f t="shared" ref="BC17:BC19" si="29">(BA17+0.036)/3.3113</f>
        <v>1.6889137196871318</v>
      </c>
      <c r="BD17" s="223">
        <v>2.5287999999999999</v>
      </c>
      <c r="BE17" s="223"/>
      <c r="BF17" s="223"/>
      <c r="BG17" s="223"/>
      <c r="BH17" s="222">
        <v>6.8879999999999999</v>
      </c>
      <c r="BI17" s="222">
        <v>3.2704</v>
      </c>
      <c r="BJ17" s="222">
        <v>16.533799999999999</v>
      </c>
      <c r="BK17" s="222">
        <v>12.051</v>
      </c>
      <c r="BL17" s="222">
        <v>5.3861999999999997</v>
      </c>
      <c r="BM17" s="222">
        <v>17.0656</v>
      </c>
      <c r="BN17" s="222">
        <v>19.864000000000001</v>
      </c>
      <c r="BO17" s="222">
        <v>1.5988</v>
      </c>
      <c r="BP17" s="222">
        <v>2.8169</v>
      </c>
      <c r="BQ17" s="217">
        <v>4.3849999999999998</v>
      </c>
      <c r="BR17" s="217">
        <v>0.23910000000000001</v>
      </c>
      <c r="BS17" s="217">
        <v>0.73929999999999996</v>
      </c>
      <c r="BT17" s="216">
        <f t="shared" ref="BT17:BT19" si="30">(BR17+0.036)/3.3113</f>
        <v>8.3079153202669648E-2</v>
      </c>
      <c r="BU17" s="216">
        <v>0.53039999999999998</v>
      </c>
      <c r="BV17" s="216"/>
      <c r="BW17" s="216"/>
      <c r="BX17" s="216"/>
      <c r="BY17" s="390">
        <v>6.8879999999999999</v>
      </c>
      <c r="BZ17" s="390">
        <v>3.0548999999999999</v>
      </c>
      <c r="CA17" s="390">
        <v>16.2852</v>
      </c>
      <c r="CB17" s="390">
        <v>12.048</v>
      </c>
      <c r="CC17" s="390">
        <v>5.3018999999999998</v>
      </c>
      <c r="CD17" s="390">
        <v>16.768000000000001</v>
      </c>
      <c r="CE17" s="390">
        <v>19.870999999999999</v>
      </c>
      <c r="CF17" s="390">
        <v>0.4748</v>
      </c>
      <c r="CG17" s="390">
        <v>0.84189999999999998</v>
      </c>
      <c r="CI17" s="12">
        <f t="shared" si="0"/>
        <v>1.6582007066710955</v>
      </c>
      <c r="CJ17" s="12">
        <f t="shared" si="1"/>
        <v>1.5164738924289551</v>
      </c>
      <c r="CK17" s="12">
        <f t="shared" si="2"/>
        <v>1.6889137196871318</v>
      </c>
      <c r="CL17" s="12">
        <f t="shared" si="11"/>
        <v>1.6211961062623941</v>
      </c>
      <c r="CM17">
        <f t="shared" si="12"/>
        <v>9.1983035635725768E-2</v>
      </c>
      <c r="CN17">
        <v>3</v>
      </c>
      <c r="CO17">
        <v>3.18</v>
      </c>
      <c r="CP17" s="12">
        <f t="shared" si="13"/>
        <v>0.1688784486248254</v>
      </c>
      <c r="CR17">
        <f t="shared" si="3"/>
        <v>1.6104324585510219</v>
      </c>
      <c r="CS17">
        <f t="shared" si="4"/>
        <v>7.8128166142095667E-2</v>
      </c>
      <c r="CT17">
        <f t="shared" si="14"/>
        <v>9.1983035635725768E-2</v>
      </c>
      <c r="CU17" s="12">
        <f t="shared" si="15"/>
        <v>1.0763647711372171E-2</v>
      </c>
      <c r="CV17" s="12">
        <f t="shared" si="5"/>
        <v>0.11393897662422711</v>
      </c>
      <c r="CW17">
        <f t="shared" si="16"/>
        <v>2</v>
      </c>
      <c r="CX17">
        <v>3</v>
      </c>
      <c r="CY17">
        <v>1</v>
      </c>
      <c r="CZ17">
        <v>2.92</v>
      </c>
      <c r="DA17" t="s">
        <v>211</v>
      </c>
      <c r="DM17" t="s">
        <v>82</v>
      </c>
      <c r="DN17">
        <f t="shared" si="17"/>
        <v>30.623799999999999</v>
      </c>
      <c r="DO17" s="17">
        <f t="shared" ref="DO17:DO19" si="31">(DN17-1.0293)/18.758</f>
        <v>1.5777001812559974</v>
      </c>
      <c r="DQ17" s="12">
        <v>8.3079153202669648E-2</v>
      </c>
      <c r="DR17" s="12">
        <v>1.5781415154169056</v>
      </c>
      <c r="DS17" s="12">
        <f t="shared" si="19"/>
        <v>1.4972907527831936</v>
      </c>
      <c r="DU17" s="12">
        <v>1.5781415154169056</v>
      </c>
      <c r="EG17">
        <f t="shared" si="20"/>
        <v>-4.3054590845488537E-2</v>
      </c>
    </row>
    <row r="18" spans="1:137">
      <c r="A18" s="256" t="s">
        <v>82</v>
      </c>
      <c r="B18" s="14">
        <v>44447</v>
      </c>
      <c r="C18" s="12">
        <f>33309/60</f>
        <v>555.15</v>
      </c>
      <c r="D18" s="125">
        <v>4.4050000000000002</v>
      </c>
      <c r="E18" s="125">
        <v>5.0796999999999999</v>
      </c>
      <c r="F18" s="125">
        <v>31.284800000000001</v>
      </c>
      <c r="G18" s="17">
        <f t="shared" si="26"/>
        <v>1.5449219339836315</v>
      </c>
      <c r="H18" s="224">
        <v>2.3496999999999999</v>
      </c>
      <c r="I18" s="225">
        <v>6.8879999999999999</v>
      </c>
      <c r="J18" s="225">
        <v>3.1677</v>
      </c>
      <c r="K18" s="225">
        <v>16.936599999999999</v>
      </c>
      <c r="L18" s="225">
        <v>12.048</v>
      </c>
      <c r="M18" s="225">
        <v>5.5419</v>
      </c>
      <c r="N18" s="225">
        <v>17.541</v>
      </c>
      <c r="O18" s="225">
        <v>19.864999999999998</v>
      </c>
      <c r="P18" s="225">
        <v>1.3675999999999999</v>
      </c>
      <c r="Q18" s="225">
        <v>2.4192999999999998</v>
      </c>
      <c r="R18" s="218">
        <v>4.4050000000000002</v>
      </c>
      <c r="S18" s="218">
        <v>5.4271000000000003</v>
      </c>
      <c r="T18" s="218">
        <v>33.536299999999997</v>
      </c>
      <c r="U18" s="219">
        <f t="shared" si="27"/>
        <v>1.6498354120738077</v>
      </c>
      <c r="V18" s="219">
        <v>2.4802</v>
      </c>
      <c r="W18" s="219"/>
      <c r="X18" s="219"/>
      <c r="Y18" s="219"/>
      <c r="Z18" s="218">
        <v>6.8879999999999999</v>
      </c>
      <c r="AA18" s="218">
        <v>3.1897000000000002</v>
      </c>
      <c r="AB18" s="218">
        <v>17.120699999999999</v>
      </c>
      <c r="AC18" s="218">
        <v>12.051</v>
      </c>
      <c r="AD18" s="218">
        <v>5.5418000000000003</v>
      </c>
      <c r="AE18" s="218">
        <v>17.542300000000001</v>
      </c>
      <c r="AF18" s="218">
        <v>19.864999999999998</v>
      </c>
      <c r="AG18" s="218">
        <v>1.4513</v>
      </c>
      <c r="AH18" s="218">
        <v>2.5449999999999999</v>
      </c>
      <c r="AI18" s="220">
        <v>4.4039999999999999</v>
      </c>
      <c r="AJ18" s="220">
        <v>4.8068999999999997</v>
      </c>
      <c r="AK18" s="220">
        <v>29.680800000000001</v>
      </c>
      <c r="AL18" s="221">
        <f t="shared" si="28"/>
        <v>1.4625373720291122</v>
      </c>
      <c r="AM18" s="221">
        <v>2.2471000000000001</v>
      </c>
      <c r="AN18" s="221"/>
      <c r="AO18" s="221"/>
      <c r="AP18" s="221"/>
      <c r="AQ18" s="220">
        <v>6.8879999999999999</v>
      </c>
      <c r="AR18" s="220">
        <v>3.1585999999999999</v>
      </c>
      <c r="AS18" s="220">
        <v>16.920100000000001</v>
      </c>
      <c r="AT18" s="220">
        <v>12.048</v>
      </c>
      <c r="AU18" s="220">
        <v>5.5239000000000003</v>
      </c>
      <c r="AV18" s="220">
        <v>17.4741</v>
      </c>
      <c r="AW18" s="220">
        <v>19.861000000000001</v>
      </c>
      <c r="AX18" s="220">
        <v>1.4123000000000001</v>
      </c>
      <c r="AY18" s="220">
        <v>2.4710000000000001</v>
      </c>
      <c r="AZ18" s="222">
        <v>4.4039999999999999</v>
      </c>
      <c r="BA18" s="222">
        <v>5.3090999999999999</v>
      </c>
      <c r="BB18" s="222">
        <v>32.888199999999998</v>
      </c>
      <c r="BC18" s="223">
        <f t="shared" si="29"/>
        <v>1.6141998610817501</v>
      </c>
      <c r="BD18" s="223">
        <v>2.4359000000000002</v>
      </c>
      <c r="BE18" s="223"/>
      <c r="BF18" s="223"/>
      <c r="BG18" s="223"/>
      <c r="BH18" s="222">
        <v>6.8879999999999999</v>
      </c>
      <c r="BI18" s="222">
        <v>3.3769</v>
      </c>
      <c r="BJ18" s="222">
        <v>18.177800000000001</v>
      </c>
      <c r="BK18" s="222">
        <v>12.048</v>
      </c>
      <c r="BL18" s="222">
        <v>5.5789</v>
      </c>
      <c r="BM18" s="222">
        <v>17.659199999999998</v>
      </c>
      <c r="BN18" s="222">
        <v>19.861000000000001</v>
      </c>
      <c r="BO18" s="222">
        <v>1.5718000000000001</v>
      </c>
      <c r="BP18" s="222">
        <v>2.7999000000000001</v>
      </c>
      <c r="BQ18" s="217">
        <v>4.3849999999999998</v>
      </c>
      <c r="BR18" s="217">
        <v>0.1138</v>
      </c>
      <c r="BS18" s="217">
        <v>0.60560000000000003</v>
      </c>
      <c r="BT18" s="216">
        <f t="shared" si="30"/>
        <v>4.5239029988222143E-2</v>
      </c>
      <c r="BU18" s="216">
        <v>0.48330000000000001</v>
      </c>
      <c r="BV18" s="216"/>
      <c r="BW18" s="216"/>
      <c r="BX18" s="216"/>
      <c r="BY18" s="390">
        <v>6.8879999999999999</v>
      </c>
      <c r="BZ18" s="390">
        <v>3.2267000000000001</v>
      </c>
      <c r="CA18" s="390">
        <v>17.248999999999999</v>
      </c>
      <c r="CB18" s="390">
        <v>12.051</v>
      </c>
      <c r="CC18" s="390">
        <v>5.4983000000000004</v>
      </c>
      <c r="CD18" s="390">
        <v>17.369499999999999</v>
      </c>
      <c r="CE18" s="390">
        <v>19.875</v>
      </c>
      <c r="CF18" s="390">
        <v>0.50680000000000003</v>
      </c>
      <c r="CG18" s="390">
        <v>0.9</v>
      </c>
      <c r="CI18" s="12">
        <f t="shared" si="0"/>
        <v>1.6498354120738077</v>
      </c>
      <c r="CJ18" s="12">
        <f t="shared" si="1"/>
        <v>1.4625373720291122</v>
      </c>
      <c r="CK18" s="12">
        <f t="shared" si="2"/>
        <v>1.6141998610817501</v>
      </c>
      <c r="CL18" s="12">
        <f t="shared" si="11"/>
        <v>1.5755242150615567</v>
      </c>
      <c r="CM18">
        <f t="shared" si="12"/>
        <v>9.9458499623991767E-2</v>
      </c>
      <c r="CN18">
        <v>3</v>
      </c>
      <c r="CO18">
        <v>3.18</v>
      </c>
      <c r="CP18" s="12">
        <f t="shared" si="13"/>
        <v>0.18260320506892327</v>
      </c>
      <c r="CR18">
        <f t="shared" si="3"/>
        <v>1.5678736447920754</v>
      </c>
      <c r="CS18">
        <f t="shared" si="4"/>
        <v>8.2636474998010384E-2</v>
      </c>
      <c r="CT18">
        <f t="shared" si="14"/>
        <v>9.9458499623991767E-2</v>
      </c>
      <c r="CU18" s="12">
        <f t="shared" si="15"/>
        <v>7.6505702694813493E-3</v>
      </c>
      <c r="CV18" s="12">
        <f t="shared" si="5"/>
        <v>7.6027781065229658E-2</v>
      </c>
      <c r="CW18">
        <f t="shared" si="16"/>
        <v>2</v>
      </c>
      <c r="CX18">
        <v>3</v>
      </c>
      <c r="CY18">
        <v>1</v>
      </c>
      <c r="CZ18">
        <v>2.92</v>
      </c>
      <c r="DA18" t="s">
        <v>211</v>
      </c>
      <c r="DM18" t="s">
        <v>82</v>
      </c>
      <c r="DN18">
        <f t="shared" si="17"/>
        <v>31.284800000000001</v>
      </c>
      <c r="DO18" s="17">
        <f t="shared" si="31"/>
        <v>1.6129384795820452</v>
      </c>
      <c r="DQ18" s="12">
        <v>4.5239029988222143E-2</v>
      </c>
      <c r="DR18" s="12">
        <v>1.5449219339836315</v>
      </c>
      <c r="DS18" s="12">
        <f t="shared" si="19"/>
        <v>1.4657485868348106</v>
      </c>
      <c r="DU18" s="12">
        <v>1.5449219339836315</v>
      </c>
      <c r="DV18">
        <f>LN(C18)</f>
        <v>6.3192383475002742</v>
      </c>
      <c r="DW18">
        <f>DV18*-0.694</f>
        <v>-4.3855514131651896</v>
      </c>
      <c r="DX18">
        <f>DW18+5.8513</f>
        <v>1.4657485868348106</v>
      </c>
      <c r="EG18">
        <f t="shared" si="20"/>
        <v>-3.0602281077925102E-2</v>
      </c>
    </row>
    <row r="19" spans="1:137">
      <c r="A19" s="256" t="s">
        <v>82</v>
      </c>
      <c r="B19" s="14">
        <v>44448</v>
      </c>
      <c r="C19" s="12">
        <f>34587/60</f>
        <v>576.45000000000005</v>
      </c>
      <c r="D19" s="125">
        <v>4.4050000000000002</v>
      </c>
      <c r="E19" s="125">
        <v>4.9420000000000002</v>
      </c>
      <c r="F19" s="125">
        <v>30.7394</v>
      </c>
      <c r="G19" s="17">
        <f t="shared" si="26"/>
        <v>1.5033370579530696</v>
      </c>
      <c r="H19" s="224">
        <v>2.2978999999999998</v>
      </c>
      <c r="I19" s="225">
        <v>6.8849999999999998</v>
      </c>
      <c r="J19" s="225">
        <v>2.2562000000000002</v>
      </c>
      <c r="K19" s="225">
        <v>11.909000000000001</v>
      </c>
      <c r="L19" s="225">
        <v>12.055</v>
      </c>
      <c r="M19" s="225">
        <v>4.0933000000000002</v>
      </c>
      <c r="N19" s="225">
        <v>12.838699999999999</v>
      </c>
      <c r="O19" s="225">
        <v>19.861000000000001</v>
      </c>
      <c r="P19" s="225">
        <v>1.2661</v>
      </c>
      <c r="Q19" s="225">
        <v>2.2302</v>
      </c>
      <c r="R19" s="218">
        <v>4.4039999999999999</v>
      </c>
      <c r="S19" s="218">
        <v>5.3383000000000003</v>
      </c>
      <c r="T19" s="218">
        <v>33.219000000000001</v>
      </c>
      <c r="U19" s="219">
        <f t="shared" si="27"/>
        <v>1.6230181499713103</v>
      </c>
      <c r="V19" s="219">
        <v>2.4468999999999999</v>
      </c>
      <c r="W19" s="219"/>
      <c r="X19" s="219"/>
      <c r="Y19" s="219"/>
      <c r="Z19" s="218">
        <v>6.8840000000000003</v>
      </c>
      <c r="AA19" s="218">
        <v>2.1991999999999998</v>
      </c>
      <c r="AB19" s="218">
        <v>11.577299999999999</v>
      </c>
      <c r="AC19" s="218">
        <v>12.054</v>
      </c>
      <c r="AD19" s="218">
        <v>3.9453</v>
      </c>
      <c r="AE19" s="218">
        <v>12.3538</v>
      </c>
      <c r="AF19" s="218">
        <v>19.864000000000001</v>
      </c>
      <c r="AG19" s="218">
        <v>1.2801</v>
      </c>
      <c r="AH19" s="218">
        <v>2.2793000000000001</v>
      </c>
      <c r="AI19" s="220">
        <v>4.4050000000000002</v>
      </c>
      <c r="AJ19" s="220">
        <v>4.9861000000000004</v>
      </c>
      <c r="AK19" s="220">
        <v>29.7836</v>
      </c>
      <c r="AL19" s="221">
        <f t="shared" si="28"/>
        <v>1.5166550901458642</v>
      </c>
      <c r="AM19" s="221">
        <v>2.3144999999999998</v>
      </c>
      <c r="AN19" s="221"/>
      <c r="AO19" s="221"/>
      <c r="AP19" s="221"/>
      <c r="AQ19" s="220">
        <v>6.8849999999999998</v>
      </c>
      <c r="AR19" s="220">
        <v>2.5669</v>
      </c>
      <c r="AS19" s="220">
        <v>12.597300000000001</v>
      </c>
      <c r="AT19" s="220">
        <v>12.055</v>
      </c>
      <c r="AU19" s="220">
        <v>4.0156000000000001</v>
      </c>
      <c r="AV19" s="220">
        <v>12.5989</v>
      </c>
      <c r="AW19" s="220">
        <v>19.864999999999998</v>
      </c>
      <c r="AX19" s="220">
        <v>1.4145000000000001</v>
      </c>
      <c r="AY19" s="220">
        <v>2.4679000000000002</v>
      </c>
      <c r="AZ19" s="222">
        <v>4.4039999999999999</v>
      </c>
      <c r="BA19" s="222">
        <v>5.3540000000000001</v>
      </c>
      <c r="BB19" s="222">
        <v>32.156799999999997</v>
      </c>
      <c r="BC19" s="223">
        <f t="shared" si="29"/>
        <v>1.6277594902304229</v>
      </c>
      <c r="BD19" s="223">
        <v>2.4527000000000001</v>
      </c>
      <c r="BE19" s="223"/>
      <c r="BF19" s="223"/>
      <c r="BG19" s="223"/>
      <c r="BH19" s="222">
        <v>6.8840000000000003</v>
      </c>
      <c r="BI19" s="222">
        <v>2.5720000000000001</v>
      </c>
      <c r="BJ19" s="222">
        <v>12.6929</v>
      </c>
      <c r="BK19" s="222">
        <v>12.051</v>
      </c>
      <c r="BL19" s="222">
        <v>4.0347</v>
      </c>
      <c r="BM19" s="222">
        <v>12.6721</v>
      </c>
      <c r="BN19" s="222">
        <v>19.861000000000001</v>
      </c>
      <c r="BO19" s="222">
        <v>1.5005999999999999</v>
      </c>
      <c r="BP19" s="222">
        <v>2.633</v>
      </c>
      <c r="BQ19" s="217">
        <v>4.3849999999999998</v>
      </c>
      <c r="BR19" s="217">
        <v>0.1051</v>
      </c>
      <c r="BS19" s="217">
        <v>0.61019999999999996</v>
      </c>
      <c r="BT19" s="216">
        <f t="shared" si="30"/>
        <v>4.2611663093045024E-2</v>
      </c>
      <c r="BU19" s="216">
        <v>0.48010000000000003</v>
      </c>
      <c r="BV19" s="216"/>
      <c r="BW19" s="216"/>
      <c r="BX19" s="216"/>
      <c r="BY19" s="390">
        <v>6.8849999999999998</v>
      </c>
      <c r="BZ19" s="390">
        <v>2.4308000000000001</v>
      </c>
      <c r="CA19" s="390">
        <v>12.8691</v>
      </c>
      <c r="CB19" s="390">
        <v>12.055</v>
      </c>
      <c r="CC19" s="390">
        <v>3.9260999999999999</v>
      </c>
      <c r="CD19" s="390">
        <v>12.3225</v>
      </c>
      <c r="CE19" s="390">
        <v>19.870999999999999</v>
      </c>
      <c r="CF19" s="390">
        <v>0.4496</v>
      </c>
      <c r="CG19" s="390">
        <v>0.79959999999999998</v>
      </c>
      <c r="CI19" s="12">
        <f t="shared" si="0"/>
        <v>1.6230181499713103</v>
      </c>
      <c r="CJ19" s="12">
        <f t="shared" si="1"/>
        <v>1.5166550901458642</v>
      </c>
      <c r="CK19" s="12">
        <f t="shared" si="2"/>
        <v>1.6277594902304229</v>
      </c>
      <c r="CL19" s="12">
        <f t="shared" si="11"/>
        <v>1.5891442434491989</v>
      </c>
      <c r="CM19">
        <f t="shared" si="12"/>
        <v>6.2822194221779343E-2</v>
      </c>
      <c r="CN19">
        <v>3</v>
      </c>
      <c r="CO19">
        <v>3.18</v>
      </c>
      <c r="CP19" s="12">
        <f t="shared" si="13"/>
        <v>0.11533990616918668</v>
      </c>
      <c r="CR19">
        <f t="shared" si="3"/>
        <v>1.5676924470751668</v>
      </c>
      <c r="CS19">
        <f t="shared" si="4"/>
        <v>6.6871545981215155E-2</v>
      </c>
      <c r="CT19">
        <f t="shared" si="14"/>
        <v>6.2822194221779343E-2</v>
      </c>
      <c r="CU19" s="12">
        <f t="shared" si="15"/>
        <v>2.1451796374032162E-2</v>
      </c>
      <c r="CV19" s="12">
        <f t="shared" si="5"/>
        <v>0.28198365055923619</v>
      </c>
      <c r="CW19">
        <f t="shared" si="16"/>
        <v>2</v>
      </c>
      <c r="CX19">
        <v>3</v>
      </c>
      <c r="CY19">
        <v>1</v>
      </c>
      <c r="CZ19">
        <v>2.92</v>
      </c>
      <c r="DA19" t="s">
        <v>211</v>
      </c>
      <c r="DM19" t="s">
        <v>82</v>
      </c>
      <c r="DN19">
        <f t="shared" si="17"/>
        <v>30.7394</v>
      </c>
      <c r="DO19" s="17">
        <f t="shared" si="31"/>
        <v>1.5838628851689946</v>
      </c>
      <c r="DQ19" s="12">
        <v>4.2611663093045024E-2</v>
      </c>
      <c r="DR19" s="12">
        <v>1.5033370579530696</v>
      </c>
      <c r="DS19" s="12">
        <f t="shared" si="19"/>
        <v>1.4396193076588002</v>
      </c>
      <c r="DU19" s="12">
        <v>1.5033370579530696</v>
      </c>
      <c r="EG19">
        <f t="shared" si="20"/>
        <v>-8.5807185496129534E-2</v>
      </c>
    </row>
    <row r="20" spans="1:137">
      <c r="A20" s="256" t="s">
        <v>87</v>
      </c>
      <c r="B20" s="14">
        <v>44449</v>
      </c>
      <c r="C20" s="12">
        <f>36123/60</f>
        <v>602.04999999999995</v>
      </c>
      <c r="D20" s="125">
        <v>4.391</v>
      </c>
      <c r="E20" s="125">
        <v>5.0209999999999999</v>
      </c>
      <c r="F20" s="125">
        <v>31.078600000000002</v>
      </c>
      <c r="G20" s="17">
        <f>(E20+0.0699)/3.3142</f>
        <v>1.5360871401846599</v>
      </c>
      <c r="H20" s="17">
        <v>2.3275999999999999</v>
      </c>
      <c r="I20" s="125">
        <v>6.8609999999999998</v>
      </c>
      <c r="J20" s="125">
        <v>2.3889</v>
      </c>
      <c r="K20" s="125">
        <v>12.9651</v>
      </c>
      <c r="L20" s="125">
        <v>12.007999999999999</v>
      </c>
      <c r="M20" s="125">
        <v>3.9529000000000001</v>
      </c>
      <c r="N20" s="125">
        <v>12.6997</v>
      </c>
      <c r="O20" s="125">
        <v>19.808</v>
      </c>
      <c r="P20" s="125">
        <v>1.3268</v>
      </c>
      <c r="Q20" s="125">
        <v>2.3744000000000001</v>
      </c>
      <c r="R20" s="387">
        <v>4.391</v>
      </c>
      <c r="S20" s="387">
        <v>5.2972000000000001</v>
      </c>
      <c r="T20" s="387">
        <v>32.972299999999997</v>
      </c>
      <c r="U20" s="19">
        <f>(S20+0.0699)/3.3142</f>
        <v>1.6194255023836823</v>
      </c>
      <c r="V20" s="19">
        <v>2.4314</v>
      </c>
      <c r="W20" s="19"/>
      <c r="X20" s="19"/>
      <c r="Y20" s="19"/>
      <c r="Z20" s="387">
        <v>6.8609999999999998</v>
      </c>
      <c r="AA20" s="387">
        <v>2.3111999999999999</v>
      </c>
      <c r="AB20" s="387">
        <v>12.4701</v>
      </c>
      <c r="AC20" s="387">
        <v>12.007999999999999</v>
      </c>
      <c r="AD20" s="387">
        <v>3.8671000000000002</v>
      </c>
      <c r="AE20" s="387">
        <v>12.4023</v>
      </c>
      <c r="AF20" s="387">
        <v>19.805</v>
      </c>
      <c r="AG20" s="387">
        <v>1.3087</v>
      </c>
      <c r="AH20" s="387">
        <v>2.3309000000000002</v>
      </c>
      <c r="AI20" s="388">
        <v>4.3879999999999999</v>
      </c>
      <c r="AJ20" s="388">
        <v>4.6955999999999998</v>
      </c>
      <c r="AK20" s="388">
        <v>29.290400000000002</v>
      </c>
      <c r="AL20" s="16">
        <f>(AJ20+0.0699)/3.3142</f>
        <v>1.4379035664715465</v>
      </c>
      <c r="AM20" s="16">
        <v>2.2052999999999998</v>
      </c>
      <c r="AN20" s="16"/>
      <c r="AO20" s="16"/>
      <c r="AP20" s="16"/>
      <c r="AQ20" s="388">
        <v>6.8579999999999997</v>
      </c>
      <c r="AR20" s="388">
        <v>2.2982999999999998</v>
      </c>
      <c r="AS20" s="388">
        <v>12.351900000000001</v>
      </c>
      <c r="AT20" s="388">
        <v>12.007999999999999</v>
      </c>
      <c r="AU20" s="388">
        <v>3.8355000000000001</v>
      </c>
      <c r="AV20" s="388">
        <v>12.2852</v>
      </c>
      <c r="AW20" s="388">
        <v>19.800999999999998</v>
      </c>
      <c r="AX20" s="388">
        <v>1.2491000000000001</v>
      </c>
      <c r="AY20" s="388">
        <v>2.2235</v>
      </c>
      <c r="AZ20" s="389">
        <v>4.3879999999999999</v>
      </c>
      <c r="BA20" s="389">
        <v>5.3975</v>
      </c>
      <c r="BB20" s="389">
        <v>32.487699999999997</v>
      </c>
      <c r="BC20" s="18">
        <f>(BA20+0.0699)/3.3142</f>
        <v>1.6496892161004162</v>
      </c>
      <c r="BD20" s="18">
        <v>2.4691000000000001</v>
      </c>
      <c r="BE20" s="18"/>
      <c r="BF20" s="18"/>
      <c r="BG20" s="18"/>
      <c r="BH20" s="389">
        <v>6.8579999999999997</v>
      </c>
      <c r="BI20" s="389">
        <v>2.5388999999999999</v>
      </c>
      <c r="BJ20" s="389">
        <v>12.7506</v>
      </c>
      <c r="BK20" s="389">
        <v>12.004</v>
      </c>
      <c r="BL20" s="389">
        <v>3.8780999999999999</v>
      </c>
      <c r="BM20" s="389">
        <v>12.4132</v>
      </c>
      <c r="BN20" s="389">
        <v>19.800999999999998</v>
      </c>
      <c r="BO20" s="389">
        <v>1.3743000000000001</v>
      </c>
      <c r="BP20" s="389">
        <v>2.4514</v>
      </c>
      <c r="BQ20" s="390">
        <v>4.3710000000000004</v>
      </c>
      <c r="BR20" s="390">
        <v>0.1061</v>
      </c>
      <c r="BS20" s="390">
        <v>0.62480000000000002</v>
      </c>
      <c r="BT20" s="23">
        <f>(BR20+0.0699)/3.3142</f>
        <v>5.3104821676422664E-2</v>
      </c>
      <c r="BU20" s="23">
        <v>0.48049999999999998</v>
      </c>
      <c r="BV20" s="23"/>
      <c r="BW20" s="23"/>
      <c r="BX20" s="23"/>
      <c r="BY20" s="390">
        <v>6.8609999999999998</v>
      </c>
      <c r="BZ20" s="390">
        <v>2.3523999999999998</v>
      </c>
      <c r="CA20" s="390">
        <v>12.638199999999999</v>
      </c>
      <c r="CB20" s="390">
        <v>12.007999999999999</v>
      </c>
      <c r="CC20" s="390">
        <v>3.7450999999999999</v>
      </c>
      <c r="CD20" s="390">
        <v>12.9686</v>
      </c>
      <c r="CE20" s="390">
        <v>19.811</v>
      </c>
      <c r="CF20" s="390">
        <v>0.38350000000000001</v>
      </c>
      <c r="CG20" s="390">
        <v>0.69240000000000002</v>
      </c>
      <c r="CI20" s="12">
        <f t="shared" si="0"/>
        <v>1.6194255023836823</v>
      </c>
      <c r="CJ20" s="12">
        <f t="shared" si="1"/>
        <v>1.4379035664715465</v>
      </c>
      <c r="CK20" s="12">
        <f t="shared" si="2"/>
        <v>1.6496892161004162</v>
      </c>
      <c r="CL20" s="12">
        <f t="shared" si="11"/>
        <v>1.5690060949852149</v>
      </c>
      <c r="CM20">
        <f t="shared" si="12"/>
        <v>0.11454203520537801</v>
      </c>
      <c r="CN20">
        <v>3</v>
      </c>
      <c r="CO20">
        <v>3.18</v>
      </c>
      <c r="CP20" s="12">
        <f t="shared" si="13"/>
        <v>0.21029618205274125</v>
      </c>
      <c r="CR20">
        <f t="shared" si="3"/>
        <v>1.5607763562850763</v>
      </c>
      <c r="CS20">
        <f t="shared" si="4"/>
        <v>9.4960516087566366E-2</v>
      </c>
      <c r="CT20">
        <f t="shared" si="14"/>
        <v>0.11454203520537801</v>
      </c>
      <c r="CU20" s="12">
        <f t="shared" si="15"/>
        <v>8.2297387001386557E-3</v>
      </c>
      <c r="CV20" s="12">
        <f t="shared" si="5"/>
        <v>7.1118552800465612E-2</v>
      </c>
      <c r="CW20">
        <f t="shared" si="16"/>
        <v>2</v>
      </c>
      <c r="CX20">
        <v>3</v>
      </c>
      <c r="CY20">
        <v>1</v>
      </c>
      <c r="CZ20">
        <v>2.92</v>
      </c>
      <c r="DA20" t="s">
        <v>211</v>
      </c>
      <c r="DL20" t="s">
        <v>886</v>
      </c>
      <c r="DM20" t="s">
        <v>87</v>
      </c>
      <c r="DN20">
        <f t="shared" si="17"/>
        <v>31.078600000000002</v>
      </c>
      <c r="DO20" s="17">
        <f>(DN20-1.8427)/18.998</f>
        <v>1.538893567743973</v>
      </c>
      <c r="DQ20" s="12">
        <v>5.3104821676422664E-2</v>
      </c>
      <c r="DR20" s="12">
        <v>1.5360871401846599</v>
      </c>
      <c r="DS20" s="12">
        <f t="shared" si="19"/>
        <v>1.4094636941532697</v>
      </c>
      <c r="DU20" s="12">
        <v>1.5360871401846599</v>
      </c>
      <c r="EG20">
        <f t="shared" si="20"/>
        <v>-3.2918954800555143E-2</v>
      </c>
    </row>
    <row r="21" spans="1:137">
      <c r="A21" s="256" t="s">
        <v>87</v>
      </c>
      <c r="B21" s="14">
        <v>44452</v>
      </c>
      <c r="C21" s="12">
        <f>40375/60</f>
        <v>672.91666666666663</v>
      </c>
      <c r="D21" s="125">
        <v>4.3879999999999999</v>
      </c>
      <c r="E21" s="125">
        <v>4.3261000000000003</v>
      </c>
      <c r="F21" s="125">
        <v>28.956700000000001</v>
      </c>
      <c r="G21" s="17">
        <f t="shared" ref="G21:G23" si="32">(E21+0.0699)/3.3142</f>
        <v>1.3264136141451934</v>
      </c>
      <c r="H21" s="17">
        <v>2.0663999999999998</v>
      </c>
      <c r="I21" s="125">
        <v>6.8609999999999998</v>
      </c>
      <c r="J21" s="125">
        <v>2.3109999999999999</v>
      </c>
      <c r="K21" s="125">
        <v>15.4217</v>
      </c>
      <c r="L21" s="125">
        <v>12.004</v>
      </c>
      <c r="M21" s="125">
        <v>4.5148000000000001</v>
      </c>
      <c r="N21" s="125">
        <v>14.471</v>
      </c>
      <c r="O21" s="125">
        <v>19.803999999999998</v>
      </c>
      <c r="P21" s="125">
        <v>1.1255999999999999</v>
      </c>
      <c r="Q21" s="125">
        <v>2.0072000000000001</v>
      </c>
      <c r="R21" s="387">
        <v>4.3879999999999999</v>
      </c>
      <c r="S21" s="387">
        <v>4.8682999999999996</v>
      </c>
      <c r="T21" s="387">
        <v>30.723199999999999</v>
      </c>
      <c r="U21" s="19">
        <f t="shared" ref="U21:U23" si="33">(S21+0.0699)/3.3142</f>
        <v>1.4900126727415361</v>
      </c>
      <c r="V21" s="19">
        <v>2.2702</v>
      </c>
      <c r="W21" s="19"/>
      <c r="X21" s="19"/>
      <c r="Y21" s="19"/>
      <c r="Z21" s="387">
        <v>6.8609999999999998</v>
      </c>
      <c r="AA21" s="387">
        <v>2.8414000000000001</v>
      </c>
      <c r="AB21" s="387">
        <v>15.4434</v>
      </c>
      <c r="AC21" s="387">
        <v>12.004</v>
      </c>
      <c r="AD21" s="387">
        <v>4.5018000000000002</v>
      </c>
      <c r="AE21" s="387">
        <v>14.4239</v>
      </c>
      <c r="AF21" s="387">
        <v>19.803999999999998</v>
      </c>
      <c r="AG21" s="387">
        <v>1.1383000000000001</v>
      </c>
      <c r="AH21" s="387">
        <v>2.0276999999999998</v>
      </c>
      <c r="AI21" s="388">
        <v>4.383</v>
      </c>
      <c r="AJ21" s="388">
        <v>4.3242000000000003</v>
      </c>
      <c r="AK21" s="388">
        <v>27.2515</v>
      </c>
      <c r="AL21" s="16">
        <f t="shared" ref="AL21:AL23" si="34">(AJ21+0.0699)/3.3142</f>
        <v>1.3258403234566412</v>
      </c>
      <c r="AM21" s="16">
        <v>2.0657000000000001</v>
      </c>
      <c r="AN21" s="16"/>
      <c r="AO21" s="16"/>
      <c r="AP21" s="16"/>
      <c r="AQ21" s="388">
        <v>6.8579999999999997</v>
      </c>
      <c r="AR21" s="388">
        <v>2.8414000000000001</v>
      </c>
      <c r="AS21" s="388">
        <v>15.405900000000001</v>
      </c>
      <c r="AT21" s="388">
        <v>12.000999999999999</v>
      </c>
      <c r="AU21" s="388">
        <v>4.4941000000000004</v>
      </c>
      <c r="AV21" s="388">
        <v>14.385199999999999</v>
      </c>
      <c r="AW21" s="388">
        <v>19.797999999999998</v>
      </c>
      <c r="AX21" s="388">
        <v>1.0989</v>
      </c>
      <c r="AY21" s="388">
        <v>1.9487000000000001</v>
      </c>
      <c r="AZ21" s="389">
        <v>4.3879999999999999</v>
      </c>
      <c r="BA21" s="389">
        <v>4.8159999999999998</v>
      </c>
      <c r="BB21" s="389">
        <v>30.408999999999999</v>
      </c>
      <c r="BC21" s="18">
        <f t="shared" ref="BC21:BC23" si="35">(BA21+0.0699)/3.3142</f>
        <v>1.4742320922092811</v>
      </c>
      <c r="BD21" s="18">
        <v>2.2505999999999999</v>
      </c>
      <c r="BE21" s="18"/>
      <c r="BF21" s="18"/>
      <c r="BG21" s="18"/>
      <c r="BH21" s="389">
        <v>6.8579999999999997</v>
      </c>
      <c r="BI21" s="389">
        <v>2.8292000000000002</v>
      </c>
      <c r="BJ21" s="389">
        <v>15.329800000000001</v>
      </c>
      <c r="BK21" s="389">
        <v>12.000999999999999</v>
      </c>
      <c r="BL21" s="389">
        <v>4.4577999999999998</v>
      </c>
      <c r="BM21" s="389">
        <v>14.263199999999999</v>
      </c>
      <c r="BN21" s="389">
        <v>19.797999999999998</v>
      </c>
      <c r="BO21" s="389">
        <v>1.2039</v>
      </c>
      <c r="BP21" s="389">
        <v>2.1352000000000002</v>
      </c>
      <c r="BQ21" s="390">
        <v>4.3680000000000003</v>
      </c>
      <c r="BR21" s="390">
        <v>7.51E-2</v>
      </c>
      <c r="BS21" s="390">
        <v>0.51559999999999995</v>
      </c>
      <c r="BT21" s="23">
        <f t="shared" ref="BT21:BT23" si="36">(BR21+0.0699)/3.3142</f>
        <v>4.3751131494780042E-2</v>
      </c>
      <c r="BU21" s="23">
        <v>0.46879999999999999</v>
      </c>
      <c r="BV21" s="23"/>
      <c r="BW21" s="23"/>
      <c r="BX21" s="23"/>
      <c r="BY21" s="390">
        <v>6.8579999999999997</v>
      </c>
      <c r="BZ21" s="390">
        <v>2.8668</v>
      </c>
      <c r="CA21" s="390">
        <v>15.4368</v>
      </c>
      <c r="CB21" s="390">
        <v>12.000999999999999</v>
      </c>
      <c r="CC21" s="390">
        <v>4.3815999999999997</v>
      </c>
      <c r="CD21" s="390">
        <v>13.999000000000001</v>
      </c>
      <c r="CE21" s="390">
        <v>19.800999999999998</v>
      </c>
      <c r="CF21" s="390">
        <v>0.32990000000000003</v>
      </c>
      <c r="CG21" s="390">
        <v>0.59160000000000001</v>
      </c>
      <c r="CI21" s="12">
        <f t="shared" si="0"/>
        <v>1.4900126727415361</v>
      </c>
      <c r="CJ21" s="12">
        <f t="shared" si="1"/>
        <v>1.3258403234566412</v>
      </c>
      <c r="CK21" s="12">
        <f t="shared" si="2"/>
        <v>1.4742320922092811</v>
      </c>
      <c r="CL21" s="12">
        <f t="shared" si="11"/>
        <v>1.4300283628024861</v>
      </c>
      <c r="CM21">
        <f t="shared" si="12"/>
        <v>9.0573822584299996E-2</v>
      </c>
      <c r="CN21">
        <v>3</v>
      </c>
      <c r="CO21">
        <v>3.18</v>
      </c>
      <c r="CP21" s="12">
        <f t="shared" si="13"/>
        <v>0.16629117030484128</v>
      </c>
      <c r="CR21">
        <f t="shared" si="3"/>
        <v>1.4041246756381629</v>
      </c>
      <c r="CS21">
        <f t="shared" si="4"/>
        <v>9.0294419871052856E-2</v>
      </c>
      <c r="CT21">
        <f t="shared" si="14"/>
        <v>9.0573822584299996E-2</v>
      </c>
      <c r="CU21" s="12">
        <f t="shared" si="15"/>
        <v>2.590368716432323E-2</v>
      </c>
      <c r="CV21" s="12">
        <f t="shared" si="5"/>
        <v>0.2482533294783083</v>
      </c>
      <c r="CW21">
        <f t="shared" si="16"/>
        <v>2</v>
      </c>
      <c r="CX21">
        <v>3</v>
      </c>
      <c r="CY21">
        <v>1</v>
      </c>
      <c r="CZ21">
        <v>2.92</v>
      </c>
      <c r="DA21" t="s">
        <v>211</v>
      </c>
      <c r="DM21" t="s">
        <v>87</v>
      </c>
      <c r="DN21">
        <f t="shared" si="17"/>
        <v>28.956700000000001</v>
      </c>
      <c r="DO21" s="17">
        <f t="shared" ref="DO21:DO23" si="37">(DN21-1.8427)/18.998</f>
        <v>1.4272028634593115</v>
      </c>
      <c r="DQ21" s="12">
        <v>4.3751131494780042E-2</v>
      </c>
      <c r="DR21" s="12">
        <v>1.3264136141451934</v>
      </c>
      <c r="DS21" s="12">
        <f t="shared" si="19"/>
        <v>1.3322346801778178</v>
      </c>
      <c r="DU21" s="12">
        <v>1.3264136141451934</v>
      </c>
      <c r="EG21">
        <f t="shared" si="20"/>
        <v>-0.1036147486572927</v>
      </c>
    </row>
    <row r="22" spans="1:137">
      <c r="A22" s="256" t="s">
        <v>87</v>
      </c>
      <c r="B22" s="14">
        <v>44454</v>
      </c>
      <c r="C22" s="12">
        <v>721.68333333333328</v>
      </c>
      <c r="D22" s="125">
        <v>4.3840000000000003</v>
      </c>
      <c r="E22" s="125">
        <v>4.6313000000000004</v>
      </c>
      <c r="F22" s="125">
        <v>30.5215</v>
      </c>
      <c r="G22" s="17">
        <f t="shared" si="32"/>
        <v>1.4185022026431717</v>
      </c>
      <c r="H22" s="17">
        <v>2.1810999999999998</v>
      </c>
      <c r="I22" s="125">
        <v>6.8579999999999997</v>
      </c>
      <c r="J22" s="125">
        <v>2.9216000000000002</v>
      </c>
      <c r="K22" s="125">
        <v>15.7553</v>
      </c>
      <c r="L22" s="125">
        <v>12.004</v>
      </c>
      <c r="M22" s="125">
        <v>3.4079000000000002</v>
      </c>
      <c r="N22" s="125">
        <v>10.806800000000001</v>
      </c>
      <c r="O22" s="125">
        <v>10.794</v>
      </c>
      <c r="P22" s="125">
        <v>1.111</v>
      </c>
      <c r="Q22" s="125">
        <v>1.9774</v>
      </c>
      <c r="R22" s="387">
        <v>4.3879999999999999</v>
      </c>
      <c r="S22" s="387">
        <v>4.8776999999999999</v>
      </c>
      <c r="T22" s="387">
        <v>32.031999999999996</v>
      </c>
      <c r="U22" s="19">
        <f t="shared" si="33"/>
        <v>1.4928489529901634</v>
      </c>
      <c r="V22" s="19">
        <v>2.2738</v>
      </c>
      <c r="W22" s="19"/>
      <c r="X22" s="19"/>
      <c r="Y22" s="19"/>
      <c r="Z22" s="387">
        <v>6.8579999999999997</v>
      </c>
      <c r="AA22" s="387">
        <v>2.6509</v>
      </c>
      <c r="AB22" s="387">
        <v>14.2552</v>
      </c>
      <c r="AC22" s="387">
        <v>12.007999999999999</v>
      </c>
      <c r="AD22" s="387">
        <v>3.2238000000000002</v>
      </c>
      <c r="AE22" s="387">
        <v>10.205299999999999</v>
      </c>
      <c r="AF22" s="387">
        <v>19.795000000000002</v>
      </c>
      <c r="AG22" s="387">
        <v>1.1183000000000001</v>
      </c>
      <c r="AH22" s="387">
        <v>1.9824999999999999</v>
      </c>
      <c r="AI22" s="388">
        <v>4.3840000000000003</v>
      </c>
      <c r="AJ22" s="388">
        <v>4.3132000000000001</v>
      </c>
      <c r="AK22" s="388">
        <v>28.325399999999998</v>
      </c>
      <c r="AL22" s="16">
        <f t="shared" si="34"/>
        <v>1.3225212721018647</v>
      </c>
      <c r="AM22" s="16">
        <v>2.0615999999999999</v>
      </c>
      <c r="AN22" s="16"/>
      <c r="AO22" s="16"/>
      <c r="AP22" s="16"/>
      <c r="AQ22" s="388">
        <v>6.8579999999999997</v>
      </c>
      <c r="AR22" s="388">
        <v>2.7717999999999998</v>
      </c>
      <c r="AS22" s="388">
        <v>14.9152</v>
      </c>
      <c r="AT22" s="388">
        <v>12.007999999999999</v>
      </c>
      <c r="AU22" s="388">
        <v>3.3096999999999999</v>
      </c>
      <c r="AV22" s="388">
        <v>10.4757</v>
      </c>
      <c r="AW22" s="388">
        <v>19.794</v>
      </c>
      <c r="AX22" s="388">
        <v>1.0521</v>
      </c>
      <c r="AY22" s="388">
        <v>1.8632</v>
      </c>
      <c r="AZ22" s="389">
        <v>4.3879999999999999</v>
      </c>
      <c r="BA22" s="389">
        <v>4.7419000000000002</v>
      </c>
      <c r="BB22" s="389">
        <v>31.2974</v>
      </c>
      <c r="BC22" s="18">
        <f t="shared" si="35"/>
        <v>1.4518737553557419</v>
      </c>
      <c r="BD22" s="18">
        <v>2.2227000000000001</v>
      </c>
      <c r="BE22" s="18"/>
      <c r="BF22" s="18"/>
      <c r="BG22" s="18"/>
      <c r="BH22" s="389">
        <v>6.8579999999999997</v>
      </c>
      <c r="BI22" s="389">
        <v>2.6907999999999999</v>
      </c>
      <c r="BJ22" s="389">
        <v>14.489000000000001</v>
      </c>
      <c r="BK22" s="389">
        <v>12.007999999999999</v>
      </c>
      <c r="BL22" s="389">
        <v>3.2621000000000002</v>
      </c>
      <c r="BM22" s="389">
        <v>10.331</v>
      </c>
      <c r="BN22" s="389">
        <v>19.791</v>
      </c>
      <c r="BO22" s="389">
        <v>1.1952</v>
      </c>
      <c r="BP22" s="389">
        <v>2.1221999999999999</v>
      </c>
      <c r="BQ22" s="390">
        <v>4.3680000000000003</v>
      </c>
      <c r="BR22" s="390">
        <v>0.14249999999999999</v>
      </c>
      <c r="BS22" s="390">
        <v>0.6966</v>
      </c>
      <c r="BT22" s="23">
        <f t="shared" si="36"/>
        <v>6.4087864341319162E-2</v>
      </c>
      <c r="BU22" s="23">
        <v>0.49419999999999997</v>
      </c>
      <c r="BV22" s="23"/>
      <c r="BW22" s="23"/>
      <c r="BX22" s="23"/>
      <c r="BY22" s="390">
        <v>6.8579999999999997</v>
      </c>
      <c r="BZ22" s="390">
        <v>2.9971000000000001</v>
      </c>
      <c r="CA22" s="390">
        <v>16.140599999999999</v>
      </c>
      <c r="CB22" s="390">
        <v>12.005000000000001</v>
      </c>
      <c r="CC22" s="390">
        <v>3.2498</v>
      </c>
      <c r="CD22" s="390">
        <v>10.2722</v>
      </c>
      <c r="CE22" s="390">
        <v>19.797999999999998</v>
      </c>
      <c r="CF22" s="390">
        <v>0.30470000000000003</v>
      </c>
      <c r="CG22" s="390">
        <v>0.54890000000000005</v>
      </c>
      <c r="CI22" s="12">
        <f t="shared" si="0"/>
        <v>1.4928489529901634</v>
      </c>
      <c r="CJ22" s="12">
        <f t="shared" si="1"/>
        <v>1.3225212721018647</v>
      </c>
      <c r="CK22" s="12">
        <f t="shared" si="2"/>
        <v>1.4518737553557419</v>
      </c>
      <c r="CL22" s="12">
        <f t="shared" si="11"/>
        <v>1.4224146601492567</v>
      </c>
      <c r="CM22">
        <f t="shared" si="12"/>
        <v>8.8903084518958647E-2</v>
      </c>
      <c r="CN22">
        <v>3</v>
      </c>
      <c r="CO22">
        <v>3.18</v>
      </c>
      <c r="CP22" s="12">
        <f t="shared" si="13"/>
        <v>0.16322373889661207</v>
      </c>
      <c r="CR22">
        <f t="shared" si="3"/>
        <v>1.4214365457727354</v>
      </c>
      <c r="CS22">
        <f t="shared" si="4"/>
        <v>7.2615419314754584E-2</v>
      </c>
      <c r="CT22">
        <f t="shared" si="14"/>
        <v>8.8903084518958647E-2</v>
      </c>
      <c r="CU22" s="12">
        <f t="shared" si="15"/>
        <v>9.7811437652128852E-4</v>
      </c>
      <c r="CV22" s="12">
        <f t="shared" si="5"/>
        <v>1.0999367195469997E-2</v>
      </c>
      <c r="CW22">
        <f t="shared" si="16"/>
        <v>2</v>
      </c>
      <c r="CX22">
        <v>3</v>
      </c>
      <c r="CY22">
        <v>1</v>
      </c>
      <c r="CZ22">
        <v>2.92</v>
      </c>
      <c r="DA22" t="s">
        <v>211</v>
      </c>
      <c r="DM22" t="s">
        <v>87</v>
      </c>
      <c r="DN22">
        <f t="shared" si="17"/>
        <v>30.5215</v>
      </c>
      <c r="DO22" s="17">
        <f t="shared" si="37"/>
        <v>1.50956942836088</v>
      </c>
      <c r="DQ22" s="12">
        <v>6.4087864341319162E-2</v>
      </c>
      <c r="DR22" s="12">
        <v>1.4185022026431717</v>
      </c>
      <c r="DS22" s="12">
        <f t="shared" si="19"/>
        <v>1.2836790063441237</v>
      </c>
      <c r="DU22" s="12">
        <v>1.4185022026431717</v>
      </c>
      <c r="EG22">
        <f t="shared" si="20"/>
        <v>-3.912457506084932E-3</v>
      </c>
    </row>
    <row r="23" spans="1:137">
      <c r="A23" s="256" t="s">
        <v>87</v>
      </c>
      <c r="B23" s="14">
        <v>44455</v>
      </c>
      <c r="C23" s="12">
        <v>744.58333333333337</v>
      </c>
      <c r="D23" s="125">
        <v>4.3840000000000003</v>
      </c>
      <c r="E23" s="125">
        <v>4.6759000000000004</v>
      </c>
      <c r="F23" s="125">
        <v>29.982700000000001</v>
      </c>
      <c r="G23" s="17">
        <f t="shared" si="32"/>
        <v>1.4319594472270833</v>
      </c>
      <c r="H23" s="17">
        <v>2.1979000000000002</v>
      </c>
      <c r="I23" s="125">
        <v>6.8540000000000001</v>
      </c>
      <c r="J23" s="125">
        <v>1.9178999999999999</v>
      </c>
      <c r="K23" s="125">
        <v>10.1553</v>
      </c>
      <c r="L23" s="125">
        <v>12.000999999999999</v>
      </c>
      <c r="M23" s="125">
        <v>2.5870000000000002</v>
      </c>
      <c r="N23" s="125">
        <v>8.1504999999999992</v>
      </c>
      <c r="O23" s="125">
        <v>19.783999999999999</v>
      </c>
      <c r="P23" s="125">
        <v>1.123</v>
      </c>
      <c r="Q23" s="125">
        <v>2.0013000000000001</v>
      </c>
      <c r="R23" s="387">
        <v>4.3849999999999998</v>
      </c>
      <c r="S23" s="387">
        <v>5.0674999999999999</v>
      </c>
      <c r="T23" s="387">
        <v>31.776299999999999</v>
      </c>
      <c r="U23" s="19">
        <f t="shared" si="33"/>
        <v>1.5501176754571238</v>
      </c>
      <c r="V23" s="19">
        <v>2.3451</v>
      </c>
      <c r="W23" s="19"/>
      <c r="X23" s="19"/>
      <c r="Y23" s="19"/>
      <c r="Z23" s="387">
        <v>6.851</v>
      </c>
      <c r="AA23" s="387">
        <v>2.2222</v>
      </c>
      <c r="AB23" s="387">
        <v>11.4895</v>
      </c>
      <c r="AC23" s="387">
        <v>11.997999999999999</v>
      </c>
      <c r="AD23" s="387">
        <v>2.5746000000000002</v>
      </c>
      <c r="AE23" s="387">
        <v>8.1152999999999995</v>
      </c>
      <c r="AF23" s="387">
        <v>19.777999999999999</v>
      </c>
      <c r="AG23" s="387">
        <v>1.1598999999999999</v>
      </c>
      <c r="AH23" s="387">
        <v>2.0594999999999999</v>
      </c>
      <c r="AI23" s="388">
        <v>4.3810000000000002</v>
      </c>
      <c r="AJ23" s="388">
        <v>4.6165000000000003</v>
      </c>
      <c r="AK23" s="388">
        <v>28.9023</v>
      </c>
      <c r="AL23" s="16">
        <f t="shared" si="34"/>
        <v>1.4140365699112907</v>
      </c>
      <c r="AM23" s="16">
        <v>2.1756000000000002</v>
      </c>
      <c r="AN23" s="16"/>
      <c r="AO23" s="16"/>
      <c r="AP23" s="16"/>
      <c r="AQ23" s="388">
        <v>6.851</v>
      </c>
      <c r="AR23" s="388">
        <v>2.1785000000000001</v>
      </c>
      <c r="AS23" s="388">
        <v>11.2157</v>
      </c>
      <c r="AT23" s="388">
        <v>12.000999999999999</v>
      </c>
      <c r="AU23" s="388">
        <v>2.6088</v>
      </c>
      <c r="AV23" s="388">
        <v>8.2284000000000006</v>
      </c>
      <c r="AW23" s="388">
        <v>19.780999999999999</v>
      </c>
      <c r="AX23" s="388">
        <v>1.1415999999999999</v>
      </c>
      <c r="AY23" s="388">
        <v>2.0169000000000001</v>
      </c>
      <c r="AZ23" s="389">
        <v>4.3840000000000003</v>
      </c>
      <c r="BA23" s="389">
        <v>5.0052000000000003</v>
      </c>
      <c r="BB23" s="389">
        <v>30.896000000000001</v>
      </c>
      <c r="BC23" s="18">
        <f t="shared" si="35"/>
        <v>1.5313197755114356</v>
      </c>
      <c r="BD23" s="18">
        <v>2.3216999999999999</v>
      </c>
      <c r="BE23" s="18"/>
      <c r="BF23" s="18"/>
      <c r="BG23" s="18"/>
      <c r="BH23" s="389">
        <v>6.851</v>
      </c>
      <c r="BI23" s="389">
        <v>2.2286999999999999</v>
      </c>
      <c r="BJ23" s="389">
        <v>10.9414</v>
      </c>
      <c r="BK23" s="389">
        <v>12.000999999999999</v>
      </c>
      <c r="BL23" s="389">
        <v>2.5621999999999998</v>
      </c>
      <c r="BM23" s="389">
        <v>8.0870999999999995</v>
      </c>
      <c r="BN23" s="389">
        <v>19.783999999999999</v>
      </c>
      <c r="BO23" s="389">
        <v>1.1974</v>
      </c>
      <c r="BP23" s="389">
        <v>2.1215000000000002</v>
      </c>
      <c r="BQ23" s="390">
        <v>4.3639999999999999</v>
      </c>
      <c r="BR23" s="390">
        <v>0.21709999999999999</v>
      </c>
      <c r="BS23" s="390">
        <v>0.61909999999999998</v>
      </c>
      <c r="BT23" s="23">
        <f t="shared" si="36"/>
        <v>8.6597067165530131E-2</v>
      </c>
      <c r="BU23" s="23">
        <v>0.5222</v>
      </c>
      <c r="BV23" s="23"/>
      <c r="BW23" s="23"/>
      <c r="BX23" s="23"/>
      <c r="BY23" s="390">
        <v>6.8540000000000001</v>
      </c>
      <c r="BZ23" s="390">
        <v>2.0051999999999999</v>
      </c>
      <c r="CA23" s="390">
        <v>10.617000000000001</v>
      </c>
      <c r="CB23" s="390">
        <v>12.000999999999999</v>
      </c>
      <c r="CC23" s="390">
        <v>2.4676999999999998</v>
      </c>
      <c r="CD23" s="390">
        <v>7.7789000000000001</v>
      </c>
      <c r="CE23" s="390">
        <v>19.791</v>
      </c>
      <c r="CF23" s="390">
        <v>0.31259999999999999</v>
      </c>
      <c r="CG23" s="390">
        <v>0.56389999999999996</v>
      </c>
      <c r="CI23" s="12">
        <f t="shared" si="0"/>
        <v>1.5501176754571238</v>
      </c>
      <c r="CJ23" s="12">
        <f t="shared" si="1"/>
        <v>1.4140365699112907</v>
      </c>
      <c r="CK23" s="12">
        <f t="shared" si="2"/>
        <v>1.5313197755114356</v>
      </c>
      <c r="CL23" s="12">
        <f t="shared" si="11"/>
        <v>1.4984913402932831</v>
      </c>
      <c r="CM23">
        <f t="shared" si="12"/>
        <v>7.3741416048231367E-2</v>
      </c>
      <c r="CN23">
        <v>3</v>
      </c>
      <c r="CO23">
        <v>3.18</v>
      </c>
      <c r="CP23" s="12">
        <f t="shared" si="13"/>
        <v>0.13538731197066842</v>
      </c>
      <c r="CR23">
        <f t="shared" si="3"/>
        <v>1.4818583670267333</v>
      </c>
      <c r="CS23">
        <f t="shared" si="4"/>
        <v>6.8788231740189193E-2</v>
      </c>
      <c r="CT23">
        <f t="shared" si="14"/>
        <v>7.3741416048231367E-2</v>
      </c>
      <c r="CU23" s="12">
        <f t="shared" si="15"/>
        <v>1.6632973266549778E-2</v>
      </c>
      <c r="CV23" s="12">
        <f t="shared" si="5"/>
        <v>0.20560530679319955</v>
      </c>
      <c r="CW23">
        <f t="shared" si="16"/>
        <v>2</v>
      </c>
      <c r="CX23">
        <v>3</v>
      </c>
      <c r="CY23">
        <v>1</v>
      </c>
      <c r="CZ23">
        <v>2.92</v>
      </c>
      <c r="DA23" t="s">
        <v>211</v>
      </c>
      <c r="DM23" t="s">
        <v>87</v>
      </c>
      <c r="DN23">
        <f t="shared" si="17"/>
        <v>29.982700000000001</v>
      </c>
      <c r="DO23" s="17">
        <f t="shared" si="37"/>
        <v>1.4812085482682387</v>
      </c>
      <c r="DQ23" s="12">
        <v>8.6597067165530131E-2</v>
      </c>
      <c r="DR23" s="12">
        <v>1.4319594472270833</v>
      </c>
      <c r="DS23" s="12">
        <f t="shared" si="19"/>
        <v>1.2619996042029635</v>
      </c>
      <c r="DU23" s="12">
        <v>1.4319594472270833</v>
      </c>
      <c r="EG23">
        <f t="shared" si="20"/>
        <v>-6.6531893066199999E-2</v>
      </c>
    </row>
    <row r="24" spans="1:137">
      <c r="A24" s="256" t="s">
        <v>88</v>
      </c>
      <c r="B24" s="14">
        <v>44456</v>
      </c>
      <c r="C24" s="12">
        <v>768.7</v>
      </c>
      <c r="D24" s="125">
        <v>4.3949999999999996</v>
      </c>
      <c r="E24" s="125">
        <v>4.2122999999999999</v>
      </c>
      <c r="F24" s="125">
        <v>28.588799999999999</v>
      </c>
      <c r="G24" s="17">
        <f>(E24-0.3254)/3.2261</f>
        <v>1.2048293605281919</v>
      </c>
      <c r="H24" s="17">
        <v>2.0236999999999998</v>
      </c>
      <c r="I24" s="125">
        <v>6.9589999999999996</v>
      </c>
      <c r="J24" s="125">
        <v>3.2107000000000001</v>
      </c>
      <c r="K24" s="125">
        <v>18.143999999999998</v>
      </c>
      <c r="L24" s="125">
        <v>11.958</v>
      </c>
      <c r="M24" s="125">
        <v>4.1698000000000004</v>
      </c>
      <c r="N24" s="125">
        <v>13.6464</v>
      </c>
      <c r="O24" s="125">
        <v>19.731000000000002</v>
      </c>
      <c r="P24" s="125">
        <v>1.1546000000000001</v>
      </c>
      <c r="Q24" s="125">
        <v>2.0972</v>
      </c>
      <c r="R24" s="387">
        <v>4.3940000000000001</v>
      </c>
      <c r="S24" s="387">
        <v>4.7450999999999999</v>
      </c>
      <c r="T24" s="387">
        <v>30.275500000000001</v>
      </c>
      <c r="U24" s="19">
        <f>(S24-0.3254)/3.2261</f>
        <v>1.3699823316078235</v>
      </c>
      <c r="V24" s="19">
        <v>2.2239</v>
      </c>
      <c r="W24" s="19"/>
      <c r="X24" s="19"/>
      <c r="Y24" s="19"/>
      <c r="Z24" s="387">
        <v>6.8540000000000001</v>
      </c>
      <c r="AA24" s="387">
        <v>3.2212000000000001</v>
      </c>
      <c r="AB24" s="387">
        <v>18.1282</v>
      </c>
      <c r="AC24" s="387">
        <v>11.958</v>
      </c>
      <c r="AD24" s="387">
        <v>4.0640000000000001</v>
      </c>
      <c r="AE24" s="387">
        <v>13.2819</v>
      </c>
      <c r="AF24" s="387">
        <v>19.728000000000002</v>
      </c>
      <c r="AG24" s="387">
        <v>1.1446000000000001</v>
      </c>
      <c r="AH24" s="387">
        <v>2.0756999999999999</v>
      </c>
      <c r="AI24" s="388">
        <v>4.391</v>
      </c>
      <c r="AJ24" s="388">
        <v>4.3446999999999996</v>
      </c>
      <c r="AK24" s="388">
        <v>27.744800000000001</v>
      </c>
      <c r="AL24" s="16">
        <f>(AJ24-0.3254)/3.2261</f>
        <v>1.245869625864046</v>
      </c>
      <c r="AM24" s="16">
        <v>2.0733999999999999</v>
      </c>
      <c r="AN24" s="16"/>
      <c r="AO24" s="16"/>
      <c r="AP24" s="16"/>
      <c r="AQ24" s="388">
        <v>6.851</v>
      </c>
      <c r="AR24" s="388">
        <v>3.1393</v>
      </c>
      <c r="AS24" s="388">
        <v>17.621500000000001</v>
      </c>
      <c r="AT24" s="388">
        <v>11.954000000000001</v>
      </c>
      <c r="AU24" s="388">
        <v>4.1051000000000002</v>
      </c>
      <c r="AV24" s="388">
        <v>13.4255</v>
      </c>
      <c r="AW24" s="388">
        <v>19.721</v>
      </c>
      <c r="AX24" s="388">
        <v>1.0822000000000001</v>
      </c>
      <c r="AY24" s="388">
        <v>1.9595</v>
      </c>
      <c r="AZ24" s="389">
        <v>4.391</v>
      </c>
      <c r="BA24" s="389">
        <v>4.4893000000000001</v>
      </c>
      <c r="BB24" s="389">
        <v>29.612100000000002</v>
      </c>
      <c r="BC24" s="18">
        <f>(BA24-0.3254)/3.2261</f>
        <v>1.2906915470692166</v>
      </c>
      <c r="BD24" s="18">
        <v>2.1278000000000001</v>
      </c>
      <c r="BE24" s="18"/>
      <c r="BF24" s="18"/>
      <c r="BG24" s="18"/>
      <c r="BH24" s="389">
        <v>6.851</v>
      </c>
      <c r="BI24" s="389">
        <v>3.2581000000000002</v>
      </c>
      <c r="BJ24" s="389">
        <v>17.896999999999998</v>
      </c>
      <c r="BK24" s="389">
        <v>11.954000000000001</v>
      </c>
      <c r="BL24" s="389">
        <v>4.2333999999999996</v>
      </c>
      <c r="BM24" s="389">
        <v>13.8439</v>
      </c>
      <c r="BN24" s="389">
        <v>19.721</v>
      </c>
      <c r="BO24" s="389">
        <v>1.2386999999999999</v>
      </c>
      <c r="BP24" s="389">
        <v>2.2429999999999999</v>
      </c>
      <c r="BQ24" s="390">
        <v>4.3710000000000004</v>
      </c>
      <c r="BR24" s="390">
        <v>0.11609999999999999</v>
      </c>
      <c r="BS24" s="390">
        <v>0.61980000000000002</v>
      </c>
      <c r="BT24" s="23">
        <v>0</v>
      </c>
      <c r="BU24" s="23">
        <v>0.48420000000000002</v>
      </c>
      <c r="BV24" s="23"/>
      <c r="BW24" s="23"/>
      <c r="BX24" s="23"/>
      <c r="BY24" s="390">
        <v>6.8540000000000001</v>
      </c>
      <c r="BZ24" s="390">
        <v>3.1943000000000001</v>
      </c>
      <c r="CA24" s="390">
        <v>17.8431</v>
      </c>
      <c r="CB24" s="390">
        <v>11.954000000000001</v>
      </c>
      <c r="CC24" s="390">
        <v>4.0328999999999997</v>
      </c>
      <c r="CD24" s="390">
        <v>13.155200000000001</v>
      </c>
      <c r="CE24" s="390">
        <v>19.728000000000002</v>
      </c>
      <c r="CF24" s="390">
        <v>0.45029999999999998</v>
      </c>
      <c r="CG24" s="390">
        <v>0.81789999999999996</v>
      </c>
      <c r="CI24" s="12">
        <f t="shared" si="0"/>
        <v>1.3699823316078235</v>
      </c>
      <c r="CJ24" s="12">
        <f t="shared" si="1"/>
        <v>1.245869625864046</v>
      </c>
      <c r="CK24" s="12">
        <f t="shared" si="2"/>
        <v>1.2906915470692166</v>
      </c>
      <c r="CL24" s="12">
        <f t="shared" si="11"/>
        <v>1.3021811681803621</v>
      </c>
      <c r="CM24">
        <f t="shared" si="12"/>
        <v>6.284902128687947E-2</v>
      </c>
      <c r="CN24">
        <v>3</v>
      </c>
      <c r="CO24">
        <v>3.18</v>
      </c>
      <c r="CP24" s="12">
        <f t="shared" si="13"/>
        <v>0.11538915995934435</v>
      </c>
      <c r="CR24">
        <f t="shared" si="3"/>
        <v>1.2778432162673194</v>
      </c>
      <c r="CS24">
        <f t="shared" si="4"/>
        <v>7.0729601990717927E-2</v>
      </c>
      <c r="CT24">
        <f t="shared" si="14"/>
        <v>6.284902128687947E-2</v>
      </c>
      <c r="CU24" s="12">
        <f t="shared" si="15"/>
        <v>2.4337951913042666E-2</v>
      </c>
      <c r="CV24" s="12">
        <f t="shared" si="5"/>
        <v>0.30615972654967161</v>
      </c>
      <c r="CW24">
        <f t="shared" si="16"/>
        <v>2</v>
      </c>
      <c r="CX24">
        <v>3</v>
      </c>
      <c r="CY24">
        <v>1</v>
      </c>
      <c r="CZ24">
        <v>2.92</v>
      </c>
      <c r="DA24" t="s">
        <v>211</v>
      </c>
      <c r="DC24" t="s">
        <v>193</v>
      </c>
      <c r="DL24" t="s">
        <v>887</v>
      </c>
      <c r="DM24" t="s">
        <v>88</v>
      </c>
      <c r="DN24">
        <f t="shared" si="17"/>
        <v>28.588799999999999</v>
      </c>
      <c r="DO24" s="17">
        <f>(DN24-4.1055)/18.68</f>
        <v>1.3106691648822271</v>
      </c>
      <c r="DQ24" s="12">
        <v>0</v>
      </c>
      <c r="DR24" s="12">
        <v>1.2048293605281919</v>
      </c>
      <c r="DS24" s="12">
        <f t="shared" si="19"/>
        <v>1.2398776612095705</v>
      </c>
      <c r="DU24" s="12">
        <v>1.2048293605281919</v>
      </c>
      <c r="EG24">
        <f t="shared" si="20"/>
        <v>-9.735180765217015E-2</v>
      </c>
    </row>
    <row r="25" spans="1:137">
      <c r="A25" s="256" t="s">
        <v>88</v>
      </c>
      <c r="B25" s="14">
        <v>44459</v>
      </c>
      <c r="C25" s="12">
        <v>840.81666666666672</v>
      </c>
      <c r="D25" s="125">
        <v>4.391</v>
      </c>
      <c r="E25" s="125">
        <v>4.2994000000000003</v>
      </c>
      <c r="F25" s="125">
        <v>28.391999999999999</v>
      </c>
      <c r="G25" s="17">
        <f t="shared" ref="G25:G26" si="38">(E25-0.3254)/3.2261</f>
        <v>1.2318279036607669</v>
      </c>
      <c r="H25" s="17">
        <v>2.0564</v>
      </c>
      <c r="I25" s="125">
        <v>6.8479999999999999</v>
      </c>
      <c r="J25" s="125">
        <v>2.5299999999999998</v>
      </c>
      <c r="K25" s="125">
        <v>13.512600000000001</v>
      </c>
      <c r="L25" s="125">
        <v>11.951000000000001</v>
      </c>
      <c r="M25" s="125">
        <v>3.6976</v>
      </c>
      <c r="N25" s="125">
        <v>12.015000000000001</v>
      </c>
      <c r="O25" s="125">
        <v>19.710999999999999</v>
      </c>
      <c r="P25" s="125">
        <v>1.0208999999999999</v>
      </c>
      <c r="Q25" s="125">
        <v>1.8462000000000001</v>
      </c>
      <c r="R25" s="387">
        <v>4.391</v>
      </c>
      <c r="S25" s="387">
        <v>4.7394999999999996</v>
      </c>
      <c r="T25" s="387">
        <v>30.227900000000002</v>
      </c>
      <c r="U25" s="19">
        <f t="shared" ref="U25:U26" si="39">(S25-0.3254)/3.2261</f>
        <v>1.3682464895694488</v>
      </c>
      <c r="V25" s="19">
        <v>2.2218</v>
      </c>
      <c r="W25" s="19"/>
      <c r="X25" s="19"/>
      <c r="Y25" s="19"/>
      <c r="Z25" s="387">
        <v>6.8440000000000003</v>
      </c>
      <c r="AA25" s="387">
        <v>2.3418999999999999</v>
      </c>
      <c r="AB25" s="387">
        <v>12.8344</v>
      </c>
      <c r="AC25" s="387">
        <v>11.951000000000001</v>
      </c>
      <c r="AD25" s="387">
        <v>3.6446000000000001</v>
      </c>
      <c r="AE25" s="387">
        <v>11.830399999999999</v>
      </c>
      <c r="AF25" s="387">
        <v>19.710999999999999</v>
      </c>
      <c r="AG25" s="387">
        <v>1.0431999999999999</v>
      </c>
      <c r="AH25" s="387">
        <v>1.8883000000000001</v>
      </c>
      <c r="AI25" s="388">
        <v>4.3879999999999999</v>
      </c>
      <c r="AJ25" s="388">
        <v>4.2656000000000001</v>
      </c>
      <c r="AK25" s="388">
        <v>27.149699999999999</v>
      </c>
      <c r="AL25" s="16">
        <f t="shared" ref="AL25:AL26" si="40">(AJ25-0.3254)/3.2261</f>
        <v>1.2213508570720064</v>
      </c>
      <c r="AM25" s="16">
        <v>2.0436999999999999</v>
      </c>
      <c r="AN25" s="16"/>
      <c r="AO25" s="16"/>
      <c r="AP25" s="16"/>
      <c r="AQ25" s="388">
        <v>6.8449999999999998</v>
      </c>
      <c r="AR25" s="388">
        <v>2.4754</v>
      </c>
      <c r="AS25" s="388">
        <v>13.5817</v>
      </c>
      <c r="AT25" s="388">
        <v>11.951000000000001</v>
      </c>
      <c r="AU25" s="388">
        <v>3.7113</v>
      </c>
      <c r="AV25" s="388">
        <v>12.0464</v>
      </c>
      <c r="AW25" s="388">
        <v>19.710999999999999</v>
      </c>
      <c r="AX25" s="388">
        <v>1.006</v>
      </c>
      <c r="AY25" s="388">
        <v>1.8182</v>
      </c>
      <c r="AZ25" s="389">
        <v>4.3879999999999999</v>
      </c>
      <c r="BA25" s="389">
        <v>4.3425000000000002</v>
      </c>
      <c r="BB25" s="389">
        <v>28.654</v>
      </c>
      <c r="BC25" s="18">
        <f t="shared" ref="BC25:BC26" si="41">(BA25-0.3254)/3.2261</f>
        <v>1.2451876879203991</v>
      </c>
      <c r="BD25" s="18">
        <v>2.0726</v>
      </c>
      <c r="BE25" s="18"/>
      <c r="BF25" s="18"/>
      <c r="BG25" s="18"/>
      <c r="BH25" s="389">
        <v>6.8440000000000003</v>
      </c>
      <c r="BI25" s="389">
        <v>2.4506000000000001</v>
      </c>
      <c r="BJ25" s="389">
        <v>13.0183</v>
      </c>
      <c r="BK25" s="389">
        <v>11.951000000000001</v>
      </c>
      <c r="BL25" s="389">
        <v>3.6128</v>
      </c>
      <c r="BM25" s="389">
        <v>11.7089</v>
      </c>
      <c r="BN25" s="389">
        <v>19.710999999999999</v>
      </c>
      <c r="BO25" s="389">
        <v>1.0881000000000001</v>
      </c>
      <c r="BP25" s="389">
        <v>1.9675</v>
      </c>
      <c r="BQ25" s="390">
        <v>4.3710000000000004</v>
      </c>
      <c r="BR25" s="390">
        <v>9.1700000000000004E-2</v>
      </c>
      <c r="BS25" s="390">
        <v>0.49349999999999999</v>
      </c>
      <c r="BT25" s="23">
        <v>0</v>
      </c>
      <c r="BU25" s="23">
        <v>0.47510000000000002</v>
      </c>
      <c r="BV25" s="23"/>
      <c r="BW25" s="23"/>
      <c r="BX25" s="23"/>
      <c r="BY25" s="390">
        <v>6.8479999999999999</v>
      </c>
      <c r="BZ25" s="390">
        <v>2.4295</v>
      </c>
      <c r="CA25" s="390">
        <v>13.194800000000001</v>
      </c>
      <c r="CB25" s="390">
        <v>11.954000000000001</v>
      </c>
      <c r="CC25" s="390">
        <v>3.5032999999999999</v>
      </c>
      <c r="CD25" s="390">
        <v>11.3264</v>
      </c>
      <c r="CE25" s="390">
        <v>19.721</v>
      </c>
      <c r="CF25" s="390">
        <v>0.31469999999999998</v>
      </c>
      <c r="CG25" s="390">
        <v>0.57140000000000002</v>
      </c>
      <c r="CI25" s="12">
        <f t="shared" si="0"/>
        <v>1.3682464895694488</v>
      </c>
      <c r="CJ25" s="12">
        <f t="shared" si="1"/>
        <v>1.2213508570720064</v>
      </c>
      <c r="CK25" s="12">
        <f t="shared" si="2"/>
        <v>1.2451876879203991</v>
      </c>
      <c r="CL25" s="12">
        <f t="shared" si="11"/>
        <v>1.2782616781872849</v>
      </c>
      <c r="CM25">
        <f t="shared" si="12"/>
        <v>7.8835260739319249E-2</v>
      </c>
      <c r="CN25">
        <v>3</v>
      </c>
      <c r="CO25">
        <v>3.18</v>
      </c>
      <c r="CP25" s="12">
        <f t="shared" si="13"/>
        <v>0.14473947765014739</v>
      </c>
      <c r="CR25">
        <f t="shared" si="3"/>
        <v>1.2666532345556554</v>
      </c>
      <c r="CS25">
        <f t="shared" si="4"/>
        <v>6.8427743482346703E-2</v>
      </c>
      <c r="CT25">
        <f t="shared" si="14"/>
        <v>7.8835260739319249E-2</v>
      </c>
      <c r="CU25" s="12">
        <f t="shared" si="15"/>
        <v>1.1608443631629495E-2</v>
      </c>
      <c r="CV25" s="12">
        <f t="shared" si="5"/>
        <v>0.14125139814935234</v>
      </c>
      <c r="CW25">
        <f t="shared" si="16"/>
        <v>2</v>
      </c>
      <c r="CX25">
        <v>3</v>
      </c>
      <c r="CY25">
        <v>1</v>
      </c>
      <c r="CZ25">
        <v>2.92</v>
      </c>
      <c r="DA25" t="s">
        <v>211</v>
      </c>
      <c r="DC25" s="12">
        <f>C32</f>
        <v>1056.8666666666666</v>
      </c>
      <c r="DM25" t="s">
        <v>88</v>
      </c>
      <c r="DN25">
        <f t="shared" si="17"/>
        <v>28.391999999999999</v>
      </c>
      <c r="DO25" s="17">
        <f t="shared" ref="DO25:DO26" si="42">(DN25-4.1055)/18.68</f>
        <v>1.3001338329764454</v>
      </c>
      <c r="DQ25" s="12">
        <v>0</v>
      </c>
      <c r="DR25" s="12">
        <v>1.2318279036607669</v>
      </c>
      <c r="DS25" s="12">
        <f t="shared" si="19"/>
        <v>1.1776446926201887</v>
      </c>
      <c r="DU25" s="12">
        <v>1.2318279036607669</v>
      </c>
      <c r="EG25">
        <f t="shared" si="20"/>
        <v>-4.6433774526517903E-2</v>
      </c>
    </row>
    <row r="26" spans="1:137">
      <c r="A26" s="256" t="s">
        <v>88</v>
      </c>
      <c r="B26" s="14">
        <v>44460</v>
      </c>
      <c r="C26" s="12">
        <v>863.58333333333337</v>
      </c>
      <c r="D26" s="125">
        <v>4.3879999999999999</v>
      </c>
      <c r="E26" s="125">
        <v>3.7519999999999998</v>
      </c>
      <c r="F26" s="125">
        <v>25.561</v>
      </c>
      <c r="G26" s="17">
        <f t="shared" si="38"/>
        <v>1.0621493444096586</v>
      </c>
      <c r="H26" s="17">
        <v>1.8507</v>
      </c>
      <c r="I26" s="125">
        <v>6.8479999999999999</v>
      </c>
      <c r="J26" s="125">
        <v>2.8052000000000001</v>
      </c>
      <c r="K26" s="125">
        <v>15.4255</v>
      </c>
      <c r="L26" s="125">
        <v>11.951000000000001</v>
      </c>
      <c r="M26" s="125">
        <v>4.0186999999999999</v>
      </c>
      <c r="N26" s="125">
        <v>13.0352</v>
      </c>
      <c r="O26" s="125">
        <v>19.707999999999998</v>
      </c>
      <c r="P26" s="125">
        <v>1.0067999999999999</v>
      </c>
      <c r="Q26" s="125">
        <v>1.8184</v>
      </c>
      <c r="R26" s="387">
        <v>4.3879999999999999</v>
      </c>
      <c r="S26" s="387">
        <v>4.3765000000000001</v>
      </c>
      <c r="T26" s="387">
        <v>28.403300000000002</v>
      </c>
      <c r="U26" s="19">
        <f t="shared" si="39"/>
        <v>1.255726728867673</v>
      </c>
      <c r="V26" s="19">
        <v>2.0853999999999999</v>
      </c>
      <c r="W26" s="19"/>
      <c r="X26" s="19"/>
      <c r="Y26" s="19"/>
      <c r="Z26" s="387">
        <v>6.8449999999999998</v>
      </c>
      <c r="AA26" s="387">
        <v>2.7332999999999998</v>
      </c>
      <c r="AB26" s="387">
        <v>15.040900000000001</v>
      </c>
      <c r="AC26" s="387">
        <v>11.948</v>
      </c>
      <c r="AD26" s="387">
        <v>3.9512999999999998</v>
      </c>
      <c r="AE26" s="387">
        <v>12.806100000000001</v>
      </c>
      <c r="AF26" s="387">
        <v>19.701000000000001</v>
      </c>
      <c r="AG26" s="387">
        <v>1.2594000000000001</v>
      </c>
      <c r="AH26" s="387">
        <v>2.2768999999999999</v>
      </c>
      <c r="AI26" s="388">
        <v>4.383</v>
      </c>
      <c r="AJ26" s="388">
        <v>3.6252</v>
      </c>
      <c r="AK26" s="388">
        <v>24.800599999999999</v>
      </c>
      <c r="AL26" s="16">
        <f t="shared" si="40"/>
        <v>1.0228449211121786</v>
      </c>
      <c r="AM26" s="16">
        <v>1.8029999999999999</v>
      </c>
      <c r="AN26" s="16"/>
      <c r="AO26" s="16"/>
      <c r="AP26" s="16"/>
      <c r="AQ26" s="388">
        <v>6.8440000000000003</v>
      </c>
      <c r="AR26" s="388">
        <v>2.7208000000000001</v>
      </c>
      <c r="AS26" s="388">
        <v>14.917400000000001</v>
      </c>
      <c r="AT26" s="388">
        <v>11.948</v>
      </c>
      <c r="AU26" s="388">
        <v>3.9893999999999998</v>
      </c>
      <c r="AV26" s="388">
        <v>12.939299999999999</v>
      </c>
      <c r="AW26" s="388">
        <v>19.704000000000001</v>
      </c>
      <c r="AX26" s="388">
        <v>0.97509999999999997</v>
      </c>
      <c r="AY26" s="388">
        <v>1.7605</v>
      </c>
      <c r="AZ26" s="389">
        <v>4.3879999999999999</v>
      </c>
      <c r="BA26" s="389">
        <v>3.7587000000000002</v>
      </c>
      <c r="BB26" s="389">
        <v>25.598099999999999</v>
      </c>
      <c r="BC26" s="18">
        <f t="shared" si="41"/>
        <v>1.0642261554198567</v>
      </c>
      <c r="BD26" s="18">
        <v>1.8532</v>
      </c>
      <c r="BE26" s="18"/>
      <c r="BF26" s="18"/>
      <c r="BG26" s="18"/>
      <c r="BH26" s="389">
        <v>6.8440000000000003</v>
      </c>
      <c r="BI26" s="389">
        <v>2.7917999999999998</v>
      </c>
      <c r="BJ26" s="389">
        <v>15.307700000000001</v>
      </c>
      <c r="BK26" s="389">
        <v>11.948</v>
      </c>
      <c r="BL26" s="389">
        <v>3.9847000000000001</v>
      </c>
      <c r="BM26" s="389">
        <v>12.9137</v>
      </c>
      <c r="BN26" s="389">
        <v>19.704000000000001</v>
      </c>
      <c r="BO26" s="389">
        <v>1.0434000000000001</v>
      </c>
      <c r="BP26" s="389">
        <v>1.8852</v>
      </c>
      <c r="BQ26" s="390">
        <v>4.3680000000000003</v>
      </c>
      <c r="BR26" s="390">
        <v>8.8599999999999998E-2</v>
      </c>
      <c r="BS26" s="390">
        <v>0.49390000000000001</v>
      </c>
      <c r="BT26" s="23">
        <v>0</v>
      </c>
      <c r="BU26" s="23">
        <v>0.47389999999999999</v>
      </c>
      <c r="BV26" s="23"/>
      <c r="BW26" s="23"/>
      <c r="BX26" s="23"/>
      <c r="BY26" s="390">
        <v>6.8440000000000003</v>
      </c>
      <c r="BZ26" s="390">
        <v>2.8565999999999998</v>
      </c>
      <c r="CA26" s="390">
        <v>15.6602</v>
      </c>
      <c r="CB26" s="390">
        <v>11.944000000000001</v>
      </c>
      <c r="CC26" s="390">
        <v>3.8786</v>
      </c>
      <c r="CD26" s="390">
        <v>12.552099999999999</v>
      </c>
      <c r="CE26" s="390">
        <v>19.707999999999998</v>
      </c>
      <c r="CF26" s="390">
        <v>0.36749999999999999</v>
      </c>
      <c r="CG26" s="390">
        <v>0.66579999999999995</v>
      </c>
      <c r="CI26" s="12">
        <f t="shared" si="0"/>
        <v>1.255726728867673</v>
      </c>
      <c r="CJ26" s="12">
        <f t="shared" si="1"/>
        <v>1.0228449211121786</v>
      </c>
      <c r="CK26" s="12">
        <f t="shared" si="2"/>
        <v>1.0642261554198567</v>
      </c>
      <c r="CL26" s="12">
        <f t="shared" si="11"/>
        <v>1.114265935133236</v>
      </c>
      <c r="CM26">
        <f t="shared" si="12"/>
        <v>0.1242435863986122</v>
      </c>
      <c r="CN26">
        <v>3</v>
      </c>
      <c r="CO26">
        <v>3.18</v>
      </c>
      <c r="CP26" s="12">
        <f t="shared" si="13"/>
        <v>0.22810797640638808</v>
      </c>
      <c r="CR26">
        <f t="shared" si="3"/>
        <v>1.1012367874523417</v>
      </c>
      <c r="CS26">
        <f t="shared" si="4"/>
        <v>0.10473783428775152</v>
      </c>
      <c r="CT26">
        <f t="shared" si="14"/>
        <v>0.1242435863986122</v>
      </c>
      <c r="CU26" s="12">
        <f t="shared" si="15"/>
        <v>1.302914768089436E-2</v>
      </c>
      <c r="CV26" s="12">
        <f t="shared" si="5"/>
        <v>0.10263466450846523</v>
      </c>
      <c r="CW26">
        <f t="shared" si="16"/>
        <v>2</v>
      </c>
      <c r="CX26">
        <v>3</v>
      </c>
      <c r="CY26">
        <v>1</v>
      </c>
      <c r="CZ26">
        <v>2.92</v>
      </c>
      <c r="DA26" t="s">
        <v>211</v>
      </c>
      <c r="DM26" t="s">
        <v>88</v>
      </c>
      <c r="DN26">
        <f t="shared" si="17"/>
        <v>25.561</v>
      </c>
      <c r="DO26" s="17">
        <f t="shared" si="42"/>
        <v>1.1485813704496788</v>
      </c>
      <c r="DQ26" s="12">
        <v>0</v>
      </c>
      <c r="DR26" s="12">
        <v>1.0621493444096586</v>
      </c>
      <c r="DS26" s="12">
        <f t="shared" si="19"/>
        <v>1.1591032628190261</v>
      </c>
      <c r="DU26" s="12">
        <v>1.0621493444096586</v>
      </c>
      <c r="EG26">
        <f t="shared" si="20"/>
        <v>-5.2116590723577515E-2</v>
      </c>
    </row>
    <row r="27" spans="1:137">
      <c r="A27" s="256" t="s">
        <v>107</v>
      </c>
      <c r="B27" s="14">
        <v>44461</v>
      </c>
      <c r="C27" s="12">
        <v>888.4</v>
      </c>
      <c r="D27" s="125">
        <v>4.3849999999999998</v>
      </c>
      <c r="E27" s="125">
        <v>4.2039999999999997</v>
      </c>
      <c r="F27" s="125">
        <v>27.043500000000002</v>
      </c>
      <c r="G27" s="17">
        <f>(E27+0.0373)/3.2894</f>
        <v>1.2893840822034413</v>
      </c>
      <c r="H27" s="17">
        <v>2.0206</v>
      </c>
      <c r="I27" s="125">
        <v>6.8209999999999997</v>
      </c>
      <c r="J27" s="125">
        <v>2.8801000000000001</v>
      </c>
      <c r="K27" s="125">
        <v>16.1462</v>
      </c>
      <c r="L27" s="125">
        <v>11.851000000000001</v>
      </c>
      <c r="M27" s="125">
        <v>3.9904999999999999</v>
      </c>
      <c r="N27" s="125">
        <v>13.054</v>
      </c>
      <c r="O27" s="125">
        <v>19.478000000000002</v>
      </c>
      <c r="P27" s="125">
        <v>0.99299999999999999</v>
      </c>
      <c r="Q27" s="125">
        <v>1.8088</v>
      </c>
      <c r="R27" s="387">
        <v>4.3840000000000003</v>
      </c>
      <c r="S27" s="387">
        <v>4.2641999999999998</v>
      </c>
      <c r="T27" s="387">
        <v>29.241399999999999</v>
      </c>
      <c r="U27" s="19">
        <f>(S27+0.0373)/3.2894</f>
        <v>1.3076852921505442</v>
      </c>
      <c r="V27" s="19">
        <v>2.0432000000000001</v>
      </c>
      <c r="W27" s="19"/>
      <c r="X27" s="19"/>
      <c r="Y27" s="19"/>
      <c r="Z27" s="387">
        <v>6.8179999999999996</v>
      </c>
      <c r="AA27" s="387">
        <v>2.8172000000000001</v>
      </c>
      <c r="AB27" s="387">
        <v>15.718299999999999</v>
      </c>
      <c r="AC27" s="387">
        <v>11.848000000000001</v>
      </c>
      <c r="AD27" s="387">
        <v>3.9544999999999999</v>
      </c>
      <c r="AE27" s="387">
        <v>12.9413</v>
      </c>
      <c r="AF27" s="387">
        <v>19.471</v>
      </c>
      <c r="AG27" s="387">
        <v>1.0345</v>
      </c>
      <c r="AH27" s="387">
        <v>1.8873</v>
      </c>
      <c r="AI27" s="388">
        <v>4.3840000000000003</v>
      </c>
      <c r="AJ27" s="388">
        <v>3.7888000000000002</v>
      </c>
      <c r="AK27" s="388">
        <v>26.046299999999999</v>
      </c>
      <c r="AL27" s="16">
        <f>(AJ27+0.0373)/3.2894</f>
        <v>1.1631604547941874</v>
      </c>
      <c r="AM27" s="16">
        <v>1.8645</v>
      </c>
      <c r="AN27" s="16"/>
      <c r="AO27" s="16"/>
      <c r="AP27" s="16"/>
      <c r="AQ27" s="388">
        <v>6.8179999999999996</v>
      </c>
      <c r="AR27" s="388">
        <v>2.5703999999999998</v>
      </c>
      <c r="AS27" s="388">
        <v>14.242699999999999</v>
      </c>
      <c r="AT27" s="388">
        <v>11.848000000000001</v>
      </c>
      <c r="AU27" s="388">
        <v>3.8018000000000001</v>
      </c>
      <c r="AV27" s="388">
        <v>12.417299999999999</v>
      </c>
      <c r="AW27" s="388">
        <v>19.474</v>
      </c>
      <c r="AX27" s="388">
        <v>0.96560000000000001</v>
      </c>
      <c r="AY27" s="388">
        <v>1.7613000000000001</v>
      </c>
      <c r="AZ27" s="389">
        <v>4.3840000000000003</v>
      </c>
      <c r="BA27" s="389">
        <v>3.9988000000000001</v>
      </c>
      <c r="BB27" s="389">
        <v>27.466000000000001</v>
      </c>
      <c r="BC27" s="18">
        <f>(BA27+0.0373)/3.2894</f>
        <v>1.2270018848422204</v>
      </c>
      <c r="BD27" s="18">
        <v>1.9435</v>
      </c>
      <c r="BE27" s="18"/>
      <c r="BF27" s="18"/>
      <c r="BG27" s="18"/>
      <c r="BH27" s="389">
        <v>6.8179999999999996</v>
      </c>
      <c r="BI27" s="389">
        <v>2.7480000000000002</v>
      </c>
      <c r="BJ27" s="389">
        <v>15.3451</v>
      </c>
      <c r="BK27" s="389">
        <v>11.848000000000001</v>
      </c>
      <c r="BL27" s="389">
        <v>3.8414999999999999</v>
      </c>
      <c r="BM27" s="389">
        <v>12.552099999999999</v>
      </c>
      <c r="BN27" s="389">
        <v>19.474</v>
      </c>
      <c r="BO27" s="389">
        <v>1.1140000000000001</v>
      </c>
      <c r="BP27" s="389">
        <v>2.0362</v>
      </c>
      <c r="BQ27" s="390">
        <v>4.3639999999999999</v>
      </c>
      <c r="BR27" s="390">
        <v>0.1173</v>
      </c>
      <c r="BS27" s="390">
        <v>0.68269999999999997</v>
      </c>
      <c r="BT27" s="23">
        <f>(BR27+0.0373)/3.2894</f>
        <v>4.6999452787742452E-2</v>
      </c>
      <c r="BU27" s="23">
        <v>0.48470000000000002</v>
      </c>
      <c r="BV27" s="23"/>
      <c r="BW27" s="23"/>
      <c r="BX27" s="23"/>
      <c r="BY27" s="390">
        <v>6.8179999999999996</v>
      </c>
      <c r="BZ27" s="390">
        <v>2.7343000000000002</v>
      </c>
      <c r="CA27" s="390">
        <v>15.1305</v>
      </c>
      <c r="CB27" s="390">
        <v>11.851000000000001</v>
      </c>
      <c r="CC27" s="390">
        <v>3.5728</v>
      </c>
      <c r="CD27" s="390">
        <v>11.651</v>
      </c>
      <c r="CE27" s="390">
        <v>19.481000000000002</v>
      </c>
      <c r="CF27" s="390">
        <v>0.28160000000000002</v>
      </c>
      <c r="CG27" s="390">
        <v>0.51329999999999998</v>
      </c>
      <c r="CI27" s="12">
        <f t="shared" si="0"/>
        <v>1.3076852921505442</v>
      </c>
      <c r="CJ27" s="12">
        <f t="shared" si="1"/>
        <v>1.1631604547941874</v>
      </c>
      <c r="CK27" s="12">
        <f t="shared" si="2"/>
        <v>1.2270018848422204</v>
      </c>
      <c r="CL27" s="12">
        <f t="shared" si="11"/>
        <v>1.2326158772623172</v>
      </c>
      <c r="CM27">
        <f t="shared" ref="CM27:CM31" si="43">STDEV(CI27:CK27)</f>
        <v>7.2425788476136205E-2</v>
      </c>
      <c r="CN27">
        <v>3</v>
      </c>
      <c r="CO27">
        <v>3.18</v>
      </c>
      <c r="CP27" s="12">
        <f t="shared" ref="CP27:CP31" si="44">(CO27*CM27)/SQRT(CN27)</f>
        <v>0.13297185414403867</v>
      </c>
      <c r="CR27">
        <f t="shared" si="3"/>
        <v>1.2468079284975984</v>
      </c>
      <c r="CS27">
        <f t="shared" si="4"/>
        <v>6.5594617390855425E-2</v>
      </c>
      <c r="CT27">
        <f t="shared" si="14"/>
        <v>7.2425788476136205E-2</v>
      </c>
      <c r="CU27" s="12">
        <f t="shared" si="15"/>
        <v>-1.4192051235281111E-2</v>
      </c>
      <c r="CV27" s="12">
        <f t="shared" si="5"/>
        <v>-0.18244255066532622</v>
      </c>
      <c r="CW27">
        <f t="shared" si="16"/>
        <v>2</v>
      </c>
      <c r="CX27">
        <v>3</v>
      </c>
      <c r="CY27">
        <v>1</v>
      </c>
      <c r="CZ27">
        <v>2.92</v>
      </c>
      <c r="DA27" t="s">
        <v>211</v>
      </c>
      <c r="DB27" t="s">
        <v>160</v>
      </c>
      <c r="DC27" t="s">
        <v>1</v>
      </c>
      <c r="DD27" t="s">
        <v>140</v>
      </c>
      <c r="DE27" t="s">
        <v>191</v>
      </c>
      <c r="DF27" t="s">
        <v>192</v>
      </c>
      <c r="DG27" t="s">
        <v>194</v>
      </c>
      <c r="DH27" t="s">
        <v>196</v>
      </c>
      <c r="DI27" t="s">
        <v>197</v>
      </c>
      <c r="DL27" t="s">
        <v>888</v>
      </c>
      <c r="DM27" t="s">
        <v>107</v>
      </c>
      <c r="DN27">
        <f t="shared" si="17"/>
        <v>27.043500000000002</v>
      </c>
      <c r="DO27" s="17">
        <f>(DN27-2.8353)/18.697</f>
        <v>1.2947638658608334</v>
      </c>
      <c r="DQ27" s="12">
        <v>4.6999452787742452E-2</v>
      </c>
      <c r="DR27" s="12">
        <v>1.2893840822034413</v>
      </c>
      <c r="DS27" s="12">
        <f t="shared" si="19"/>
        <v>1.1394410681379314</v>
      </c>
      <c r="DU27" s="12">
        <v>1.2893840822034413</v>
      </c>
      <c r="EG27">
        <f t="shared" si="20"/>
        <v>5.6768204941123925E-2</v>
      </c>
    </row>
    <row r="28" spans="1:137">
      <c r="A28" s="256" t="s">
        <v>107</v>
      </c>
      <c r="B28" s="14">
        <v>44462</v>
      </c>
      <c r="C28" s="12">
        <v>919.36666666666667</v>
      </c>
      <c r="D28" s="125">
        <v>4.3840000000000003</v>
      </c>
      <c r="E28" s="125">
        <v>4.2018000000000004</v>
      </c>
      <c r="F28" s="125">
        <v>28.279800000000002</v>
      </c>
      <c r="G28" s="17">
        <f t="shared" ref="G28:G29" si="45">(E28+0.0373)/3.2894</f>
        <v>1.2887152672219859</v>
      </c>
      <c r="H28" s="17">
        <v>2.0196999999999998</v>
      </c>
      <c r="I28" s="125">
        <v>6.8209999999999997</v>
      </c>
      <c r="J28" s="125">
        <v>3.7724000000000002</v>
      </c>
      <c r="K28" s="125">
        <v>21.263500000000001</v>
      </c>
      <c r="L28" s="125">
        <v>11.848000000000001</v>
      </c>
      <c r="M28" s="125">
        <v>4.7992999999999997</v>
      </c>
      <c r="N28" s="125">
        <v>15.726000000000001</v>
      </c>
      <c r="O28" s="125">
        <v>19.471</v>
      </c>
      <c r="P28" s="125">
        <v>1.0159</v>
      </c>
      <c r="Q28" s="125">
        <v>1.8513999999999999</v>
      </c>
      <c r="R28" s="387">
        <v>4.3840000000000003</v>
      </c>
      <c r="S28" s="387">
        <v>4.6044</v>
      </c>
      <c r="T28" s="387">
        <v>29.805599999999998</v>
      </c>
      <c r="U28" s="19">
        <f t="shared" ref="U28:U29" si="46">(S28+0.0373)/3.2894</f>
        <v>1.4111084088283579</v>
      </c>
      <c r="V28" s="19">
        <v>2.1709999999999998</v>
      </c>
      <c r="W28" s="19"/>
      <c r="X28" s="19"/>
      <c r="Y28" s="19"/>
      <c r="Z28" s="387">
        <v>6.8179999999999996</v>
      </c>
      <c r="AA28" s="387">
        <v>3.4912000000000001</v>
      </c>
      <c r="AB28" s="387">
        <v>19.5566</v>
      </c>
      <c r="AC28" s="387">
        <v>11.843999999999999</v>
      </c>
      <c r="AD28" s="387">
        <v>4.7286000000000001</v>
      </c>
      <c r="AE28" s="387">
        <v>15.4794</v>
      </c>
      <c r="AF28" s="387">
        <v>19.468</v>
      </c>
      <c r="AG28" s="387">
        <v>1.0135000000000001</v>
      </c>
      <c r="AH28" s="387">
        <v>1.8442000000000001</v>
      </c>
      <c r="AI28" s="388">
        <v>4.3810000000000002</v>
      </c>
      <c r="AJ28" s="388">
        <v>3.8536999999999999</v>
      </c>
      <c r="AK28" s="388">
        <v>26.6418</v>
      </c>
      <c r="AL28" s="16">
        <f t="shared" ref="AL28:AL29" si="47">(AJ28+0.0373)/3.2894</f>
        <v>1.1828904967471272</v>
      </c>
      <c r="AM28" s="16">
        <v>1.8889</v>
      </c>
      <c r="AN28" s="16"/>
      <c r="AO28" s="16"/>
      <c r="AP28" s="16"/>
      <c r="AQ28" s="388">
        <v>6.8179999999999996</v>
      </c>
      <c r="AR28" s="388">
        <v>3.2787999999999999</v>
      </c>
      <c r="AS28" s="388">
        <v>18.325099999999999</v>
      </c>
      <c r="AT28" s="388">
        <v>11.843999999999999</v>
      </c>
      <c r="AU28" s="388">
        <v>4.7435</v>
      </c>
      <c r="AV28" s="388">
        <v>15.5307</v>
      </c>
      <c r="AW28" s="388">
        <v>19.463999999999999</v>
      </c>
      <c r="AX28" s="388">
        <v>0.95069999999999999</v>
      </c>
      <c r="AY28" s="388">
        <v>1.7296</v>
      </c>
      <c r="AZ28" s="389">
        <v>4.3849999999999998</v>
      </c>
      <c r="BA28" s="389">
        <v>4.3182999999999998</v>
      </c>
      <c r="BB28" s="389">
        <v>28.983799999999999</v>
      </c>
      <c r="BC28" s="18">
        <f t="shared" ref="BC28:BC29" si="48">(BA28+0.0373)/3.2894</f>
        <v>1.3241320605581564</v>
      </c>
      <c r="BD28" s="18">
        <v>2.0634999999999999</v>
      </c>
      <c r="BE28" s="18"/>
      <c r="BF28" s="18"/>
      <c r="BG28" s="18"/>
      <c r="BH28" s="389">
        <v>6.8179999999999996</v>
      </c>
      <c r="BI28" s="389">
        <v>3.4929999999999999</v>
      </c>
      <c r="BJ28" s="389">
        <v>19.665199999999999</v>
      </c>
      <c r="BK28" s="389">
        <v>11.845000000000001</v>
      </c>
      <c r="BL28" s="389">
        <v>4.6948999999999996</v>
      </c>
      <c r="BM28" s="389">
        <v>15.3405</v>
      </c>
      <c r="BN28" s="389">
        <v>19.460999999999999</v>
      </c>
      <c r="BO28" s="389">
        <v>1.1445000000000001</v>
      </c>
      <c r="BP28" s="389">
        <v>2.0882000000000001</v>
      </c>
      <c r="BQ28" s="390">
        <v>4.3609999999999998</v>
      </c>
      <c r="BR28" s="390">
        <v>0.1241</v>
      </c>
      <c r="BS28" s="390">
        <v>0.6734</v>
      </c>
      <c r="BT28" s="23">
        <f t="shared" ref="BT28:BT29" si="49">(BR28+0.0373)/3.2894</f>
        <v>4.9066699094059703E-2</v>
      </c>
      <c r="BU28" s="23">
        <v>0.48720000000000002</v>
      </c>
      <c r="BV28" s="23"/>
      <c r="BW28" s="23"/>
      <c r="BX28" s="23"/>
      <c r="BY28" s="390">
        <v>6.8150000000000004</v>
      </c>
      <c r="BZ28" s="390">
        <v>3.4643999999999999</v>
      </c>
      <c r="CA28" s="390">
        <v>18.276599999999998</v>
      </c>
      <c r="CB28" s="390">
        <v>11.840999999999999</v>
      </c>
      <c r="CC28" s="390">
        <v>4.5365000000000002</v>
      </c>
      <c r="CD28" s="390">
        <v>14.7974</v>
      </c>
      <c r="CE28" s="390">
        <v>19.465</v>
      </c>
      <c r="CF28" s="390">
        <v>0.34320000000000001</v>
      </c>
      <c r="CG28" s="390">
        <v>0.62129999999999996</v>
      </c>
      <c r="CI28" s="12">
        <f t="shared" si="0"/>
        <v>1.4111084088283579</v>
      </c>
      <c r="CJ28" s="12">
        <f t="shared" si="1"/>
        <v>1.1828904967471272</v>
      </c>
      <c r="CK28" s="12">
        <f t="shared" si="2"/>
        <v>1.3241320605581564</v>
      </c>
      <c r="CL28" s="12">
        <f t="shared" si="11"/>
        <v>1.3060436553778805</v>
      </c>
      <c r="CM28">
        <f t="shared" si="43"/>
        <v>0.11517919365125567</v>
      </c>
      <c r="CN28">
        <v>3</v>
      </c>
      <c r="CO28">
        <v>3.18</v>
      </c>
      <c r="CP28" s="12">
        <f t="shared" si="44"/>
        <v>0.21146598830151686</v>
      </c>
      <c r="CR28">
        <f t="shared" si="3"/>
        <v>1.3017115583389069</v>
      </c>
      <c r="CS28">
        <f t="shared" si="4"/>
        <v>9.4441689377392932E-2</v>
      </c>
      <c r="CT28">
        <f t="shared" si="14"/>
        <v>0.11517919365125567</v>
      </c>
      <c r="CU28" s="12">
        <f t="shared" si="15"/>
        <v>4.3320970389735258E-3</v>
      </c>
      <c r="CV28" s="12">
        <f t="shared" si="5"/>
        <v>3.7505836715591538E-2</v>
      </c>
      <c r="CW28">
        <f t="shared" si="16"/>
        <v>2</v>
      </c>
      <c r="CX28">
        <v>3</v>
      </c>
      <c r="CY28">
        <v>1</v>
      </c>
      <c r="CZ28">
        <v>2.92</v>
      </c>
      <c r="DA28" t="s">
        <v>211</v>
      </c>
      <c r="DB28" s="37">
        <v>44470</v>
      </c>
      <c r="DC28" s="32">
        <v>0.10555555555555556</v>
      </c>
      <c r="DD28">
        <f>DC25+(24*2)+4</f>
        <v>1108.8666666666666</v>
      </c>
      <c r="DE28">
        <v>28</v>
      </c>
      <c r="DF28">
        <f>(DD28*60)+DE28</f>
        <v>66560</v>
      </c>
      <c r="DG28">
        <f>DF28/60</f>
        <v>1109.3333333333333</v>
      </c>
      <c r="DH28">
        <f>(DG28-1109)*60</f>
        <v>19.999999999995453</v>
      </c>
      <c r="DI28">
        <v>1109</v>
      </c>
      <c r="DM28" t="s">
        <v>107</v>
      </c>
      <c r="DN28">
        <f t="shared" si="17"/>
        <v>28.279800000000002</v>
      </c>
      <c r="DO28" s="17">
        <f t="shared" ref="DO28:DO29" si="50">(DN28-2.8353)/18.697</f>
        <v>1.3608867732791359</v>
      </c>
      <c r="DQ28" s="12">
        <v>4.9066699094059703E-2</v>
      </c>
      <c r="DR28" s="12">
        <v>1.2887152672219859</v>
      </c>
      <c r="DS28" s="12">
        <f t="shared" si="19"/>
        <v>1.1156625911329776</v>
      </c>
      <c r="DU28" s="12">
        <v>1.2887152672219859</v>
      </c>
      <c r="EG28">
        <f t="shared" si="20"/>
        <v>-1.7328388155894547E-2</v>
      </c>
    </row>
    <row r="29" spans="1:137" s="41" customFormat="1" ht="16" thickBot="1">
      <c r="A29" s="257" t="s">
        <v>107</v>
      </c>
      <c r="B29" s="153">
        <v>44463</v>
      </c>
      <c r="C29" s="154">
        <v>937.95</v>
      </c>
      <c r="D29" s="155">
        <v>4.3940000000000001</v>
      </c>
      <c r="E29" s="155">
        <v>4.2173999999999996</v>
      </c>
      <c r="F29" s="155">
        <v>27.724699999999999</v>
      </c>
      <c r="G29" s="156">
        <f t="shared" si="45"/>
        <v>1.2934577734541253</v>
      </c>
      <c r="H29" s="156">
        <v>2.0255999999999998</v>
      </c>
      <c r="I29" s="155">
        <v>6.8440000000000003</v>
      </c>
      <c r="J29" s="155">
        <v>4.3970000000000002</v>
      </c>
      <c r="K29" s="155">
        <v>24.924299999999999</v>
      </c>
      <c r="L29" s="155">
        <v>11.884</v>
      </c>
      <c r="M29" s="155">
        <v>4.7577999999999996</v>
      </c>
      <c r="N29" s="155">
        <v>15.49</v>
      </c>
      <c r="O29" s="155">
        <v>19.521000000000001</v>
      </c>
      <c r="P29" s="155">
        <v>1.1657999999999999</v>
      </c>
      <c r="Q29" s="155">
        <v>2.1234000000000002</v>
      </c>
      <c r="R29" s="157">
        <v>4.3979999999999997</v>
      </c>
      <c r="S29" s="157">
        <v>4.6412000000000004</v>
      </c>
      <c r="T29" s="157">
        <v>29.5945</v>
      </c>
      <c r="U29" s="158">
        <f t="shared" si="46"/>
        <v>1.4222958594272512</v>
      </c>
      <c r="V29" s="158">
        <v>2.1848999999999998</v>
      </c>
      <c r="W29" s="158"/>
      <c r="X29" s="158"/>
      <c r="Y29" s="158"/>
      <c r="Z29" s="157">
        <v>6.8440000000000003</v>
      </c>
      <c r="AA29" s="157">
        <v>4.3060999999999998</v>
      </c>
      <c r="AB29" s="157">
        <v>23.842600000000001</v>
      </c>
      <c r="AC29" s="157">
        <v>11.888</v>
      </c>
      <c r="AD29" s="157">
        <v>4.7099000000000002</v>
      </c>
      <c r="AE29" s="157">
        <v>15.32</v>
      </c>
      <c r="AF29" s="157">
        <v>19.527999999999999</v>
      </c>
      <c r="AG29" s="157">
        <v>1.1298999999999999</v>
      </c>
      <c r="AH29" s="157">
        <v>2.0503</v>
      </c>
      <c r="AI29" s="159">
        <v>4.3949999999999996</v>
      </c>
      <c r="AJ29" s="159">
        <v>4.0766</v>
      </c>
      <c r="AK29" s="159">
        <v>26.777899999999999</v>
      </c>
      <c r="AL29" s="160">
        <f t="shared" si="47"/>
        <v>1.2506536146409679</v>
      </c>
      <c r="AM29" s="160">
        <v>1.9726999999999999</v>
      </c>
      <c r="AN29" s="160"/>
      <c r="AO29" s="160"/>
      <c r="AP29" s="160"/>
      <c r="AQ29" s="159">
        <v>6.8449999999999998</v>
      </c>
      <c r="AR29" s="159">
        <v>4.1590999999999996</v>
      </c>
      <c r="AS29" s="159">
        <v>23.454999999999998</v>
      </c>
      <c r="AT29" s="159">
        <v>11.999000000000001</v>
      </c>
      <c r="AU29" s="159">
        <v>4.7392000000000003</v>
      </c>
      <c r="AV29" s="159">
        <v>15.423999999999999</v>
      </c>
      <c r="AW29" s="159">
        <v>19.530999999999999</v>
      </c>
      <c r="AX29" s="159">
        <v>1.0664</v>
      </c>
      <c r="AY29" s="159">
        <v>1.9404999999999999</v>
      </c>
      <c r="AZ29" s="161">
        <v>4.3949999999999996</v>
      </c>
      <c r="BA29" s="161">
        <v>4.2873000000000001</v>
      </c>
      <c r="BB29" s="161">
        <v>28.024999999999999</v>
      </c>
      <c r="BC29" s="162">
        <f t="shared" si="48"/>
        <v>1.3147078494558277</v>
      </c>
      <c r="BD29" s="162">
        <v>2.0518999999999998</v>
      </c>
      <c r="BE29" s="162"/>
      <c r="BF29" s="162"/>
      <c r="BG29" s="162"/>
      <c r="BH29" s="161">
        <v>6.8479999999999999</v>
      </c>
      <c r="BI29" s="161">
        <v>6.0382999999999996</v>
      </c>
      <c r="BJ29" s="161">
        <v>34.479799999999997</v>
      </c>
      <c r="BK29" s="161">
        <v>11.885</v>
      </c>
      <c r="BL29" s="161">
        <v>4.7721999999999998</v>
      </c>
      <c r="BM29" s="161">
        <v>15.527699999999999</v>
      </c>
      <c r="BN29" s="161">
        <v>19521</v>
      </c>
      <c r="BO29" s="161">
        <v>1.9721</v>
      </c>
      <c r="BP29" s="161">
        <v>3.6052</v>
      </c>
      <c r="BQ29" s="163">
        <v>4.3780000000000001</v>
      </c>
      <c r="BR29" s="163">
        <v>0.1434</v>
      </c>
      <c r="BS29" s="163">
        <v>0.75880000000000003</v>
      </c>
      <c r="BT29" s="164">
        <f t="shared" si="49"/>
        <v>5.4934030522283697E-2</v>
      </c>
      <c r="BU29" s="164">
        <v>0.4945</v>
      </c>
      <c r="BV29" s="164"/>
      <c r="BW29" s="164"/>
      <c r="BX29" s="164"/>
      <c r="BY29" s="163">
        <v>6.8440000000000003</v>
      </c>
      <c r="BZ29" s="163">
        <v>4.8063000000000002</v>
      </c>
      <c r="CA29" s="163">
        <v>24.522200000000002</v>
      </c>
      <c r="CB29" s="163">
        <v>11.888</v>
      </c>
      <c r="CC29" s="163">
        <v>4.3524000000000003</v>
      </c>
      <c r="CD29" s="163">
        <v>14.111700000000001</v>
      </c>
      <c r="CE29" s="163">
        <v>19.530999999999999</v>
      </c>
      <c r="CF29" s="163">
        <v>0.47739999999999999</v>
      </c>
      <c r="CG29" s="163">
        <v>0.86539999999999995</v>
      </c>
      <c r="CI29" s="154">
        <f t="shared" si="0"/>
        <v>1.4222958594272512</v>
      </c>
      <c r="CJ29" s="154">
        <f t="shared" si="1"/>
        <v>1.2506536146409679</v>
      </c>
      <c r="CK29" s="154">
        <f t="shared" si="2"/>
        <v>1.3147078494558277</v>
      </c>
      <c r="CL29" s="154">
        <f t="shared" si="11"/>
        <v>1.3292191078413491</v>
      </c>
      <c r="CM29" s="41">
        <f t="shared" si="43"/>
        <v>8.6736367884337418E-2</v>
      </c>
      <c r="CN29" s="41">
        <v>3</v>
      </c>
      <c r="CO29" s="41">
        <v>3.18</v>
      </c>
      <c r="CP29" s="154">
        <f t="shared" si="44"/>
        <v>0.15924570380203734</v>
      </c>
      <c r="CR29" s="41">
        <f t="shared" si="3"/>
        <v>1.320278774244543</v>
      </c>
      <c r="CS29" s="41">
        <f t="shared" si="4"/>
        <v>7.304233887593406E-2</v>
      </c>
      <c r="CT29" s="41">
        <f t="shared" si="14"/>
        <v>8.6736367884337418E-2</v>
      </c>
      <c r="CU29" s="154">
        <f t="shared" si="15"/>
        <v>8.940333596806127E-3</v>
      </c>
      <c r="CV29" s="154">
        <f t="shared" si="5"/>
        <v>0.10095200496521346</v>
      </c>
      <c r="CW29" s="41">
        <f t="shared" si="16"/>
        <v>2</v>
      </c>
      <c r="CX29" s="41">
        <v>3</v>
      </c>
      <c r="CY29" s="41">
        <v>1</v>
      </c>
      <c r="CZ29" s="41">
        <v>2.92</v>
      </c>
      <c r="DA29" s="41" t="s">
        <v>211</v>
      </c>
      <c r="DB29" s="165">
        <v>44473</v>
      </c>
      <c r="DC29" s="166">
        <v>0.4201388888888889</v>
      </c>
      <c r="DD29" s="41">
        <f>DC25+(24*5)</f>
        <v>1176.8666666666666</v>
      </c>
      <c r="DE29" s="41">
        <v>1</v>
      </c>
      <c r="DF29" s="41">
        <f t="shared" ref="DF29:DF32" si="51">(DD29*60)+DE29</f>
        <v>70613</v>
      </c>
      <c r="DG29" s="41">
        <f t="shared" ref="DG29:DG32" si="52">DF29/60</f>
        <v>1176.8833333333334</v>
      </c>
      <c r="DH29" s="41">
        <f>(DG29-1176)*60</f>
        <v>53.000000000006366</v>
      </c>
      <c r="DI29" s="41">
        <v>1176</v>
      </c>
      <c r="DM29" s="41" t="s">
        <v>107</v>
      </c>
      <c r="DN29">
        <f t="shared" si="17"/>
        <v>27.724699999999999</v>
      </c>
      <c r="DO29" s="17">
        <f t="shared" si="50"/>
        <v>1.3311975183184468</v>
      </c>
      <c r="DQ29" s="154">
        <v>5.4934030522283697E-2</v>
      </c>
      <c r="DR29" s="154">
        <v>1.2934577734541253</v>
      </c>
      <c r="DS29" s="12">
        <f t="shared" si="19"/>
        <v>1.1017745299790969</v>
      </c>
      <c r="DU29" s="154">
        <v>1.2934577734541253</v>
      </c>
      <c r="EG29">
        <f t="shared" si="20"/>
        <v>-3.5761334387223696E-2</v>
      </c>
    </row>
    <row r="30" spans="1:137" ht="16" thickTop="1">
      <c r="A30" s="256" t="s">
        <v>108</v>
      </c>
      <c r="B30" s="14">
        <v>44466</v>
      </c>
      <c r="C30" s="12">
        <v>1009.3</v>
      </c>
      <c r="D30" s="125">
        <v>4.3650000000000002</v>
      </c>
      <c r="E30" s="125">
        <v>3.2559999999999998</v>
      </c>
      <c r="F30" s="125">
        <v>22.642299999999999</v>
      </c>
      <c r="G30" s="17">
        <f>(E30+0.006)/3.3476</f>
        <v>0.97442944198829007</v>
      </c>
      <c r="H30" s="17">
        <v>1.6642999999999999</v>
      </c>
      <c r="I30" s="125">
        <v>6.7850000000000001</v>
      </c>
      <c r="J30" s="125">
        <v>6.3377999999999997</v>
      </c>
      <c r="K30" s="125">
        <v>36.956200000000003</v>
      </c>
      <c r="L30" s="125">
        <v>11.728</v>
      </c>
      <c r="M30" s="125">
        <v>10.4726</v>
      </c>
      <c r="N30" s="125">
        <v>35.752299999999998</v>
      </c>
      <c r="O30" s="125">
        <v>19.105</v>
      </c>
      <c r="P30" s="125">
        <v>1.0186999999999999</v>
      </c>
      <c r="Q30" s="125">
        <v>1.9177</v>
      </c>
      <c r="R30" s="387">
        <v>4.3680000000000003</v>
      </c>
      <c r="S30" s="387">
        <v>4.6353999999999997</v>
      </c>
      <c r="T30" s="387">
        <v>30.0871</v>
      </c>
      <c r="U30" s="19">
        <f>(S30+0.006)/3.3476</f>
        <v>1.3864858406022225</v>
      </c>
      <c r="V30" s="19">
        <v>2.1827000000000001</v>
      </c>
      <c r="W30" s="19"/>
      <c r="X30" s="19"/>
      <c r="Y30" s="19"/>
      <c r="Z30" s="387">
        <v>6.7809999999999997</v>
      </c>
      <c r="AA30" s="387">
        <v>4.5827</v>
      </c>
      <c r="AB30" s="387">
        <v>26.4299</v>
      </c>
      <c r="AC30" s="387">
        <v>11.738</v>
      </c>
      <c r="AD30" s="387">
        <v>6.8625999999999996</v>
      </c>
      <c r="AE30" s="387">
        <v>23.182400000000001</v>
      </c>
      <c r="AF30" s="387">
        <v>19.108000000000001</v>
      </c>
      <c r="AG30" s="387">
        <v>0.79869999999999997</v>
      </c>
      <c r="AH30" s="387">
        <v>1.4988999999999999</v>
      </c>
      <c r="AI30" s="388">
        <v>4.3739999999999997</v>
      </c>
      <c r="AJ30" s="388">
        <v>6.2198000000000002</v>
      </c>
      <c r="AK30" s="388">
        <v>39.940600000000003</v>
      </c>
      <c r="AL30" s="16">
        <f>(AJ30+0.006)/3.3476</f>
        <v>1.8597801409965351</v>
      </c>
      <c r="AM30" s="16">
        <v>2.7780999999999998</v>
      </c>
      <c r="AN30" s="16"/>
      <c r="AO30" s="16"/>
      <c r="AP30" s="16"/>
      <c r="AQ30" s="388">
        <v>6.7809999999999997</v>
      </c>
      <c r="AR30" s="388">
        <v>4.5327000000000002</v>
      </c>
      <c r="AS30" s="388">
        <v>26.3399</v>
      </c>
      <c r="AT30" s="388">
        <v>11.738</v>
      </c>
      <c r="AU30" s="388">
        <v>6.1967999999999996</v>
      </c>
      <c r="AV30" s="388">
        <v>20.882200000000001</v>
      </c>
      <c r="AW30" s="388">
        <v>19.097999999999999</v>
      </c>
      <c r="AX30" s="388">
        <v>1.7238</v>
      </c>
      <c r="AY30" s="388">
        <v>3.2561</v>
      </c>
      <c r="AZ30" s="389">
        <v>4.3680000000000003</v>
      </c>
      <c r="BA30" s="389">
        <v>4.1745000000000001</v>
      </c>
      <c r="BB30" s="389">
        <v>28.779499999999999</v>
      </c>
      <c r="BC30" s="18">
        <f>(BA30+0.006)/3.3476</f>
        <v>1.2488051141116026</v>
      </c>
      <c r="BD30" s="18">
        <v>2.0095000000000001</v>
      </c>
      <c r="BE30" s="18"/>
      <c r="BF30" s="18"/>
      <c r="BG30" s="18"/>
      <c r="BH30" s="389">
        <v>6.7809999999999997</v>
      </c>
      <c r="BI30" s="389">
        <v>4.6886000000000001</v>
      </c>
      <c r="BJ30" s="389">
        <v>27.024899999999999</v>
      </c>
      <c r="BK30" s="389">
        <v>11.738</v>
      </c>
      <c r="BL30" s="389">
        <v>6.8475000000000001</v>
      </c>
      <c r="BM30" s="389">
        <v>23.117799999999999</v>
      </c>
      <c r="BN30" s="389">
        <v>19.103999999999999</v>
      </c>
      <c r="BO30" s="389">
        <v>1.0085999999999999</v>
      </c>
      <c r="BP30" s="389">
        <v>1.8967000000000001</v>
      </c>
      <c r="BQ30" s="390">
        <v>4.3479999999999999</v>
      </c>
      <c r="BR30" s="390">
        <v>9.2399999999999996E-2</v>
      </c>
      <c r="BS30" s="390">
        <v>0.54849999999999999</v>
      </c>
      <c r="BT30" s="23">
        <f>(BR30+0.006)/3.3476</f>
        <v>2.9394192854582387E-2</v>
      </c>
      <c r="BU30" s="23">
        <v>0.4753</v>
      </c>
      <c r="BV30" s="23"/>
      <c r="BW30" s="23"/>
      <c r="BX30" s="23"/>
      <c r="BY30" s="390">
        <v>6.7809999999999997</v>
      </c>
      <c r="BZ30" s="390">
        <v>4.5388000000000002</v>
      </c>
      <c r="CA30" s="390">
        <v>25.972899999999999</v>
      </c>
      <c r="CB30" s="390">
        <v>11.738</v>
      </c>
      <c r="CC30" s="390">
        <v>6.59</v>
      </c>
      <c r="CD30" s="390">
        <v>22.1995</v>
      </c>
      <c r="CE30" s="390">
        <v>19.108000000000001</v>
      </c>
      <c r="CF30" s="390">
        <v>0.44850000000000001</v>
      </c>
      <c r="CG30" s="390">
        <v>0.83879999999999999</v>
      </c>
      <c r="CI30" s="12">
        <f t="shared" si="0"/>
        <v>1.3864858406022225</v>
      </c>
      <c r="CJ30" s="12">
        <f t="shared" si="1"/>
        <v>1.8597801409965351</v>
      </c>
      <c r="CK30" s="12">
        <f t="shared" si="2"/>
        <v>1.2488051141116026</v>
      </c>
      <c r="CL30" s="12">
        <f t="shared" si="11"/>
        <v>1.4983570319034534</v>
      </c>
      <c r="CM30">
        <f t="shared" si="43"/>
        <v>0.32048243860097525</v>
      </c>
      <c r="CN30">
        <v>3</v>
      </c>
      <c r="CO30">
        <v>3.18</v>
      </c>
      <c r="CP30" s="12">
        <f t="shared" si="44"/>
        <v>0.58839737858589003</v>
      </c>
      <c r="CS30">
        <f t="shared" ref="CS30:CS37" si="53">AVERAGE(CS4:CS29)</f>
        <v>0.17349141170648547</v>
      </c>
      <c r="CT30">
        <f t="shared" si="14"/>
        <v>0.32048243860097614</v>
      </c>
      <c r="CU30" s="12">
        <f>CL30-G30</f>
        <v>0.52392758991516331</v>
      </c>
      <c r="CV30" s="12">
        <f>CU30/SQRT(((CT30^2)/3)+((CS30^2)/1))</f>
        <v>2.0655969680199582</v>
      </c>
      <c r="CW30">
        <f t="shared" si="16"/>
        <v>2</v>
      </c>
      <c r="CX30">
        <v>3</v>
      </c>
      <c r="CY30">
        <v>1</v>
      </c>
      <c r="CZ30">
        <v>2.92</v>
      </c>
      <c r="DA30" t="s">
        <v>211</v>
      </c>
      <c r="DB30" s="37">
        <v>44475</v>
      </c>
      <c r="DC30" s="32">
        <v>0.44166666666666665</v>
      </c>
      <c r="DD30">
        <f>DC25+(24*7)</f>
        <v>1224.8666666666666</v>
      </c>
      <c r="DE30">
        <f>36-4</f>
        <v>32</v>
      </c>
      <c r="DF30">
        <f t="shared" si="51"/>
        <v>73524</v>
      </c>
      <c r="DG30">
        <f t="shared" si="52"/>
        <v>1225.4000000000001</v>
      </c>
      <c r="DH30">
        <f>(DG30-1225)*60</f>
        <v>24.000000000005457</v>
      </c>
      <c r="DI30">
        <v>1125</v>
      </c>
      <c r="DL30" t="s">
        <v>889</v>
      </c>
      <c r="DM30" t="s">
        <v>108</v>
      </c>
      <c r="DN30">
        <f t="shared" si="17"/>
        <v>22.642299999999999</v>
      </c>
      <c r="DO30" s="17">
        <f>(DN30-2.2613)/19.778</f>
        <v>1.0304884214784105</v>
      </c>
      <c r="DQ30" s="12">
        <v>2.9394192854582387E-2</v>
      </c>
      <c r="DR30" s="12">
        <v>0.97442944198829007</v>
      </c>
      <c r="DS30" s="12">
        <f t="shared" si="19"/>
        <v>1.0508934636300999</v>
      </c>
      <c r="DU30" s="12">
        <v>0.97442944198829007</v>
      </c>
      <c r="EG30">
        <f t="shared" si="20"/>
        <v>-0.52392758991516331</v>
      </c>
    </row>
    <row r="31" spans="1:137">
      <c r="A31" s="256" t="s">
        <v>108</v>
      </c>
      <c r="B31" s="14">
        <v>44467</v>
      </c>
      <c r="C31" s="12">
        <v>1033.3</v>
      </c>
      <c r="D31" s="125">
        <v>4.3609999999999998</v>
      </c>
      <c r="E31" s="125">
        <v>2.9929000000000001</v>
      </c>
      <c r="F31" s="125">
        <v>19.9741</v>
      </c>
      <c r="G31" s="17">
        <f>(E31+0.006)/3.3476</f>
        <v>0.89583582267893413</v>
      </c>
      <c r="H31" s="17">
        <v>1.5653999999999999</v>
      </c>
      <c r="I31" s="125">
        <v>6.7839999999999998</v>
      </c>
      <c r="J31" s="125">
        <v>5.9249000000000001</v>
      </c>
      <c r="K31" s="125">
        <v>34.0319</v>
      </c>
      <c r="L31" s="125">
        <v>11.731</v>
      </c>
      <c r="M31" s="125">
        <v>10.2959</v>
      </c>
      <c r="N31" s="125">
        <v>34.9741</v>
      </c>
      <c r="O31" s="125">
        <v>19.103999999999999</v>
      </c>
      <c r="P31" s="125">
        <v>0.89190000000000003</v>
      </c>
      <c r="Q31" s="125">
        <v>1.6738999999999999</v>
      </c>
      <c r="R31" s="387">
        <v>4.3680000000000003</v>
      </c>
      <c r="S31" s="387">
        <v>4.0995999999999997</v>
      </c>
      <c r="T31" s="387">
        <v>27.508500000000002</v>
      </c>
      <c r="U31" s="19">
        <f>(S31+0.006)/3.3476</f>
        <v>1.2264308758513562</v>
      </c>
      <c r="V31" s="19">
        <v>1.9813000000000001</v>
      </c>
      <c r="W31" s="19"/>
      <c r="X31" s="19"/>
      <c r="Y31" s="19"/>
      <c r="Z31" s="387">
        <v>6.7779999999999996</v>
      </c>
      <c r="AA31" s="387">
        <v>3.5686</v>
      </c>
      <c r="AB31" s="387">
        <v>20.154900000000001</v>
      </c>
      <c r="AC31" s="387">
        <v>11.741</v>
      </c>
      <c r="AD31" s="387">
        <v>5.48</v>
      </c>
      <c r="AE31" s="387">
        <v>18.338699999999999</v>
      </c>
      <c r="AF31" s="387">
        <v>19.097999999999999</v>
      </c>
      <c r="AG31" s="387">
        <v>0.6159</v>
      </c>
      <c r="AH31" s="387">
        <v>1.1528</v>
      </c>
      <c r="AI31" s="388">
        <v>4.3680000000000003</v>
      </c>
      <c r="AJ31" s="388">
        <v>5.2728999999999999</v>
      </c>
      <c r="AK31" s="388">
        <v>35.1128</v>
      </c>
      <c r="AL31" s="16">
        <f>(AJ31+0.006)/3.3476</f>
        <v>1.5769207790655992</v>
      </c>
      <c r="AM31" s="16">
        <v>2.4222999999999999</v>
      </c>
      <c r="AN31" s="16"/>
      <c r="AO31" s="16"/>
      <c r="AP31" s="16"/>
      <c r="AQ31" s="388">
        <v>6.7779999999999996</v>
      </c>
      <c r="AR31" s="388">
        <v>3.5043000000000002</v>
      </c>
      <c r="AS31" s="388">
        <v>19.919699999999999</v>
      </c>
      <c r="AT31" s="388">
        <v>11.738</v>
      </c>
      <c r="AU31" s="388">
        <v>5.1140999999999996</v>
      </c>
      <c r="AV31" s="388">
        <v>17.084800000000001</v>
      </c>
      <c r="AW31" s="388">
        <v>19.091000000000001</v>
      </c>
      <c r="AX31" s="388">
        <v>1.1366000000000001</v>
      </c>
      <c r="AY31" s="388">
        <v>2.1328999999999998</v>
      </c>
      <c r="AZ31" s="389">
        <v>4.3639999999999999</v>
      </c>
      <c r="BA31" s="389">
        <v>3.9356</v>
      </c>
      <c r="BB31" s="389">
        <v>26.3386</v>
      </c>
      <c r="BC31" s="18">
        <f>(BA31+0.006)/3.3476</f>
        <v>1.1774405544270521</v>
      </c>
      <c r="BD31" s="18">
        <v>1.9197</v>
      </c>
      <c r="BE31" s="18"/>
      <c r="BF31" s="18"/>
      <c r="BG31" s="18"/>
      <c r="BH31" s="389">
        <v>6.7779999999999996</v>
      </c>
      <c r="BI31" s="389">
        <v>4.0884999999999998</v>
      </c>
      <c r="BJ31" s="389">
        <v>23.251100000000001</v>
      </c>
      <c r="BK31" s="389">
        <v>11.738</v>
      </c>
      <c r="BL31" s="389">
        <v>5.4621000000000004</v>
      </c>
      <c r="BM31" s="389">
        <v>18.261700000000001</v>
      </c>
      <c r="BN31" s="389">
        <v>19.097999999999999</v>
      </c>
      <c r="BO31" s="389">
        <v>0.8175</v>
      </c>
      <c r="BP31" s="389">
        <v>1.5303</v>
      </c>
      <c r="BQ31" s="390">
        <v>4.3440000000000003</v>
      </c>
      <c r="BR31" s="390">
        <v>9.3299999999999994E-2</v>
      </c>
      <c r="BS31" s="390">
        <v>0.52449999999999997</v>
      </c>
      <c r="BT31" s="23">
        <f>(BR31+0.006)/3.3476</f>
        <v>2.9663042179471862E-2</v>
      </c>
      <c r="BU31" s="23">
        <v>0.47560000000000002</v>
      </c>
      <c r="BV31" s="23"/>
      <c r="BW31" s="23"/>
      <c r="BX31" s="23"/>
      <c r="BY31" s="390">
        <v>6.7779999999999996</v>
      </c>
      <c r="BZ31" s="390">
        <v>3.5093999999999999</v>
      </c>
      <c r="CA31" s="390">
        <v>19.697900000000001</v>
      </c>
      <c r="CB31" s="390">
        <v>11.741</v>
      </c>
      <c r="CC31" s="390">
        <v>4.2499000000000002</v>
      </c>
      <c r="CD31" s="390">
        <v>17.511700000000001</v>
      </c>
      <c r="CE31" s="390">
        <v>19.100999999999999</v>
      </c>
      <c r="CF31" s="390">
        <v>0.35470000000000002</v>
      </c>
      <c r="CG31" s="390">
        <v>0.66069999999999995</v>
      </c>
      <c r="CI31" s="12">
        <f t="shared" si="0"/>
        <v>1.2264308758513562</v>
      </c>
      <c r="CJ31" s="12">
        <f t="shared" si="1"/>
        <v>1.5769207790655992</v>
      </c>
      <c r="CK31" s="12">
        <f t="shared" si="2"/>
        <v>1.1774405544270521</v>
      </c>
      <c r="CL31" s="12">
        <f t="shared" si="11"/>
        <v>1.3269307364480025</v>
      </c>
      <c r="CM31">
        <f t="shared" si="43"/>
        <v>0.2178790466159494</v>
      </c>
      <c r="CN31">
        <v>3</v>
      </c>
      <c r="CO31">
        <v>3.18</v>
      </c>
      <c r="CP31" s="12">
        <f t="shared" si="44"/>
        <v>0.40002023336210174</v>
      </c>
      <c r="CS31">
        <f t="shared" si="53"/>
        <v>0.16519353322731631</v>
      </c>
      <c r="CT31">
        <f t="shared" si="14"/>
        <v>0.21787904661594934</v>
      </c>
      <c r="CU31" s="12">
        <f>CL31-G31</f>
        <v>0.43109491376906839</v>
      </c>
      <c r="CV31" s="12">
        <f t="shared" ref="CV31:CV34" si="54">CU31/SQRT(((CT31^2)/3)+((CS31^2)/1))</f>
        <v>2.0762061534346281</v>
      </c>
      <c r="CW31">
        <f t="shared" si="16"/>
        <v>2</v>
      </c>
      <c r="CX31">
        <v>3</v>
      </c>
      <c r="CY31">
        <v>1</v>
      </c>
      <c r="CZ31">
        <v>2.92</v>
      </c>
      <c r="DA31" t="s">
        <v>211</v>
      </c>
      <c r="DB31" s="37">
        <v>44477</v>
      </c>
      <c r="DC31" s="32">
        <v>0.4368055555555555</v>
      </c>
      <c r="DD31">
        <f>DC25+(24*9)</f>
        <v>1272.8666666666666</v>
      </c>
      <c r="DE31">
        <f>29-4</f>
        <v>25</v>
      </c>
      <c r="DF31">
        <f t="shared" si="51"/>
        <v>76397</v>
      </c>
      <c r="DG31">
        <f t="shared" si="52"/>
        <v>1273.2833333333333</v>
      </c>
      <c r="DH31">
        <f>(DG31-1273)*60</f>
        <v>16.999999999998181</v>
      </c>
      <c r="DI31">
        <v>1273</v>
      </c>
      <c r="DM31" t="s">
        <v>108</v>
      </c>
      <c r="DN31">
        <f t="shared" si="17"/>
        <v>19.9741</v>
      </c>
      <c r="DO31" s="17">
        <f>(DN31-2.2613)/19.778</f>
        <v>0.89558094852866832</v>
      </c>
      <c r="DQ31" s="12">
        <v>2.9663042179471862E-2</v>
      </c>
      <c r="DR31" s="12">
        <v>0.89583582267893413</v>
      </c>
      <c r="DS31" s="12">
        <f t="shared" si="19"/>
        <v>1.0345840868051059</v>
      </c>
      <c r="DU31" s="12">
        <v>0.89583582267893413</v>
      </c>
      <c r="EG31">
        <f t="shared" si="20"/>
        <v>-0.43109491376906844</v>
      </c>
    </row>
    <row r="32" spans="1:137">
      <c r="A32" s="256" t="s">
        <v>189</v>
      </c>
      <c r="B32" s="14">
        <v>44468</v>
      </c>
      <c r="C32" s="12">
        <v>1056.8666666666666</v>
      </c>
      <c r="D32" s="79">
        <v>4.3810000000000002</v>
      </c>
      <c r="E32" s="79">
        <v>2.7945000000000002</v>
      </c>
      <c r="F32" s="79">
        <v>18.4071</v>
      </c>
      <c r="G32" s="17">
        <f>(E32+0.0847)/3.2319</f>
        <v>0.89086914817908969</v>
      </c>
      <c r="H32" s="17">
        <v>1.4907999999999999</v>
      </c>
      <c r="I32" s="79">
        <v>6.8079999999999998</v>
      </c>
      <c r="J32" s="79">
        <v>5.6452</v>
      </c>
      <c r="K32" s="79">
        <v>32.941299999999998</v>
      </c>
      <c r="L32" s="79">
        <v>11.747999999999999</v>
      </c>
      <c r="M32" s="79">
        <v>8.1807999999999996</v>
      </c>
      <c r="N32" s="79">
        <v>28.068899999999999</v>
      </c>
      <c r="O32" s="79">
        <v>19.350999999999999</v>
      </c>
      <c r="P32" s="79">
        <v>0.87409999999999999</v>
      </c>
      <c r="Q32" s="79">
        <v>1.6328</v>
      </c>
      <c r="R32" s="383">
        <v>4.3810000000000002</v>
      </c>
      <c r="S32" s="383">
        <v>3.7650000000000001</v>
      </c>
      <c r="T32" s="383">
        <v>24.7895</v>
      </c>
      <c r="U32" s="19">
        <f t="shared" ref="U32:U34" si="55">(S32+0.0847)/3.2319</f>
        <v>1.191156904607197</v>
      </c>
      <c r="V32" s="19">
        <v>1.8555999999999999</v>
      </c>
      <c r="W32" s="19"/>
      <c r="X32" s="19"/>
      <c r="Y32" s="19"/>
      <c r="Z32" s="383">
        <v>6.8010000000000002</v>
      </c>
      <c r="AA32" s="383">
        <v>4.1885000000000003</v>
      </c>
      <c r="AB32" s="383">
        <v>24.209099999999999</v>
      </c>
      <c r="AC32" s="383">
        <v>11.755000000000001</v>
      </c>
      <c r="AD32" s="383">
        <v>5.0987</v>
      </c>
      <c r="AE32" s="383">
        <v>17.260100000000001</v>
      </c>
      <c r="AF32" s="383">
        <v>19.350999999999999</v>
      </c>
      <c r="AG32" s="383">
        <v>0.63360000000000005</v>
      </c>
      <c r="AH32" s="383">
        <v>1.1796</v>
      </c>
      <c r="AI32" s="384">
        <v>4.391</v>
      </c>
      <c r="AJ32" s="384">
        <v>5.5168999999999997</v>
      </c>
      <c r="AK32" s="384">
        <v>35.274299999999997</v>
      </c>
      <c r="AL32" s="16">
        <f t="shared" ref="AL32:AL34" si="56">(AJ32+0.0847)/3.2319</f>
        <v>1.7332219437482594</v>
      </c>
      <c r="AM32" s="16">
        <v>2.5139999999999998</v>
      </c>
      <c r="AN32" s="16"/>
      <c r="AO32" s="16"/>
      <c r="AP32" s="16"/>
      <c r="AQ32" s="384">
        <v>6.8040000000000003</v>
      </c>
      <c r="AR32" s="384">
        <v>4.1590999999999996</v>
      </c>
      <c r="AS32" s="384">
        <v>24.184999999999999</v>
      </c>
      <c r="AT32" s="384">
        <v>11.757999999999999</v>
      </c>
      <c r="AU32" s="384">
        <v>4.6516000000000002</v>
      </c>
      <c r="AV32" s="384">
        <v>15.7117</v>
      </c>
      <c r="AW32" s="384">
        <v>19.347999999999999</v>
      </c>
      <c r="AX32" s="384">
        <v>1.3084</v>
      </c>
      <c r="AY32" s="384">
        <v>2.4474</v>
      </c>
      <c r="AZ32" s="386">
        <v>4.3810000000000002</v>
      </c>
      <c r="BA32" s="386">
        <v>3.7869000000000002</v>
      </c>
      <c r="BB32" s="386">
        <v>24.3231</v>
      </c>
      <c r="BC32" s="18">
        <f t="shared" ref="BC32:BC34" si="57">(BA32+0.0847)/3.2319</f>
        <v>1.197933104365853</v>
      </c>
      <c r="BD32" s="18">
        <v>1.8637999999999999</v>
      </c>
      <c r="BE32" s="18"/>
      <c r="BF32" s="18"/>
      <c r="BG32" s="18"/>
      <c r="BH32" s="386">
        <v>6.8010000000000002</v>
      </c>
      <c r="BI32" s="386">
        <v>4.1741000000000001</v>
      </c>
      <c r="BJ32" s="386">
        <v>24.113499999999998</v>
      </c>
      <c r="BK32" s="386">
        <v>11.750999999999999</v>
      </c>
      <c r="BL32" s="386">
        <v>5.0298999999999996</v>
      </c>
      <c r="BM32" s="386">
        <v>17.023299999999999</v>
      </c>
      <c r="BN32" s="386">
        <v>19.347999999999999</v>
      </c>
      <c r="BO32" s="386">
        <v>0.65910000000000002</v>
      </c>
      <c r="BP32" s="386">
        <v>1.2250000000000001</v>
      </c>
      <c r="BQ32" s="385">
        <v>4.3639999999999999</v>
      </c>
      <c r="BR32" s="385">
        <v>8.8900000000000007E-2</v>
      </c>
      <c r="BS32" s="385">
        <v>0.52849999999999997</v>
      </c>
      <c r="BT32" s="23">
        <f t="shared" ref="BT32:BT34" si="58">(BR32+0.0847)/3.2319</f>
        <v>5.3714533246696991E-2</v>
      </c>
      <c r="BU32" s="23">
        <v>0.47399999999999998</v>
      </c>
      <c r="BV32" s="23"/>
      <c r="BW32" s="23"/>
      <c r="BX32" s="23"/>
      <c r="BY32" s="385">
        <v>6.8040000000000003</v>
      </c>
      <c r="BZ32" s="385">
        <v>4.2267999999999999</v>
      </c>
      <c r="CA32" s="385">
        <v>24.3447</v>
      </c>
      <c r="CB32" s="385">
        <v>11.757999999999999</v>
      </c>
      <c r="CC32" s="385">
        <v>4.7826000000000004</v>
      </c>
      <c r="CD32" s="385">
        <v>16.1189</v>
      </c>
      <c r="CE32" s="385">
        <v>19.361000000000001</v>
      </c>
      <c r="CF32" s="385">
        <v>0.40670000000000001</v>
      </c>
      <c r="CG32" s="385">
        <v>0.754</v>
      </c>
      <c r="CI32" s="12">
        <f t="shared" si="0"/>
        <v>1.191156904607197</v>
      </c>
      <c r="CJ32" s="12">
        <f t="shared" si="1"/>
        <v>1.7332219437482594</v>
      </c>
      <c r="CK32" s="12">
        <f t="shared" si="2"/>
        <v>1.197933104365853</v>
      </c>
      <c r="CL32" s="12">
        <f t="shared" si="11"/>
        <v>1.3741039842404366</v>
      </c>
      <c r="CM32">
        <f t="shared" ref="CM32:CM34" si="59">STDEV(CI32:CK32)</f>
        <v>0.31102373036729558</v>
      </c>
      <c r="CN32">
        <v>3</v>
      </c>
      <c r="CO32">
        <v>3.18</v>
      </c>
      <c r="CP32" s="12">
        <f t="shared" ref="CP32:CP34" si="60">(CO32*CM32)/SQRT(CN32)</f>
        <v>0.57103143755710473</v>
      </c>
      <c r="CS32">
        <f t="shared" si="53"/>
        <v>0.15425937793445335</v>
      </c>
      <c r="CT32">
        <f t="shared" si="14"/>
        <v>0.31102373036729702</v>
      </c>
      <c r="CU32" s="12">
        <f>CL32-G32</f>
        <v>0.48323483606134687</v>
      </c>
      <c r="CV32" s="12">
        <f t="shared" si="54"/>
        <v>2.0412889545908417</v>
      </c>
      <c r="CW32">
        <f t="shared" si="16"/>
        <v>2</v>
      </c>
      <c r="CX32">
        <v>3</v>
      </c>
      <c r="CY32">
        <v>1</v>
      </c>
      <c r="CZ32">
        <v>2.92</v>
      </c>
      <c r="DA32" t="s">
        <v>211</v>
      </c>
      <c r="DB32" s="37">
        <v>44480</v>
      </c>
      <c r="DC32" s="32">
        <v>0.4770833333333333</v>
      </c>
      <c r="DD32">
        <f>DC25+(24*12)+1</f>
        <v>1345.8666666666666</v>
      </c>
      <c r="DE32">
        <f>27-4</f>
        <v>23</v>
      </c>
      <c r="DF32">
        <f t="shared" si="51"/>
        <v>80775</v>
      </c>
      <c r="DG32">
        <f t="shared" si="52"/>
        <v>1346.25</v>
      </c>
      <c r="DH32">
        <f>(DG32-1345)*60</f>
        <v>75</v>
      </c>
      <c r="DI32">
        <v>1346</v>
      </c>
      <c r="DL32" t="s">
        <v>890</v>
      </c>
      <c r="DM32" t="s">
        <v>189</v>
      </c>
      <c r="DN32">
        <f t="shared" si="17"/>
        <v>18.4071</v>
      </c>
      <c r="DO32" s="17">
        <f>(DN32-2.2443)/18.837</f>
        <v>0.85803471890428418</v>
      </c>
      <c r="DQ32" s="12">
        <v>5.3714533246696991E-2</v>
      </c>
      <c r="DR32" s="12">
        <v>0.89086914817908969</v>
      </c>
      <c r="DS32" s="12">
        <f t="shared" si="19"/>
        <v>1.0189336986897342</v>
      </c>
      <c r="DU32" s="12">
        <v>0.89086914817908969</v>
      </c>
      <c r="EG32">
        <f t="shared" si="20"/>
        <v>-0.48323483606134676</v>
      </c>
    </row>
    <row r="33" spans="1:137">
      <c r="A33" s="256" t="s">
        <v>189</v>
      </c>
      <c r="B33" s="14">
        <v>44470</v>
      </c>
      <c r="C33" s="12">
        <v>1109.33</v>
      </c>
      <c r="D33" s="79">
        <v>4.3780000000000001</v>
      </c>
      <c r="E33" s="79">
        <v>3.2799</v>
      </c>
      <c r="F33" s="79">
        <v>20.965699999999998</v>
      </c>
      <c r="G33" s="17">
        <f t="shared" ref="G33:G34" si="61">(E33+0.0847)/3.2319</f>
        <v>1.0410594387202574</v>
      </c>
      <c r="H33" s="17">
        <v>1.6733</v>
      </c>
      <c r="I33" s="79">
        <v>6.798</v>
      </c>
      <c r="J33" s="79">
        <v>4.3426</v>
      </c>
      <c r="K33" s="79">
        <v>24.878499999999999</v>
      </c>
      <c r="L33" s="79">
        <v>11.744</v>
      </c>
      <c r="M33" s="79">
        <v>6.9447999999999999</v>
      </c>
      <c r="N33" s="79">
        <v>23.6173</v>
      </c>
      <c r="O33" s="79">
        <v>19.341000000000001</v>
      </c>
      <c r="P33" s="79">
        <v>0.94410000000000005</v>
      </c>
      <c r="Q33" s="79">
        <v>1.7588999999999999</v>
      </c>
      <c r="R33" s="383">
        <v>4.3849999999999998</v>
      </c>
      <c r="S33" s="383">
        <v>4.1227999999999998</v>
      </c>
      <c r="T33" s="383">
        <v>26.456199999999999</v>
      </c>
      <c r="U33" s="19">
        <f t="shared" si="55"/>
        <v>1.3018657755499858</v>
      </c>
      <c r="V33" s="19">
        <v>1.9901</v>
      </c>
      <c r="W33" s="19"/>
      <c r="X33" s="19"/>
      <c r="Y33" s="19"/>
      <c r="Z33" s="383">
        <v>6.798</v>
      </c>
      <c r="AA33" s="383">
        <v>3.1974999999999998</v>
      </c>
      <c r="AB33" s="383">
        <v>18.084399999999999</v>
      </c>
      <c r="AC33" s="383">
        <v>11.755000000000001</v>
      </c>
      <c r="AD33" s="383">
        <v>4.2412000000000001</v>
      </c>
      <c r="AE33" s="383">
        <v>14.2204</v>
      </c>
      <c r="AF33" s="383">
        <v>19.347999999999999</v>
      </c>
      <c r="AG33" s="383">
        <v>0.70669999999999999</v>
      </c>
      <c r="AH33" s="383">
        <v>1.3129999999999999</v>
      </c>
      <c r="AI33" s="384">
        <v>4.3840000000000003</v>
      </c>
      <c r="AJ33" s="384">
        <v>4.3563999999999998</v>
      </c>
      <c r="AK33" s="384">
        <v>28.0259</v>
      </c>
      <c r="AL33" s="16">
        <f t="shared" si="56"/>
        <v>1.3741452396423155</v>
      </c>
      <c r="AM33" s="16">
        <v>2.0777999999999999</v>
      </c>
      <c r="AN33" s="16"/>
      <c r="AO33" s="16"/>
      <c r="AP33" s="16"/>
      <c r="AQ33" s="384">
        <v>6.798</v>
      </c>
      <c r="AR33" s="384">
        <v>3.0438000000000001</v>
      </c>
      <c r="AS33" s="384">
        <v>17.172599999999999</v>
      </c>
      <c r="AT33" s="384">
        <v>11.754</v>
      </c>
      <c r="AU33" s="384">
        <v>4.3372000000000002</v>
      </c>
      <c r="AV33" s="384">
        <v>14.5572</v>
      </c>
      <c r="AW33" s="384">
        <v>19.344000000000001</v>
      </c>
      <c r="AX33" s="384">
        <v>0.64</v>
      </c>
      <c r="AY33" s="384">
        <v>1.1900999999999999</v>
      </c>
      <c r="AZ33" s="386">
        <v>4.3849999999999998</v>
      </c>
      <c r="BA33" s="386">
        <v>4.4972000000000003</v>
      </c>
      <c r="BB33" s="386">
        <v>28.865300000000001</v>
      </c>
      <c r="BC33" s="18">
        <f t="shared" si="57"/>
        <v>1.4177109440267335</v>
      </c>
      <c r="BD33" s="18">
        <v>2.1307999999999998</v>
      </c>
      <c r="BE33" s="18"/>
      <c r="BF33" s="18"/>
      <c r="BG33" s="18"/>
      <c r="BH33" s="386">
        <v>6.7949999999999999</v>
      </c>
      <c r="BI33" s="386">
        <v>3.07</v>
      </c>
      <c r="BJ33" s="386">
        <v>17.367699999999999</v>
      </c>
      <c r="BK33" s="386">
        <v>11.755000000000001</v>
      </c>
      <c r="BL33" s="386">
        <v>4.1047000000000002</v>
      </c>
      <c r="BM33" s="386">
        <v>13.7476</v>
      </c>
      <c r="BN33" s="386">
        <v>19.341000000000001</v>
      </c>
      <c r="BO33" s="386">
        <v>0.76549999999999996</v>
      </c>
      <c r="BP33" s="386">
        <v>1.4215</v>
      </c>
      <c r="BQ33" s="385">
        <v>4.3609999999999998</v>
      </c>
      <c r="BR33" s="385">
        <v>0.2419</v>
      </c>
      <c r="BS33" s="385">
        <v>0.72670000000000001</v>
      </c>
      <c r="BT33" s="23">
        <f t="shared" si="58"/>
        <v>0.10105510690306012</v>
      </c>
      <c r="BU33" s="23">
        <v>0.53149999999999997</v>
      </c>
      <c r="BV33" s="23"/>
      <c r="BW33" s="23"/>
      <c r="BX33" s="23"/>
      <c r="BY33" s="385">
        <v>6.7949999999999999</v>
      </c>
      <c r="BZ33" s="385">
        <v>3.1116000000000001</v>
      </c>
      <c r="CA33" s="385">
        <v>17.552199999999999</v>
      </c>
      <c r="CB33" s="385">
        <v>11.750999999999999</v>
      </c>
      <c r="CC33" s="385">
        <v>3.9525000000000001</v>
      </c>
      <c r="CD33" s="385">
        <v>13.222300000000001</v>
      </c>
      <c r="CE33" s="385">
        <v>19.344999999999999</v>
      </c>
      <c r="CF33" s="385">
        <v>0.39950000000000002</v>
      </c>
      <c r="CG33" s="385">
        <v>0.73529999999999995</v>
      </c>
      <c r="CI33" s="12">
        <f t="shared" si="0"/>
        <v>1.3018657755499858</v>
      </c>
      <c r="CJ33" s="12">
        <f t="shared" si="1"/>
        <v>1.3741452396423155</v>
      </c>
      <c r="CK33" s="12">
        <f t="shared" si="2"/>
        <v>1.4177109440267335</v>
      </c>
      <c r="CL33" s="12">
        <f t="shared" si="11"/>
        <v>1.3645739864063451</v>
      </c>
      <c r="CM33">
        <f t="shared" si="59"/>
        <v>5.8512668980587608E-2</v>
      </c>
      <c r="CN33">
        <v>3</v>
      </c>
      <c r="CO33">
        <v>3.18</v>
      </c>
      <c r="CP33" s="12">
        <f t="shared" si="60"/>
        <v>0.10742773049448741</v>
      </c>
      <c r="CS33">
        <f t="shared" si="53"/>
        <v>0.14249827125980633</v>
      </c>
      <c r="CT33">
        <f t="shared" si="14"/>
        <v>5.8512668980587608E-2</v>
      </c>
      <c r="CU33" s="12">
        <f>CL33-G33</f>
        <v>0.32351454768608767</v>
      </c>
      <c r="CV33" s="12">
        <f t="shared" si="54"/>
        <v>2.2090753215544012</v>
      </c>
      <c r="CW33">
        <f t="shared" si="16"/>
        <v>2</v>
      </c>
      <c r="CX33">
        <v>3</v>
      </c>
      <c r="CY33">
        <v>1</v>
      </c>
      <c r="CZ33">
        <v>2.92</v>
      </c>
      <c r="DA33" t="s">
        <v>211</v>
      </c>
      <c r="DB33" s="37">
        <v>44482</v>
      </c>
      <c r="DC33" s="32">
        <v>0.4777777777777778</v>
      </c>
      <c r="DD33">
        <f>DG32+(24*2)</f>
        <v>1394.25</v>
      </c>
      <c r="DE33">
        <v>1</v>
      </c>
      <c r="DF33">
        <f t="shared" ref="DF33:DF36" si="62">(DD33*60)+DE33</f>
        <v>83656</v>
      </c>
      <c r="DG33">
        <f t="shared" ref="DG33:DG36" si="63">DF33/60</f>
        <v>1394.2666666666667</v>
      </c>
      <c r="DH33">
        <f>(DG33-1393)*60</f>
        <v>75.999999999999091</v>
      </c>
      <c r="DI33">
        <v>1394</v>
      </c>
      <c r="DM33" t="s">
        <v>189</v>
      </c>
      <c r="DN33">
        <f t="shared" si="17"/>
        <v>20.965699999999998</v>
      </c>
      <c r="DO33" s="17">
        <f t="shared" ref="DO33:DO34" si="64">(DN33-2.2443)/18.837</f>
        <v>0.99386314168922862</v>
      </c>
      <c r="DQ33" s="12">
        <v>0.10105510690306012</v>
      </c>
      <c r="DR33" s="12">
        <v>1.0410594387202574</v>
      </c>
      <c r="DS33" s="12">
        <f t="shared" si="19"/>
        <v>0.98531101312821789</v>
      </c>
      <c r="DU33" s="12">
        <v>1.0410594387202574</v>
      </c>
      <c r="EG33">
        <f t="shared" si="20"/>
        <v>-0.32351454768608751</v>
      </c>
    </row>
    <row r="34" spans="1:137">
      <c r="A34" s="256" t="s">
        <v>189</v>
      </c>
      <c r="B34" s="14">
        <v>44473</v>
      </c>
      <c r="C34" s="12">
        <v>1176.8800000000001</v>
      </c>
      <c r="D34" s="79">
        <v>4.3780000000000001</v>
      </c>
      <c r="E34" s="79">
        <v>2.8292000000000002</v>
      </c>
      <c r="F34" s="79">
        <v>19.571100000000001</v>
      </c>
      <c r="G34" s="17">
        <f t="shared" si="61"/>
        <v>0.90160586651814723</v>
      </c>
      <c r="H34" s="17">
        <v>1.5039</v>
      </c>
      <c r="I34" s="79">
        <v>6.7949999999999999</v>
      </c>
      <c r="J34" s="79">
        <v>4.4386000000000001</v>
      </c>
      <c r="K34" s="79">
        <v>25.196999999999999</v>
      </c>
      <c r="L34" s="79">
        <v>11.741</v>
      </c>
      <c r="M34" s="79">
        <v>7.3006000000000002</v>
      </c>
      <c r="N34" s="79">
        <v>24.812799999999999</v>
      </c>
      <c r="O34" s="79">
        <v>19.341000000000001</v>
      </c>
      <c r="P34" s="79">
        <v>0.88049999999999995</v>
      </c>
      <c r="Q34" s="79">
        <v>1.6373</v>
      </c>
      <c r="R34" s="383">
        <v>4.3810000000000002</v>
      </c>
      <c r="S34" s="383">
        <v>3.4883999999999999</v>
      </c>
      <c r="T34" s="383">
        <v>23.929400000000001</v>
      </c>
      <c r="U34" s="19">
        <f t="shared" si="55"/>
        <v>1.1055725734088309</v>
      </c>
      <c r="V34" s="19">
        <v>1.7516</v>
      </c>
      <c r="W34" s="19"/>
      <c r="X34" s="19"/>
      <c r="Y34" s="19"/>
      <c r="Z34" s="383">
        <v>6.798</v>
      </c>
      <c r="AA34" s="383">
        <v>4.1757</v>
      </c>
      <c r="AB34" s="383">
        <v>23.8249</v>
      </c>
      <c r="AC34" s="383">
        <v>11.744</v>
      </c>
      <c r="AD34" s="383">
        <v>6.1437999999999997</v>
      </c>
      <c r="AE34" s="383">
        <v>20.7807</v>
      </c>
      <c r="AF34" s="383">
        <v>19.341000000000001</v>
      </c>
      <c r="AG34" s="383">
        <v>0.61860000000000004</v>
      </c>
      <c r="AH34" s="383">
        <v>1.1467000000000001</v>
      </c>
      <c r="AI34" s="384">
        <v>4.3810000000000002</v>
      </c>
      <c r="AJ34" s="384">
        <v>4.2355</v>
      </c>
      <c r="AK34" s="384">
        <v>27.141400000000001</v>
      </c>
      <c r="AL34" s="16">
        <f t="shared" si="56"/>
        <v>1.3367369039883659</v>
      </c>
      <c r="AM34" s="16">
        <v>2.0324</v>
      </c>
      <c r="AN34" s="16"/>
      <c r="AO34" s="16"/>
      <c r="AP34" s="16"/>
      <c r="AQ34" s="384">
        <v>6.7949999999999999</v>
      </c>
      <c r="AR34" s="384">
        <v>4.0713999999999997</v>
      </c>
      <c r="AS34" s="384">
        <v>23.177800000000001</v>
      </c>
      <c r="AT34" s="384">
        <v>11.741</v>
      </c>
      <c r="AU34" s="384">
        <v>6.0914000000000001</v>
      </c>
      <c r="AV34" s="384">
        <v>20.592700000000001</v>
      </c>
      <c r="AW34" s="384">
        <v>19.338000000000001</v>
      </c>
      <c r="AX34" s="384">
        <v>0.68379999999999996</v>
      </c>
      <c r="AY34" s="384">
        <v>1.2715000000000001</v>
      </c>
      <c r="AZ34" s="386">
        <v>4.3810000000000002</v>
      </c>
      <c r="BA34" s="386">
        <v>3.9889000000000001</v>
      </c>
      <c r="BB34" s="386">
        <v>25.523099999999999</v>
      </c>
      <c r="BC34" s="18">
        <f t="shared" si="57"/>
        <v>1.260435038212816</v>
      </c>
      <c r="BD34" s="18">
        <v>1.9397</v>
      </c>
      <c r="BE34" s="18"/>
      <c r="BF34" s="18"/>
      <c r="BG34" s="18"/>
      <c r="BH34" s="386">
        <v>6.798</v>
      </c>
      <c r="BI34" s="386">
        <v>4.2159000000000004</v>
      </c>
      <c r="BJ34" s="386">
        <v>24.061199999999999</v>
      </c>
      <c r="BK34" s="386">
        <v>11.744</v>
      </c>
      <c r="BL34" s="386">
        <v>6.1026999999999996</v>
      </c>
      <c r="BM34" s="386">
        <v>20.622499999999999</v>
      </c>
      <c r="BN34" s="386">
        <v>19.341000000000001</v>
      </c>
      <c r="BO34" s="386">
        <v>0.69550000000000001</v>
      </c>
      <c r="BP34" s="386">
        <v>1.2954000000000001</v>
      </c>
      <c r="BQ34" s="385">
        <v>4.3609999999999998</v>
      </c>
      <c r="BR34" s="385">
        <v>5.2900000000000003E-2</v>
      </c>
      <c r="BS34" s="385">
        <v>0.37580000000000002</v>
      </c>
      <c r="BT34" s="23">
        <f t="shared" si="58"/>
        <v>4.2575574739317432E-2</v>
      </c>
      <c r="BU34" s="23">
        <v>0.46050000000000002</v>
      </c>
      <c r="BV34" s="23"/>
      <c r="BW34" s="23"/>
      <c r="BX34" s="23"/>
      <c r="BY34" s="385">
        <v>6.7939999999999996</v>
      </c>
      <c r="BZ34" s="385">
        <v>4.1218000000000004</v>
      </c>
      <c r="CA34" s="385">
        <v>23.409700000000001</v>
      </c>
      <c r="CB34" s="385">
        <v>11.741</v>
      </c>
      <c r="CC34" s="385">
        <v>5.8686999999999996</v>
      </c>
      <c r="CD34" s="385">
        <v>19.832100000000001</v>
      </c>
      <c r="CE34" s="385">
        <v>19.338000000000001</v>
      </c>
      <c r="CF34" s="385">
        <v>0.3795</v>
      </c>
      <c r="CG34" s="385">
        <v>0.70679999999999998</v>
      </c>
      <c r="CI34" s="12">
        <f t="shared" si="0"/>
        <v>1.1055725734088309</v>
      </c>
      <c r="CJ34" s="12">
        <f t="shared" si="1"/>
        <v>1.3367369039883659</v>
      </c>
      <c r="CK34" s="12">
        <f t="shared" si="2"/>
        <v>1.260435038212816</v>
      </c>
      <c r="CL34" s="12">
        <f t="shared" si="11"/>
        <v>1.2342481718700042</v>
      </c>
      <c r="CM34">
        <f t="shared" si="59"/>
        <v>0.11778603868758533</v>
      </c>
      <c r="CN34">
        <v>3</v>
      </c>
      <c r="CO34">
        <v>3.18</v>
      </c>
      <c r="CP34" s="12">
        <f t="shared" si="60"/>
        <v>0.21625208763492149</v>
      </c>
      <c r="CS34">
        <f t="shared" si="53"/>
        <v>0.13670836565554578</v>
      </c>
      <c r="CT34">
        <f t="shared" si="14"/>
        <v>0.11778603868758533</v>
      </c>
      <c r="CU34" s="12">
        <f>CL34-G34</f>
        <v>0.33264230535185701</v>
      </c>
      <c r="CV34" s="12">
        <f t="shared" si="54"/>
        <v>2.1785720820032632</v>
      </c>
      <c r="CW34">
        <f t="shared" si="16"/>
        <v>2</v>
      </c>
      <c r="CX34">
        <v>3</v>
      </c>
      <c r="CY34">
        <v>1</v>
      </c>
      <c r="DB34" s="37">
        <v>44483</v>
      </c>
      <c r="DC34" s="32">
        <v>0.39374999999999999</v>
      </c>
      <c r="DD34">
        <f>DG33+24</f>
        <v>1418.2666666666667</v>
      </c>
      <c r="DE34">
        <v>-121</v>
      </c>
      <c r="DF34">
        <f t="shared" si="62"/>
        <v>84975</v>
      </c>
      <c r="DG34">
        <f t="shared" si="63"/>
        <v>1416.25</v>
      </c>
      <c r="DH34">
        <f>(DG34-1415)*60</f>
        <v>75</v>
      </c>
      <c r="DI34">
        <v>1416</v>
      </c>
      <c r="DM34" t="s">
        <v>189</v>
      </c>
      <c r="DN34">
        <f t="shared" si="17"/>
        <v>19.571100000000001</v>
      </c>
      <c r="DO34" s="17">
        <f t="shared" si="64"/>
        <v>0.91982799808886784</v>
      </c>
      <c r="DQ34" s="12">
        <v>4.2575574739317432E-2</v>
      </c>
      <c r="DR34" s="12">
        <v>0.90160586651814723</v>
      </c>
      <c r="DS34" s="12">
        <f t="shared" si="19"/>
        <v>0.94428822932828282</v>
      </c>
      <c r="DU34" s="12">
        <v>0.90160586651814723</v>
      </c>
      <c r="EG34">
        <f t="shared" si="20"/>
        <v>-0.33264230535185701</v>
      </c>
    </row>
    <row r="35" spans="1:137">
      <c r="A35" s="256" t="s">
        <v>195</v>
      </c>
      <c r="B35" s="14">
        <v>44475</v>
      </c>
      <c r="C35" s="12">
        <v>1225.4000000000001</v>
      </c>
      <c r="D35" s="79">
        <v>4.4009999999999998</v>
      </c>
      <c r="E35" s="79">
        <v>2.3035999999999999</v>
      </c>
      <c r="F35" s="79">
        <v>15.761900000000001</v>
      </c>
      <c r="G35" s="17">
        <f>(E35+0.0883)/3.2883</f>
        <v>0.7273971352978742</v>
      </c>
      <c r="H35" s="17">
        <v>1.3063</v>
      </c>
      <c r="I35" s="79">
        <v>6.8470000000000004</v>
      </c>
      <c r="J35" s="79">
        <v>6.0317999999999996</v>
      </c>
      <c r="K35" s="79">
        <v>35.7483</v>
      </c>
      <c r="L35" s="79">
        <v>11.807</v>
      </c>
      <c r="M35" s="79">
        <v>9.5798000000000005</v>
      </c>
      <c r="N35" s="79">
        <v>33.131900000000002</v>
      </c>
      <c r="O35" s="79">
        <v>19.673999999999999</v>
      </c>
      <c r="P35" s="79">
        <v>0.75129999999999997</v>
      </c>
      <c r="Q35" s="79">
        <v>1.3898999999999999</v>
      </c>
      <c r="R35" s="383">
        <v>4.4009999999999998</v>
      </c>
      <c r="S35" s="383">
        <v>3.6465999999999998</v>
      </c>
      <c r="T35" s="383">
        <v>24.116399999999999</v>
      </c>
      <c r="U35" s="19">
        <f>(S35+0.0883)/3.2883</f>
        <v>1.1358148587415988</v>
      </c>
      <c r="V35" s="19">
        <v>1.8110999999999999</v>
      </c>
      <c r="W35" s="19"/>
      <c r="X35" s="19"/>
      <c r="Y35" s="19"/>
      <c r="Z35" s="383">
        <v>6.8380000000000001</v>
      </c>
      <c r="AA35" s="383">
        <v>2.9123000000000001</v>
      </c>
      <c r="AB35" s="383">
        <v>16.6463</v>
      </c>
      <c r="AC35" s="383">
        <v>11.814</v>
      </c>
      <c r="AD35" s="383">
        <v>4.0956999999999999</v>
      </c>
      <c r="AE35" s="383">
        <v>13.8651</v>
      </c>
      <c r="AF35" s="383">
        <v>19.667999999999999</v>
      </c>
      <c r="AG35" s="383">
        <v>0.55510000000000004</v>
      </c>
      <c r="AH35" s="383">
        <v>1.0204</v>
      </c>
      <c r="AI35" s="384">
        <v>4.4039999999999999</v>
      </c>
      <c r="AJ35" s="384">
        <v>3.7866</v>
      </c>
      <c r="AK35" s="384">
        <v>25.007899999999999</v>
      </c>
      <c r="AL35" s="16">
        <f>(AJ35+0.0883)/3.2883</f>
        <v>1.1783900495696864</v>
      </c>
      <c r="AM35" s="16">
        <v>1.8636999999999999</v>
      </c>
      <c r="AN35" s="16"/>
      <c r="AO35" s="16"/>
      <c r="AP35" s="16"/>
      <c r="AQ35" s="384">
        <v>6.8380000000000001</v>
      </c>
      <c r="AR35" s="384">
        <v>2.9051999999999998</v>
      </c>
      <c r="AS35" s="384">
        <v>16.597200000000001</v>
      </c>
      <c r="AT35" s="384">
        <v>11.818</v>
      </c>
      <c r="AU35" s="384">
        <v>4.1155999999999997</v>
      </c>
      <c r="AV35" s="384">
        <v>13.943</v>
      </c>
      <c r="AW35" s="384">
        <v>19.670999999999999</v>
      </c>
      <c r="AX35" s="384">
        <v>0.57199999999999995</v>
      </c>
      <c r="AY35" s="384">
        <v>1.0536000000000001</v>
      </c>
      <c r="AZ35" s="386">
        <v>4.4050000000000002</v>
      </c>
      <c r="BA35" s="386">
        <v>3.7629999999999999</v>
      </c>
      <c r="BB35" s="386">
        <v>24.845700000000001</v>
      </c>
      <c r="BC35" s="18">
        <f>(BA35+0.0883)/3.2883</f>
        <v>1.1712130888300945</v>
      </c>
      <c r="BD35" s="18">
        <v>1.8548</v>
      </c>
      <c r="BE35" s="18"/>
      <c r="BF35" s="18"/>
      <c r="BG35" s="18"/>
      <c r="BH35" s="386">
        <v>6.8410000000000002</v>
      </c>
      <c r="BI35" s="386">
        <v>2.7284000000000002</v>
      </c>
      <c r="BJ35" s="386">
        <v>15.5098</v>
      </c>
      <c r="BK35" s="386">
        <v>11.824999999999999</v>
      </c>
      <c r="BL35" s="386">
        <v>3.819</v>
      </c>
      <c r="BM35" s="386">
        <v>12.8954</v>
      </c>
      <c r="BN35" s="386">
        <v>19.670999999999999</v>
      </c>
      <c r="BO35" s="386">
        <v>1.2584</v>
      </c>
      <c r="BP35" s="386">
        <v>2.3283</v>
      </c>
      <c r="BQ35" s="385">
        <v>4.3879999999999999</v>
      </c>
      <c r="BR35" s="385">
        <v>6.1600000000000002E-2</v>
      </c>
      <c r="BS35" s="385">
        <v>0.37790000000000001</v>
      </c>
      <c r="BT35" s="23">
        <f>(BR35+0.0883)/3.2883</f>
        <v>4.5585865036645079E-2</v>
      </c>
      <c r="BU35" s="23">
        <v>0.4637</v>
      </c>
      <c r="BV35" s="23"/>
      <c r="BW35" s="23"/>
      <c r="BX35" s="23"/>
      <c r="BY35" s="385">
        <v>6.8380000000000001</v>
      </c>
      <c r="BZ35" s="385">
        <v>2.7464</v>
      </c>
      <c r="CA35" s="385">
        <v>15.536300000000001</v>
      </c>
      <c r="CB35" s="385">
        <v>11.821</v>
      </c>
      <c r="CC35" s="385">
        <v>3.6713</v>
      </c>
      <c r="CD35" s="385">
        <v>12.374499999999999</v>
      </c>
      <c r="CE35" s="385">
        <v>19.675000000000001</v>
      </c>
      <c r="CF35" s="385">
        <v>0.35270000000000001</v>
      </c>
      <c r="CG35" s="385">
        <v>0.64159999999999995</v>
      </c>
      <c r="CI35" s="12">
        <f t="shared" ref="CI35:CI37" si="65">U35</f>
        <v>1.1358148587415988</v>
      </c>
      <c r="CJ35" s="12">
        <f t="shared" ref="CJ35:CJ37" si="66">AL35</f>
        <v>1.1783900495696864</v>
      </c>
      <c r="CK35" s="12">
        <f t="shared" ref="CK35:CK37" si="67">BC35</f>
        <v>1.1712130888300945</v>
      </c>
      <c r="CL35" s="12">
        <f t="shared" ref="CL35:CL37" si="68">(U35+AL35+BC35)/3</f>
        <v>1.1618059990471263</v>
      </c>
      <c r="CM35">
        <f t="shared" ref="CM35:CM37" si="69">STDEV(CI35:CK35)</f>
        <v>2.2793238518267481E-2</v>
      </c>
      <c r="CN35">
        <v>3</v>
      </c>
      <c r="CO35">
        <v>3.18</v>
      </c>
      <c r="CP35" s="12">
        <f t="shared" ref="CP35:CP37" si="70">(CO35*CM35)/SQRT(CN35)</f>
        <v>4.1847790013635748E-2</v>
      </c>
      <c r="CS35">
        <f t="shared" si="53"/>
        <v>0.12085301750624598</v>
      </c>
      <c r="CT35">
        <f t="shared" ref="CT35:CT37" si="71">SQRT((1/2)*(((CI35-CL35)^2)+((CJ35-CL35)^2)+((CK35-CL35)^2)))</f>
        <v>2.2793238518267481E-2</v>
      </c>
      <c r="CU35" s="12">
        <f t="shared" ref="CU35:CU37" si="72">CL35-G35</f>
        <v>0.43440886374925214</v>
      </c>
      <c r="CV35" s="12">
        <f t="shared" ref="CV35:CV37" si="73">CU35/SQRT(((CT35^2)/3)+((CS35^2)/1))</f>
        <v>3.5733997565601943</v>
      </c>
      <c r="CW35">
        <f t="shared" ref="CW35:CW37" si="74">(CX35+CY35)-2</f>
        <v>2</v>
      </c>
      <c r="CX35">
        <v>3</v>
      </c>
      <c r="CY35">
        <v>1</v>
      </c>
      <c r="DA35" t="s">
        <v>280</v>
      </c>
      <c r="DB35" s="37">
        <v>44487</v>
      </c>
      <c r="DC35" s="32">
        <v>0.10347222222222223</v>
      </c>
      <c r="DD35">
        <f>DG33+(24*5)+3</f>
        <v>1517.2666666666667</v>
      </c>
      <c r="DE35">
        <v>1</v>
      </c>
      <c r="DF35">
        <f t="shared" si="62"/>
        <v>91037</v>
      </c>
      <c r="DG35">
        <f t="shared" si="63"/>
        <v>1517.2833333333333</v>
      </c>
      <c r="DH35">
        <f>(DG35-1516)*60</f>
        <v>76.999999999998181</v>
      </c>
      <c r="DI35">
        <v>1517</v>
      </c>
      <c r="DL35" t="s">
        <v>891</v>
      </c>
      <c r="DM35" t="s">
        <v>195</v>
      </c>
      <c r="DN35">
        <f t="shared" si="17"/>
        <v>15.761900000000001</v>
      </c>
      <c r="DO35" s="17">
        <f>(DN35-1.9128)/18.746</f>
        <v>0.73877627227141796</v>
      </c>
      <c r="DQ35" s="12">
        <v>4.5585865036645079E-2</v>
      </c>
      <c r="DR35" s="12">
        <v>0.7273971352978742</v>
      </c>
      <c r="DS35" s="12">
        <f t="shared" si="19"/>
        <v>0.91625031539766155</v>
      </c>
      <c r="DU35" s="12">
        <v>0.7273971352978742</v>
      </c>
      <c r="EG35">
        <f t="shared" si="20"/>
        <v>-0.43440886374925231</v>
      </c>
    </row>
    <row r="36" spans="1:137">
      <c r="A36" s="256" t="s">
        <v>195</v>
      </c>
      <c r="B36" s="14">
        <v>44477</v>
      </c>
      <c r="C36" s="12">
        <v>1273.28</v>
      </c>
      <c r="D36" s="79">
        <v>4.3979999999999997</v>
      </c>
      <c r="E36" s="79">
        <v>2.1743999999999999</v>
      </c>
      <c r="F36" s="79">
        <v>14.847200000000001</v>
      </c>
      <c r="G36" s="17">
        <f t="shared" ref="G36:G37" si="75">(E36+0.0883)/3.2883</f>
        <v>0.68810631633366781</v>
      </c>
      <c r="H36" s="17">
        <v>1.2578</v>
      </c>
      <c r="I36" s="79">
        <v>6.8479999999999999</v>
      </c>
      <c r="J36" s="79">
        <v>7.2239000000000004</v>
      </c>
      <c r="K36" s="79">
        <v>42.741900000000001</v>
      </c>
      <c r="L36" s="79">
        <v>11.801</v>
      </c>
      <c r="M36" s="79">
        <v>9.4212000000000007</v>
      </c>
      <c r="N36" s="79">
        <v>32.522100000000002</v>
      </c>
      <c r="O36" s="79">
        <v>19.664999999999999</v>
      </c>
      <c r="P36" s="79">
        <v>0.87160000000000004</v>
      </c>
      <c r="Q36" s="79">
        <v>1.6055999999999999</v>
      </c>
      <c r="R36" s="383">
        <v>4.4080000000000004</v>
      </c>
      <c r="S36" s="383">
        <v>3.4590000000000001</v>
      </c>
      <c r="T36" s="383">
        <v>22.3355</v>
      </c>
      <c r="U36" s="19">
        <f t="shared" ref="U36:U37" si="76">(S36+0.0883)/3.2883</f>
        <v>1.0787641030319617</v>
      </c>
      <c r="V36" s="19">
        <v>1.7405999999999999</v>
      </c>
      <c r="W36" s="19"/>
      <c r="X36" s="19"/>
      <c r="Y36" s="19"/>
      <c r="Z36" s="383">
        <v>6.851</v>
      </c>
      <c r="AA36" s="383">
        <v>6.4115000000000002</v>
      </c>
      <c r="AB36" s="383">
        <v>38.2605</v>
      </c>
      <c r="AC36" s="383">
        <v>11.808</v>
      </c>
      <c r="AD36" s="383">
        <v>6.7561999999999998</v>
      </c>
      <c r="AE36" s="383">
        <v>23.164100000000001</v>
      </c>
      <c r="AF36" s="383">
        <v>19.664999999999999</v>
      </c>
      <c r="AG36" s="383">
        <v>0.78910000000000002</v>
      </c>
      <c r="AH36" s="383">
        <v>1.4589000000000001</v>
      </c>
      <c r="AI36" s="384">
        <v>4.4080000000000004</v>
      </c>
      <c r="AJ36" s="384">
        <v>3.6855000000000002</v>
      </c>
      <c r="AK36" s="384">
        <v>23.715699999999998</v>
      </c>
      <c r="AL36" s="16">
        <f t="shared" ref="AL36:AL37" si="77">(AJ36+0.0883)/3.2883</f>
        <v>1.147644679621689</v>
      </c>
      <c r="AM36" s="16">
        <v>1.8257000000000001</v>
      </c>
      <c r="AN36" s="16"/>
      <c r="AO36" s="16"/>
      <c r="AP36" s="16"/>
      <c r="AQ36" s="384">
        <v>6.8479999999999999</v>
      </c>
      <c r="AR36" s="384">
        <v>6.1036000000000001</v>
      </c>
      <c r="AS36" s="384">
        <v>36.386400000000002</v>
      </c>
      <c r="AT36" s="384">
        <v>11.808</v>
      </c>
      <c r="AU36" s="384">
        <v>6.8586999999999998</v>
      </c>
      <c r="AV36" s="384">
        <v>23.5245</v>
      </c>
      <c r="AW36" s="384">
        <v>19.664000000000001</v>
      </c>
      <c r="AX36" s="384">
        <v>0.81489999999999996</v>
      </c>
      <c r="AY36" s="384">
        <v>1.5031000000000001</v>
      </c>
      <c r="AZ36" s="386">
        <v>4.4050000000000002</v>
      </c>
      <c r="BA36" s="386">
        <v>3.2932000000000001</v>
      </c>
      <c r="BB36" s="386">
        <v>22.772300000000001</v>
      </c>
      <c r="BC36" s="18">
        <f t="shared" ref="BC36:BC37" si="78">(BA36+0.0883)/3.2883</f>
        <v>1.0283429127512695</v>
      </c>
      <c r="BD36" s="18">
        <v>1.6782999999999999</v>
      </c>
      <c r="BE36" s="18"/>
      <c r="BF36" s="18"/>
      <c r="BG36" s="18"/>
      <c r="BH36" s="386">
        <v>6.8479999999999999</v>
      </c>
      <c r="BI36" s="386">
        <v>6.3501000000000003</v>
      </c>
      <c r="BJ36" s="386">
        <v>37.843699999999998</v>
      </c>
      <c r="BK36" s="386">
        <v>11.808</v>
      </c>
      <c r="BL36" s="386">
        <v>6.6715999999999998</v>
      </c>
      <c r="BM36" s="386">
        <v>22.844100000000001</v>
      </c>
      <c r="BN36" s="386">
        <v>19.664999999999999</v>
      </c>
      <c r="BO36" s="386">
        <v>0.84389999999999998</v>
      </c>
      <c r="BP36" s="386">
        <v>1.554</v>
      </c>
      <c r="BQ36" s="385">
        <v>4.391</v>
      </c>
      <c r="BR36" s="385">
        <v>4.8899999999999999E-2</v>
      </c>
      <c r="BS36" s="385">
        <v>3.2439999999999997E-2</v>
      </c>
      <c r="BT36" s="23">
        <f t="shared" ref="BT36:BT37" si="79">(BR36+0.0883)/3.2883</f>
        <v>4.1723687011525706E-2</v>
      </c>
      <c r="BU36" s="23">
        <v>0.45889999999999997</v>
      </c>
      <c r="BV36" s="23"/>
      <c r="BW36" s="23"/>
      <c r="BX36" s="23"/>
      <c r="BY36" s="385">
        <v>6.851</v>
      </c>
      <c r="BZ36" s="385">
        <v>6.8754999999999997</v>
      </c>
      <c r="CA36" s="385">
        <v>38.345999999999997</v>
      </c>
      <c r="CB36" s="385">
        <v>11.811</v>
      </c>
      <c r="CC36" s="385">
        <v>6.4391999999999996</v>
      </c>
      <c r="CD36" s="385">
        <v>22.011299999999999</v>
      </c>
      <c r="CE36" s="385">
        <v>19.670999999999999</v>
      </c>
      <c r="CF36" s="385">
        <v>0.52749999999999997</v>
      </c>
      <c r="CG36" s="385">
        <v>0.96960000000000002</v>
      </c>
      <c r="CI36" s="12">
        <f t="shared" si="65"/>
        <v>1.0787641030319617</v>
      </c>
      <c r="CJ36" s="12">
        <f t="shared" si="66"/>
        <v>1.147644679621689</v>
      </c>
      <c r="CK36" s="12">
        <f t="shared" si="67"/>
        <v>1.0283429127512695</v>
      </c>
      <c r="CL36" s="12">
        <f t="shared" si="68"/>
        <v>1.08491723180164</v>
      </c>
      <c r="CM36">
        <f t="shared" si="69"/>
        <v>5.9888426593484347E-2</v>
      </c>
      <c r="CN36">
        <v>3</v>
      </c>
      <c r="CO36">
        <v>3.18</v>
      </c>
      <c r="CP36" s="12">
        <f t="shared" si="70"/>
        <v>0.10995358550399044</v>
      </c>
      <c r="CS36">
        <f t="shared" si="53"/>
        <v>0.11864800367822638</v>
      </c>
      <c r="CT36">
        <f t="shared" si="71"/>
        <v>5.9888426593484347E-2</v>
      </c>
      <c r="CU36" s="12">
        <f t="shared" si="72"/>
        <v>0.3968109154679722</v>
      </c>
      <c r="CV36" s="12">
        <f t="shared" si="73"/>
        <v>3.2108720404830833</v>
      </c>
      <c r="CW36">
        <f t="shared" si="74"/>
        <v>2</v>
      </c>
      <c r="CX36">
        <v>3</v>
      </c>
      <c r="CY36">
        <v>1</v>
      </c>
      <c r="DA36" t="s">
        <v>279</v>
      </c>
      <c r="DB36" s="37">
        <v>44489</v>
      </c>
      <c r="DC36" s="32">
        <v>0.46249999999999997</v>
      </c>
      <c r="DD36">
        <f>DG34+(24*6)+1</f>
        <v>1561.25</v>
      </c>
      <c r="DE36">
        <v>39</v>
      </c>
      <c r="DF36">
        <f t="shared" si="62"/>
        <v>93714</v>
      </c>
      <c r="DG36">
        <f t="shared" si="63"/>
        <v>1561.9</v>
      </c>
      <c r="DH36">
        <f>(DG36-1563)*60</f>
        <v>-65.999999999994543</v>
      </c>
      <c r="DI36">
        <v>1561</v>
      </c>
      <c r="DM36" t="s">
        <v>195</v>
      </c>
      <c r="DN36">
        <f t="shared" si="17"/>
        <v>14.847200000000001</v>
      </c>
      <c r="DO36" s="17">
        <f t="shared" ref="DO36:DO37" si="80">(DN36-1.9128)/18.746</f>
        <v>0.68998186279739682</v>
      </c>
      <c r="DQ36" s="12">
        <v>4.1723687011525706E-2</v>
      </c>
      <c r="DR36" s="12">
        <v>0.68810631633366781</v>
      </c>
      <c r="DS36" s="12">
        <f t="shared" si="19"/>
        <v>0.88965004009643689</v>
      </c>
      <c r="DU36" s="12">
        <v>0.68810631633366781</v>
      </c>
      <c r="EG36">
        <f t="shared" si="20"/>
        <v>-0.39681091546797226</v>
      </c>
    </row>
    <row r="37" spans="1:137">
      <c r="A37" s="256" t="s">
        <v>195</v>
      </c>
      <c r="B37" s="14">
        <v>44480</v>
      </c>
      <c r="C37" s="12">
        <v>1345.25</v>
      </c>
      <c r="D37" s="79">
        <v>4.3979999999999997</v>
      </c>
      <c r="E37" s="79">
        <v>1.7694000000000001</v>
      </c>
      <c r="F37" s="79">
        <v>12.268700000000001</v>
      </c>
      <c r="G37" s="17">
        <f t="shared" si="75"/>
        <v>0.5649423714381292</v>
      </c>
      <c r="H37" s="17">
        <v>1.1055999999999999</v>
      </c>
      <c r="I37" s="79">
        <v>6.8479999999999999</v>
      </c>
      <c r="J37" s="79">
        <v>7.5830000000000002</v>
      </c>
      <c r="K37" s="79">
        <v>45.146999999999998</v>
      </c>
      <c r="L37" s="79">
        <v>11.791</v>
      </c>
      <c r="M37" s="79">
        <v>10.7181</v>
      </c>
      <c r="N37" s="79">
        <v>37.070300000000003</v>
      </c>
      <c r="O37" s="79">
        <v>19.658000000000001</v>
      </c>
      <c r="P37" s="79">
        <v>0.68930000000000002</v>
      </c>
      <c r="Q37" s="79">
        <v>1.2726</v>
      </c>
      <c r="R37" s="383">
        <v>4.4009999999999998</v>
      </c>
      <c r="S37" s="383">
        <v>2.6558999999999999</v>
      </c>
      <c r="T37" s="383">
        <v>17.094000000000001</v>
      </c>
      <c r="U37" s="19">
        <f t="shared" si="76"/>
        <v>0.83453456193169717</v>
      </c>
      <c r="V37" s="19">
        <v>1.4388000000000001</v>
      </c>
      <c r="W37" s="19"/>
      <c r="X37" s="19"/>
      <c r="Y37" s="19"/>
      <c r="Z37" s="383">
        <v>6.8479999999999999</v>
      </c>
      <c r="AA37" s="383">
        <v>7.0922000000000001</v>
      </c>
      <c r="AB37" s="383">
        <v>42.3142</v>
      </c>
      <c r="AC37" s="383">
        <v>11.794</v>
      </c>
      <c r="AD37" s="383">
        <v>9.4321000000000002</v>
      </c>
      <c r="AE37" s="383">
        <v>32.530900000000003</v>
      </c>
      <c r="AF37" s="383">
        <v>19.658000000000001</v>
      </c>
      <c r="AG37" s="383">
        <v>0.65129999999999999</v>
      </c>
      <c r="AH37" s="383">
        <v>1.1962999999999999</v>
      </c>
      <c r="AI37" s="384">
        <v>4.4039999999999999</v>
      </c>
      <c r="AJ37" s="384">
        <v>2.8104</v>
      </c>
      <c r="AK37" s="384">
        <v>19.657299999999999</v>
      </c>
      <c r="AL37" s="16">
        <f t="shared" si="77"/>
        <v>0.88151932609555084</v>
      </c>
      <c r="AM37" s="16">
        <v>1.4967999999999999</v>
      </c>
      <c r="AN37" s="16"/>
      <c r="AO37" s="16"/>
      <c r="AP37" s="16"/>
      <c r="AQ37" s="384">
        <v>6.851</v>
      </c>
      <c r="AR37" s="384">
        <v>7.0613000000000001</v>
      </c>
      <c r="AS37" s="384">
        <v>42.167700000000004</v>
      </c>
      <c r="AT37" s="384">
        <v>11.794</v>
      </c>
      <c r="AU37" s="384">
        <v>9.4026999999999994</v>
      </c>
      <c r="AV37" s="384">
        <v>32.442100000000003</v>
      </c>
      <c r="AW37" s="384">
        <v>19.654</v>
      </c>
      <c r="AX37" s="384">
        <v>0.65090000000000003</v>
      </c>
      <c r="AY37" s="384">
        <v>1.1989000000000001</v>
      </c>
      <c r="AZ37" s="386">
        <v>4.4009999999999998</v>
      </c>
      <c r="BA37" s="386">
        <v>2.5352999999999999</v>
      </c>
      <c r="BB37" s="386">
        <v>17.7272</v>
      </c>
      <c r="BC37" s="18">
        <f t="shared" si="78"/>
        <v>0.79785907611835893</v>
      </c>
      <c r="BD37" s="18">
        <v>1.3934</v>
      </c>
      <c r="BE37" s="18"/>
      <c r="BF37" s="18"/>
      <c r="BG37" s="18"/>
      <c r="BH37" s="386">
        <v>6.8479999999999999</v>
      </c>
      <c r="BI37" s="386">
        <v>7.0895999999999999</v>
      </c>
      <c r="BJ37" s="386">
        <v>42.349400000000003</v>
      </c>
      <c r="BK37" s="386">
        <v>11.791</v>
      </c>
      <c r="BL37" s="386">
        <v>9.3439999999999994</v>
      </c>
      <c r="BM37" s="386">
        <v>32.231200000000001</v>
      </c>
      <c r="BN37" s="386">
        <v>19.654</v>
      </c>
      <c r="BO37" s="386">
        <v>0.66110000000000002</v>
      </c>
      <c r="BP37" s="386">
        <v>1.2192000000000001</v>
      </c>
      <c r="BQ37" s="385">
        <v>4.3869999999999996</v>
      </c>
      <c r="BR37" s="385">
        <v>5.7000000000000002E-2</v>
      </c>
      <c r="BS37" s="385">
        <v>0.40200000000000002</v>
      </c>
      <c r="BT37" s="23">
        <f t="shared" si="79"/>
        <v>4.4186965909436493E-2</v>
      </c>
      <c r="BU37" s="23">
        <v>0.46200000000000002</v>
      </c>
      <c r="BV37" s="23"/>
      <c r="BW37" s="23"/>
      <c r="BX37" s="23"/>
      <c r="BY37" s="385">
        <v>6.8470000000000004</v>
      </c>
      <c r="BZ37" s="385">
        <v>7.1712999999999996</v>
      </c>
      <c r="CA37" s="385">
        <v>42.768799999999999</v>
      </c>
      <c r="CB37" s="385">
        <v>11.791</v>
      </c>
      <c r="CC37" s="385">
        <v>9.2040000000000006</v>
      </c>
      <c r="CD37" s="385">
        <v>31.747499999999999</v>
      </c>
      <c r="CE37" s="385">
        <v>19.654</v>
      </c>
      <c r="CF37" s="385">
        <v>0.48730000000000001</v>
      </c>
      <c r="CG37" s="385">
        <v>0.89370000000000005</v>
      </c>
      <c r="CI37" s="12">
        <f t="shared" si="65"/>
        <v>0.83453456193169717</v>
      </c>
      <c r="CJ37" s="12">
        <f t="shared" si="66"/>
        <v>0.88151932609555084</v>
      </c>
      <c r="CK37" s="12">
        <f t="shared" si="67"/>
        <v>0.79785907611835893</v>
      </c>
      <c r="CL37" s="12">
        <f t="shared" si="68"/>
        <v>0.83797098804853565</v>
      </c>
      <c r="CM37">
        <f t="shared" si="69"/>
        <v>4.1935857269214456E-2</v>
      </c>
      <c r="CN37">
        <v>3</v>
      </c>
      <c r="CO37">
        <v>3.18</v>
      </c>
      <c r="CP37" s="12">
        <f t="shared" si="70"/>
        <v>7.6993137576190251E-2</v>
      </c>
      <c r="CS37">
        <f t="shared" si="53"/>
        <v>0.11582515398849662</v>
      </c>
      <c r="CT37">
        <f t="shared" si="71"/>
        <v>4.1935857269214456E-2</v>
      </c>
      <c r="CU37" s="12">
        <f t="shared" si="72"/>
        <v>0.27302861661040645</v>
      </c>
      <c r="CV37" s="12">
        <f t="shared" si="73"/>
        <v>2.3073752178346809</v>
      </c>
      <c r="CW37">
        <f t="shared" si="74"/>
        <v>2</v>
      </c>
      <c r="CX37">
        <v>3</v>
      </c>
      <c r="CY37">
        <v>1</v>
      </c>
      <c r="DA37" t="s">
        <v>278</v>
      </c>
      <c r="DB37" s="37">
        <v>44490</v>
      </c>
      <c r="DC37" s="32">
        <v>0.47916666666666669</v>
      </c>
      <c r="DD37">
        <f>DG36+24</f>
        <v>1585.9</v>
      </c>
      <c r="DE37">
        <f>30-6</f>
        <v>24</v>
      </c>
      <c r="DF37">
        <f t="shared" ref="DF37:DF40" si="81">(DD37*60)+DE37</f>
        <v>95178</v>
      </c>
      <c r="DG37">
        <f t="shared" ref="DG37:DG40" si="82">DF37/60</f>
        <v>1586.3</v>
      </c>
      <c r="DH37">
        <f>(DG37-1587)*60</f>
        <v>-42.000000000002728</v>
      </c>
      <c r="DI37">
        <v>1586</v>
      </c>
      <c r="DM37" t="s">
        <v>195</v>
      </c>
      <c r="DN37">
        <f t="shared" si="17"/>
        <v>12.268700000000001</v>
      </c>
      <c r="DO37" s="17">
        <f t="shared" si="80"/>
        <v>0.55243251893737333</v>
      </c>
      <c r="DQ37" s="12">
        <v>4.4186965909436493E-2</v>
      </c>
      <c r="DR37" s="12">
        <v>0.5649423714381292</v>
      </c>
      <c r="DS37" s="12">
        <f t="shared" si="19"/>
        <v>0.85149140703154735</v>
      </c>
      <c r="DU37" s="12">
        <v>0.5649423714381292</v>
      </c>
      <c r="EG37">
        <f t="shared" si="20"/>
        <v>-0.27302861661040645</v>
      </c>
    </row>
    <row r="38" spans="1:137">
      <c r="A38" s="256" t="s">
        <v>221</v>
      </c>
      <c r="B38" s="14">
        <v>44482</v>
      </c>
      <c r="C38" s="12">
        <v>1394.2666666666667</v>
      </c>
      <c r="D38" s="79">
        <v>4.3810000000000002</v>
      </c>
      <c r="E38" s="79">
        <v>2.5701999999999998</v>
      </c>
      <c r="F38" s="79">
        <v>16.155200000000001</v>
      </c>
      <c r="G38" s="17">
        <f>(E38-0.0995)/3.2569</f>
        <v>0.75860480825324694</v>
      </c>
      <c r="H38" s="17">
        <v>1.4065000000000001</v>
      </c>
      <c r="I38" s="79">
        <v>6.7750000000000004</v>
      </c>
      <c r="J38" s="79">
        <v>7.5654000000000003</v>
      </c>
      <c r="K38" s="79">
        <v>43.116500000000002</v>
      </c>
      <c r="L38" s="79">
        <v>11.587999999999999</v>
      </c>
      <c r="M38" s="79">
        <v>10.474299999999999</v>
      </c>
      <c r="N38" s="79">
        <v>35.807099999999998</v>
      </c>
      <c r="O38" s="79">
        <v>19.231000000000002</v>
      </c>
      <c r="P38" s="79">
        <v>0.89759999999999995</v>
      </c>
      <c r="Q38" s="79">
        <v>1.6721999999999999</v>
      </c>
      <c r="R38" s="383">
        <v>4.3810000000000002</v>
      </c>
      <c r="S38" s="383">
        <v>3.2907000000000002</v>
      </c>
      <c r="T38" s="383">
        <v>19.9389</v>
      </c>
      <c r="U38" s="19">
        <f t="shared" ref="U38:U40" si="83">(S38-0.0995)/3.2569</f>
        <v>0.97982744327427929</v>
      </c>
      <c r="V38" s="19">
        <v>1.6773</v>
      </c>
      <c r="W38" s="19"/>
      <c r="X38" s="19"/>
      <c r="Y38" s="19"/>
      <c r="Z38" s="383">
        <v>6.7779999999999996</v>
      </c>
      <c r="AA38" s="383">
        <v>9.9657</v>
      </c>
      <c r="AB38" s="383">
        <v>56.938800000000001</v>
      </c>
      <c r="AC38" s="383">
        <v>11.585000000000001</v>
      </c>
      <c r="AD38" s="383">
        <v>12.1778</v>
      </c>
      <c r="AE38" s="383">
        <v>41.654800000000002</v>
      </c>
      <c r="AF38" s="383">
        <v>19.231000000000002</v>
      </c>
      <c r="AG38" s="383">
        <v>0.79510000000000003</v>
      </c>
      <c r="AH38" s="383">
        <v>1.4852000000000001</v>
      </c>
      <c r="AI38" s="384">
        <v>4.3840000000000003</v>
      </c>
      <c r="AJ38" s="384">
        <v>3.8757000000000001</v>
      </c>
      <c r="AK38" s="384">
        <v>23.313400000000001</v>
      </c>
      <c r="AL38" s="16">
        <f t="shared" ref="AL38:AL40" si="84">(AJ38-0.0995)/3.2569</f>
        <v>1.1594460990512452</v>
      </c>
      <c r="AM38" s="16">
        <v>1.8972</v>
      </c>
      <c r="AN38" s="16"/>
      <c r="AO38" s="16"/>
      <c r="AP38" s="16"/>
      <c r="AQ38" s="384">
        <v>6.7809999999999997</v>
      </c>
      <c r="AR38" s="384">
        <v>10.2707</v>
      </c>
      <c r="AS38" s="384">
        <v>57.502499999999998</v>
      </c>
      <c r="AT38" s="384">
        <v>11.587999999999999</v>
      </c>
      <c r="AU38" s="384">
        <v>12.127599999999999</v>
      </c>
      <c r="AV38" s="384">
        <v>41.405299999999997</v>
      </c>
      <c r="AW38" s="384">
        <v>19.231000000000002</v>
      </c>
      <c r="AX38" s="384">
        <v>1.0528</v>
      </c>
      <c r="AY38" s="384">
        <v>1.9604999999999999</v>
      </c>
      <c r="AZ38" s="386">
        <v>4.3810000000000002</v>
      </c>
      <c r="BA38" s="386">
        <v>2.8906999999999998</v>
      </c>
      <c r="BB38" s="386">
        <v>17.5291</v>
      </c>
      <c r="BC38" s="18">
        <f t="shared" ref="BC38:BC40" si="85">(BA38-0.0995)/3.2569</f>
        <v>0.85701126838404618</v>
      </c>
      <c r="BD38" s="18">
        <v>1.5269999999999999</v>
      </c>
      <c r="BE38" s="18"/>
      <c r="BF38" s="18"/>
      <c r="BG38" s="18"/>
      <c r="BH38" s="386">
        <v>6.7770000000000001</v>
      </c>
      <c r="BI38" s="386">
        <v>9.9253999999999998</v>
      </c>
      <c r="BJ38" s="386">
        <v>56.691499999999998</v>
      </c>
      <c r="BK38" s="386">
        <v>11.581</v>
      </c>
      <c r="BL38" s="386">
        <v>12.1837</v>
      </c>
      <c r="BM38" s="386">
        <v>41.688400000000001</v>
      </c>
      <c r="BN38" s="386">
        <v>19.227</v>
      </c>
      <c r="BO38" s="386">
        <v>0.67379999999999995</v>
      </c>
      <c r="BP38" s="386">
        <v>1.2607999999999999</v>
      </c>
      <c r="BQ38" s="385">
        <v>4.367</v>
      </c>
      <c r="BR38" s="385">
        <v>7.0400000000000004E-2</v>
      </c>
      <c r="BS38" s="385">
        <v>0.4965</v>
      </c>
      <c r="BT38" s="23">
        <v>0</v>
      </c>
      <c r="BU38" s="23">
        <v>0.46700000000000003</v>
      </c>
      <c r="BV38" s="23"/>
      <c r="BW38" s="23"/>
      <c r="BX38" s="23"/>
      <c r="BY38" s="385">
        <v>6.7770000000000001</v>
      </c>
      <c r="BZ38" s="385">
        <v>9.8682999999999996</v>
      </c>
      <c r="CA38" s="385">
        <v>56.195799999999998</v>
      </c>
      <c r="CB38" s="385">
        <v>11.581</v>
      </c>
      <c r="CC38" s="385">
        <v>12.1785</v>
      </c>
      <c r="CD38" s="385">
        <v>41.579300000000003</v>
      </c>
      <c r="CE38" s="385">
        <v>19.227</v>
      </c>
      <c r="CF38" s="385">
        <v>0.52359999999999995</v>
      </c>
      <c r="CG38" s="385">
        <v>0.97540000000000004</v>
      </c>
      <c r="CI38" s="12">
        <f t="shared" ref="CI38:CI40" si="86">U38</f>
        <v>0.97982744327427929</v>
      </c>
      <c r="CJ38" s="12">
        <f t="shared" ref="CJ38:CJ40" si="87">AL38</f>
        <v>1.1594460990512452</v>
      </c>
      <c r="CK38" s="12">
        <f t="shared" ref="CK38:CK40" si="88">BC38</f>
        <v>0.85701126838404618</v>
      </c>
      <c r="CL38" s="12">
        <f t="shared" ref="CL38:CL40" si="89">(U38+AL38+BC38)/3</f>
        <v>0.99876160356985677</v>
      </c>
      <c r="CM38">
        <f t="shared" ref="CM38:CM40" si="90">STDEV(CI38:CK38)</f>
        <v>0.15210385767543388</v>
      </c>
      <c r="CN38">
        <v>3</v>
      </c>
      <c r="CO38">
        <v>3.18</v>
      </c>
      <c r="CP38" s="12">
        <f t="shared" ref="CP38:CP40" si="91">(CO38*CM38)/SQRT(CN38)</f>
        <v>0.27925870609234149</v>
      </c>
      <c r="CU38" s="12"/>
      <c r="DA38" t="s">
        <v>281</v>
      </c>
      <c r="DB38" s="37">
        <v>44491</v>
      </c>
      <c r="DC38" s="32">
        <v>0.48749999999999999</v>
      </c>
      <c r="DD38">
        <f>DG37+24</f>
        <v>1610.3</v>
      </c>
      <c r="DE38">
        <v>12</v>
      </c>
      <c r="DF38">
        <f t="shared" si="81"/>
        <v>96630</v>
      </c>
      <c r="DG38">
        <f t="shared" si="82"/>
        <v>1610.5</v>
      </c>
      <c r="DH38">
        <f>(DG38-1611)*60</f>
        <v>-30</v>
      </c>
      <c r="DI38">
        <v>1610</v>
      </c>
      <c r="DL38" t="s">
        <v>892</v>
      </c>
      <c r="DM38" t="s">
        <v>221</v>
      </c>
      <c r="DN38">
        <f t="shared" si="17"/>
        <v>16.155200000000001</v>
      </c>
      <c r="DO38" s="17">
        <f>(DN38-1.1554)/18.091</f>
        <v>0.82913050688187495</v>
      </c>
      <c r="DQ38" s="12">
        <v>-8.9348767232644549E-3</v>
      </c>
      <c r="DR38" s="12">
        <v>0.75860480825324694</v>
      </c>
      <c r="DS38" s="12">
        <f t="shared" si="19"/>
        <v>0.8266540348749114</v>
      </c>
      <c r="DU38" s="12">
        <v>0.75860480825324694</v>
      </c>
      <c r="EG38">
        <f t="shared" si="20"/>
        <v>-0.24015679531660994</v>
      </c>
    </row>
    <row r="39" spans="1:137">
      <c r="A39" s="256" t="s">
        <v>221</v>
      </c>
      <c r="B39" s="14">
        <v>44483</v>
      </c>
      <c r="C39" s="12">
        <v>1416.25</v>
      </c>
      <c r="D39" s="79">
        <v>4.3739999999999997</v>
      </c>
      <c r="E39" s="79">
        <v>2.3431999999999999</v>
      </c>
      <c r="F39" s="79">
        <v>13.402699999999999</v>
      </c>
      <c r="G39" s="17">
        <f t="shared" ref="G39:G40" si="92">(E39-0.0995)/3.2569</f>
        <v>0.68890662900303978</v>
      </c>
      <c r="H39" s="17">
        <v>1.3211999999999999</v>
      </c>
      <c r="I39" s="79">
        <v>6.7679999999999998</v>
      </c>
      <c r="J39" s="79">
        <v>8.2451000000000008</v>
      </c>
      <c r="K39" s="79">
        <v>46.714100000000002</v>
      </c>
      <c r="L39" s="79">
        <v>11.577999999999999</v>
      </c>
      <c r="M39" s="79">
        <v>10.848699999999999</v>
      </c>
      <c r="N39" s="79">
        <v>37.040900000000001</v>
      </c>
      <c r="O39" s="79">
        <v>19.213999999999999</v>
      </c>
      <c r="P39" s="79">
        <v>0.87270000000000003</v>
      </c>
      <c r="Q39" s="79">
        <v>1.3725000000000001</v>
      </c>
      <c r="R39" s="383">
        <v>4.3780000000000001</v>
      </c>
      <c r="S39" s="383">
        <v>3.1606000000000001</v>
      </c>
      <c r="T39" s="383">
        <v>18.451000000000001</v>
      </c>
      <c r="U39" s="19">
        <f t="shared" si="83"/>
        <v>0.93988148239123104</v>
      </c>
      <c r="V39" s="19">
        <v>1.6284000000000001</v>
      </c>
      <c r="W39" s="19"/>
      <c r="X39" s="19"/>
      <c r="Y39" s="19"/>
      <c r="Z39" s="383">
        <v>6.7709999999999999</v>
      </c>
      <c r="AA39" s="383">
        <v>9.8376999999999999</v>
      </c>
      <c r="AB39" s="383">
        <v>55.894799999999996</v>
      </c>
      <c r="AC39" s="383">
        <v>11.574999999999999</v>
      </c>
      <c r="AD39" s="383">
        <v>11.5342</v>
      </c>
      <c r="AE39" s="383">
        <v>39.281999999999996</v>
      </c>
      <c r="AF39" s="383">
        <v>19.210999999999999</v>
      </c>
      <c r="AG39" s="383">
        <v>0.74480000000000002</v>
      </c>
      <c r="AH39" s="383">
        <v>1.3875999999999999</v>
      </c>
      <c r="AI39" s="384">
        <v>4.3780000000000001</v>
      </c>
      <c r="AJ39" s="384">
        <v>3.3515999999999999</v>
      </c>
      <c r="AK39" s="384">
        <v>19.6831</v>
      </c>
      <c r="AL39" s="16">
        <f t="shared" si="84"/>
        <v>0.99852620590131724</v>
      </c>
      <c r="AM39" s="16">
        <v>1.7001999999999999</v>
      </c>
      <c r="AN39" s="16"/>
      <c r="AO39" s="16"/>
      <c r="AP39" s="16"/>
      <c r="AQ39" s="384">
        <v>6.774</v>
      </c>
      <c r="AR39" s="384">
        <v>9.6856000000000009</v>
      </c>
      <c r="AS39" s="384">
        <v>54.942399999999999</v>
      </c>
      <c r="AT39" s="384">
        <v>11.577999999999999</v>
      </c>
      <c r="AU39" s="384">
        <v>11.3691</v>
      </c>
      <c r="AV39" s="384">
        <v>38.700299999999999</v>
      </c>
      <c r="AW39" s="384">
        <v>19.218</v>
      </c>
      <c r="AX39" s="384">
        <v>0.74539999999999995</v>
      </c>
      <c r="AY39" s="384">
        <v>1.3875</v>
      </c>
      <c r="AZ39" s="386">
        <v>4.3739999999999997</v>
      </c>
      <c r="BA39" s="386">
        <v>3.1156000000000001</v>
      </c>
      <c r="BB39" s="386">
        <v>18.2624</v>
      </c>
      <c r="BC39" s="18">
        <f t="shared" si="85"/>
        <v>0.92606466271607979</v>
      </c>
      <c r="BD39" s="18">
        <v>1.6114999999999999</v>
      </c>
      <c r="BE39" s="18"/>
      <c r="BF39" s="18"/>
      <c r="BG39" s="18"/>
      <c r="BH39" s="386">
        <v>6.7709999999999999</v>
      </c>
      <c r="BI39" s="386">
        <v>9.8208000000000002</v>
      </c>
      <c r="BJ39" s="386">
        <v>55.716000000000001</v>
      </c>
      <c r="BK39" s="386">
        <v>11.574</v>
      </c>
      <c r="BL39" s="386">
        <v>11.5306</v>
      </c>
      <c r="BM39" s="386">
        <v>39.2575</v>
      </c>
      <c r="BN39" s="386">
        <v>19.210999999999999</v>
      </c>
      <c r="BO39" s="386">
        <v>0.76070000000000004</v>
      </c>
      <c r="BP39" s="386">
        <v>1.419</v>
      </c>
      <c r="BQ39" s="385">
        <v>4.3639999999999999</v>
      </c>
      <c r="BR39" s="385">
        <v>8.48E-2</v>
      </c>
      <c r="BS39" s="385">
        <v>0.49530000000000002</v>
      </c>
      <c r="BT39" s="23">
        <f t="shared" ref="BT39:BT40" si="93">(BR39-0.0995)/3.2569</f>
        <v>-4.5134944272160662E-3</v>
      </c>
      <c r="BU39" s="23">
        <v>0.47239999999999999</v>
      </c>
      <c r="BV39" s="23"/>
      <c r="BW39" s="23"/>
      <c r="BX39" s="23"/>
      <c r="BY39" s="385">
        <v>6.7709999999999999</v>
      </c>
      <c r="BZ39" s="385">
        <v>10.3728</v>
      </c>
      <c r="CA39" s="385">
        <v>56.375700000000002</v>
      </c>
      <c r="CB39" s="385">
        <v>11.574</v>
      </c>
      <c r="CC39" s="385">
        <v>11.481299999999999</v>
      </c>
      <c r="CD39" s="385">
        <v>39.060499999999998</v>
      </c>
      <c r="CE39" s="385">
        <v>19.210999999999999</v>
      </c>
      <c r="CF39" s="385">
        <v>0.67259999999999998</v>
      </c>
      <c r="CG39" s="385">
        <v>1.2462</v>
      </c>
      <c r="CI39" s="12">
        <f t="shared" si="86"/>
        <v>0.93988148239123104</v>
      </c>
      <c r="CJ39" s="12">
        <f t="shared" si="87"/>
        <v>0.99852620590131724</v>
      </c>
      <c r="CK39" s="12">
        <f t="shared" si="88"/>
        <v>0.92606466271607979</v>
      </c>
      <c r="CL39" s="12">
        <f t="shared" si="89"/>
        <v>0.95482411700287606</v>
      </c>
      <c r="CM39">
        <f t="shared" si="90"/>
        <v>3.8472464920373324E-2</v>
      </c>
      <c r="CN39">
        <v>3</v>
      </c>
      <c r="CO39">
        <v>3.18</v>
      </c>
      <c r="CP39" s="12">
        <f t="shared" si="91"/>
        <v>7.0634439770567797E-2</v>
      </c>
      <c r="CU39" s="12"/>
      <c r="DA39" t="s">
        <v>271</v>
      </c>
      <c r="DB39" s="37">
        <v>44503</v>
      </c>
      <c r="DC39" s="32">
        <v>0.10555555555555556</v>
      </c>
      <c r="DD39">
        <f>(24*12)+DG38+2</f>
        <v>1900.5</v>
      </c>
      <c r="DE39">
        <f>32+(60-42)</f>
        <v>50</v>
      </c>
      <c r="DF39">
        <f t="shared" si="81"/>
        <v>114080</v>
      </c>
      <c r="DG39">
        <f t="shared" si="82"/>
        <v>1901.3333333333333</v>
      </c>
      <c r="DH39">
        <f>(DG39-1901)*60</f>
        <v>19.999999999995453</v>
      </c>
      <c r="DI39">
        <v>1901</v>
      </c>
      <c r="DM39" t="s">
        <v>221</v>
      </c>
      <c r="DN39">
        <f t="shared" si="17"/>
        <v>13.402699999999999</v>
      </c>
      <c r="DO39" s="17">
        <f t="shared" ref="DO39:DO40" si="94">(DN39-1.1554)/18.091</f>
        <v>0.6769830302360289</v>
      </c>
      <c r="DQ39" s="12">
        <v>-4.5134944272160662E-3</v>
      </c>
      <c r="DR39" s="12">
        <v>0.68890662900303978</v>
      </c>
      <c r="DS39" s="12">
        <f t="shared" si="19"/>
        <v>0.81579713823450284</v>
      </c>
      <c r="DU39" s="12">
        <v>0.68890662900303978</v>
      </c>
      <c r="EG39">
        <f t="shared" si="20"/>
        <v>-0.26591748799983622</v>
      </c>
    </row>
    <row r="40" spans="1:137">
      <c r="A40" s="256" t="s">
        <v>221</v>
      </c>
      <c r="B40" s="14">
        <v>44487</v>
      </c>
      <c r="C40" s="12">
        <v>1517.2833333333333</v>
      </c>
      <c r="D40" s="79">
        <v>4.3739999999999997</v>
      </c>
      <c r="E40" s="79">
        <v>2.2141000000000002</v>
      </c>
      <c r="F40" s="79">
        <v>14.2844</v>
      </c>
      <c r="G40" s="17">
        <f t="shared" si="92"/>
        <v>0.64926770855721705</v>
      </c>
      <c r="H40" s="17">
        <v>1.2726999999999999</v>
      </c>
      <c r="I40" s="79">
        <v>6.7679999999999998</v>
      </c>
      <c r="J40" s="79">
        <v>8.5543999999999993</v>
      </c>
      <c r="K40" s="79">
        <v>48.187399999999997</v>
      </c>
      <c r="L40" s="79">
        <v>11.577999999999999</v>
      </c>
      <c r="M40" s="79">
        <v>11.042</v>
      </c>
      <c r="N40" s="79">
        <v>37.6188</v>
      </c>
      <c r="O40" s="79">
        <v>19.213999999999999</v>
      </c>
      <c r="P40" s="79">
        <v>0.87150000000000005</v>
      </c>
      <c r="Q40" s="79">
        <v>1.6277999999999999</v>
      </c>
      <c r="R40" s="383">
        <v>4.3739999999999997</v>
      </c>
      <c r="S40" s="383">
        <v>3.31</v>
      </c>
      <c r="T40" s="383">
        <v>21.248200000000001</v>
      </c>
      <c r="U40" s="19">
        <f t="shared" si="83"/>
        <v>0.98575332371273305</v>
      </c>
      <c r="V40" s="19">
        <v>1.6846000000000001</v>
      </c>
      <c r="W40" s="19"/>
      <c r="X40" s="19"/>
      <c r="Y40" s="19"/>
      <c r="Z40" s="383">
        <v>6.7679999999999998</v>
      </c>
      <c r="AA40" s="383">
        <v>9.0751000000000008</v>
      </c>
      <c r="AB40" s="383">
        <v>51.459899999999998</v>
      </c>
      <c r="AC40" s="383">
        <v>11.574</v>
      </c>
      <c r="AD40" s="383">
        <v>9.8559000000000001</v>
      </c>
      <c r="AE40" s="383">
        <v>33.471299999999999</v>
      </c>
      <c r="AF40" s="383">
        <v>19.204000000000001</v>
      </c>
      <c r="AG40" s="383">
        <v>1.0388999999999999</v>
      </c>
      <c r="AH40" s="383">
        <v>1.9328000000000001</v>
      </c>
      <c r="AI40" s="384">
        <v>4.3739999999999997</v>
      </c>
      <c r="AJ40" s="384">
        <v>3.3170000000000002</v>
      </c>
      <c r="AK40" s="384">
        <v>20.5061</v>
      </c>
      <c r="AL40" s="16">
        <f t="shared" si="84"/>
        <v>0.9879026067733121</v>
      </c>
      <c r="AM40" s="16">
        <v>1.6872</v>
      </c>
      <c r="AN40" s="16"/>
      <c r="AO40" s="16"/>
      <c r="AP40" s="16"/>
      <c r="AQ40" s="384">
        <v>6.7679999999999998</v>
      </c>
      <c r="AR40" s="384">
        <v>8.9795999999999996</v>
      </c>
      <c r="AS40" s="384">
        <v>50.417700000000004</v>
      </c>
      <c r="AT40" s="384">
        <v>11.571</v>
      </c>
      <c r="AU40" s="384">
        <v>9.9038000000000004</v>
      </c>
      <c r="AV40" s="384">
        <v>33.637099999999997</v>
      </c>
      <c r="AW40" s="384">
        <v>19.204000000000001</v>
      </c>
      <c r="AX40" s="384">
        <v>0.80630000000000002</v>
      </c>
      <c r="AY40" s="384">
        <v>1.5049999999999999</v>
      </c>
      <c r="AZ40" s="386">
        <v>4.3739999999999997</v>
      </c>
      <c r="BA40" s="386">
        <v>2.7233000000000001</v>
      </c>
      <c r="BB40" s="386">
        <v>17.569299999999998</v>
      </c>
      <c r="BC40" s="18">
        <f t="shared" si="85"/>
        <v>0.80561269919248368</v>
      </c>
      <c r="BD40" s="18">
        <v>1.4641</v>
      </c>
      <c r="BE40" s="18"/>
      <c r="BF40" s="18"/>
      <c r="BG40" s="18"/>
      <c r="BH40" s="386">
        <v>6.7679999999999998</v>
      </c>
      <c r="BI40" s="386">
        <v>8.9659999999999993</v>
      </c>
      <c r="BJ40" s="386">
        <v>50.759300000000003</v>
      </c>
      <c r="BK40" s="386">
        <v>11.571</v>
      </c>
      <c r="BL40" s="386">
        <v>9.9039999999999999</v>
      </c>
      <c r="BM40" s="386">
        <v>33.676600000000001</v>
      </c>
      <c r="BN40" s="386">
        <v>19.204000000000001</v>
      </c>
      <c r="BO40" s="386">
        <v>0.75070000000000003</v>
      </c>
      <c r="BP40" s="386">
        <v>1.3986000000000001</v>
      </c>
      <c r="BQ40" s="385">
        <v>4.3609999999999998</v>
      </c>
      <c r="BR40" s="385">
        <v>0.1004</v>
      </c>
      <c r="BS40" s="385">
        <v>0.56930000000000003</v>
      </c>
      <c r="BT40" s="23">
        <f t="shared" si="93"/>
        <v>2.7633639350302375E-4</v>
      </c>
      <c r="BU40" s="23">
        <v>0.4783</v>
      </c>
      <c r="BV40" s="23"/>
      <c r="BW40" s="23"/>
      <c r="BX40" s="23"/>
      <c r="BY40" s="385">
        <v>6.7679999999999998</v>
      </c>
      <c r="BZ40" s="385">
        <v>9.0494000000000003</v>
      </c>
      <c r="CA40" s="385">
        <v>50.109299999999998</v>
      </c>
      <c r="CB40" s="385">
        <v>11.574</v>
      </c>
      <c r="CC40" s="385">
        <v>9.7495999999999992</v>
      </c>
      <c r="CD40" s="385">
        <v>33.0931</v>
      </c>
      <c r="CE40" s="385">
        <v>19.207999999999998</v>
      </c>
      <c r="CF40" s="385">
        <v>0.50409999999999999</v>
      </c>
      <c r="CG40" s="385">
        <v>0.93859999999999999</v>
      </c>
      <c r="CI40" s="12">
        <f t="shared" si="86"/>
        <v>0.98575332371273305</v>
      </c>
      <c r="CJ40" s="12">
        <f t="shared" si="87"/>
        <v>0.9879026067733121</v>
      </c>
      <c r="CK40" s="12">
        <f t="shared" si="88"/>
        <v>0.80561269919248368</v>
      </c>
      <c r="CL40" s="12">
        <f t="shared" si="89"/>
        <v>0.92642287655950961</v>
      </c>
      <c r="CM40">
        <f t="shared" si="90"/>
        <v>0.10463020152426268</v>
      </c>
      <c r="CN40">
        <v>3</v>
      </c>
      <c r="CO40">
        <v>3.18</v>
      </c>
      <c r="CP40" s="12">
        <f t="shared" si="91"/>
        <v>0.1920983145489652</v>
      </c>
      <c r="CU40" s="12"/>
      <c r="DA40" t="s">
        <v>267</v>
      </c>
      <c r="DB40" s="37">
        <v>44504</v>
      </c>
      <c r="DC40" s="32">
        <v>0.4284722222222222</v>
      </c>
      <c r="DD40">
        <f>DG39+(24-5)</f>
        <v>1920.3333333333333</v>
      </c>
      <c r="DE40">
        <f>17+(60-32)</f>
        <v>45</v>
      </c>
      <c r="DF40">
        <f t="shared" si="81"/>
        <v>115265</v>
      </c>
      <c r="DG40">
        <f t="shared" si="82"/>
        <v>1921.0833333333333</v>
      </c>
      <c r="DH40">
        <f>(DG40-1920)*60</f>
        <v>64.999999999995453</v>
      </c>
      <c r="DI40">
        <v>1921</v>
      </c>
      <c r="DM40" t="s">
        <v>221</v>
      </c>
      <c r="DN40">
        <f t="shared" si="17"/>
        <v>14.2844</v>
      </c>
      <c r="DO40" s="17">
        <f t="shared" si="94"/>
        <v>0.72571997125642573</v>
      </c>
      <c r="DQ40" s="12">
        <v>2.7633639350302375E-4</v>
      </c>
      <c r="DR40" s="12">
        <v>0.64926770855721705</v>
      </c>
      <c r="DS40" s="12">
        <f t="shared" si="19"/>
        <v>0.76797434657153563</v>
      </c>
      <c r="DU40" s="12">
        <v>0.64926770855721705</v>
      </c>
      <c r="EG40">
        <f t="shared" si="20"/>
        <v>-0.27715516800229256</v>
      </c>
    </row>
    <row r="41" spans="1:137">
      <c r="A41" s="256" t="s">
        <v>239</v>
      </c>
      <c r="B41" s="14">
        <v>44489</v>
      </c>
      <c r="C41" s="12">
        <v>1561.9</v>
      </c>
      <c r="D41" s="79">
        <v>4.391</v>
      </c>
      <c r="E41" s="79">
        <v>2.7381000000000002</v>
      </c>
      <c r="F41" s="79">
        <v>14.2994</v>
      </c>
      <c r="G41" s="17">
        <f>(E41-0.1061)/3.191</f>
        <v>0.8248198057035413</v>
      </c>
      <c r="H41" s="17">
        <v>1.4697</v>
      </c>
      <c r="I41" s="79">
        <v>6.7779999999999996</v>
      </c>
      <c r="J41" s="79">
        <v>12.3888</v>
      </c>
      <c r="K41" s="79">
        <v>69.8904</v>
      </c>
      <c r="L41" s="79">
        <v>11.545</v>
      </c>
      <c r="M41" s="79">
        <v>13.713200000000001</v>
      </c>
      <c r="N41" s="79">
        <v>47.101500000000001</v>
      </c>
      <c r="O41" s="79">
        <v>19.170999999999999</v>
      </c>
      <c r="P41" s="79">
        <v>1.0108999999999999</v>
      </c>
      <c r="Q41" s="79">
        <v>1.8967000000000001</v>
      </c>
      <c r="R41" s="383">
        <v>4.3940000000000001</v>
      </c>
      <c r="S41" s="383">
        <v>4.3742999999999999</v>
      </c>
      <c r="T41" s="383">
        <v>23.7879</v>
      </c>
      <c r="U41" s="19">
        <f t="shared" ref="U41:U43" si="95">(S41-0.1061)/3.191</f>
        <v>1.3375744280789723</v>
      </c>
      <c r="V41" s="19">
        <v>2.0846</v>
      </c>
      <c r="W41" s="19"/>
      <c r="X41" s="19"/>
      <c r="Y41" s="19"/>
      <c r="Z41" s="383">
        <v>6.7839999999999998</v>
      </c>
      <c r="AA41" s="383">
        <v>12.4312</v>
      </c>
      <c r="AB41" s="383">
        <v>70.413499999999999</v>
      </c>
      <c r="AC41" s="383">
        <v>11.551</v>
      </c>
      <c r="AD41" s="383">
        <v>11.5349</v>
      </c>
      <c r="AE41" s="383">
        <v>39.393999999999998</v>
      </c>
      <c r="AF41" s="383">
        <v>19.164000000000001</v>
      </c>
      <c r="AG41" s="383">
        <v>1.8549</v>
      </c>
      <c r="AH41" s="383">
        <v>3.4992999999999999</v>
      </c>
      <c r="AI41" s="384">
        <v>4.391</v>
      </c>
      <c r="AJ41" s="384">
        <v>3.8203</v>
      </c>
      <c r="AK41" s="384">
        <v>20.828499999999998</v>
      </c>
      <c r="AL41" s="16">
        <f t="shared" ref="AL41:AL43" si="96">(AJ41-0.1061)/3.191</f>
        <v>1.163961140708242</v>
      </c>
      <c r="AM41" s="16">
        <v>1.8763000000000001</v>
      </c>
      <c r="AN41" s="16"/>
      <c r="AO41" s="16"/>
      <c r="AP41" s="16"/>
      <c r="AQ41" s="384">
        <v>6.7779999999999996</v>
      </c>
      <c r="AR41" s="384">
        <v>12.261799999999999</v>
      </c>
      <c r="AS41" s="384">
        <v>69.329099999999997</v>
      </c>
      <c r="AT41" s="384">
        <v>11.545</v>
      </c>
      <c r="AU41" s="384">
        <v>12.3535</v>
      </c>
      <c r="AV41" s="384">
        <v>42.312899999999999</v>
      </c>
      <c r="AW41" s="384">
        <v>19.164999999999999</v>
      </c>
      <c r="AX41" s="384">
        <v>0.84150000000000003</v>
      </c>
      <c r="AY41" s="384">
        <v>1.571</v>
      </c>
      <c r="AZ41" s="386">
        <v>4.391</v>
      </c>
      <c r="BA41" s="386">
        <v>3.3260999999999998</v>
      </c>
      <c r="BB41" s="386">
        <v>17.9057</v>
      </c>
      <c r="BC41" s="18">
        <f t="shared" ref="BC41:BC43" si="97">(BA41-0.1061)/3.191</f>
        <v>1.009088060169226</v>
      </c>
      <c r="BD41" s="18">
        <v>1.6906000000000001</v>
      </c>
      <c r="BE41" s="18"/>
      <c r="BF41" s="18"/>
      <c r="BG41" s="18"/>
      <c r="BH41" s="386">
        <v>6.7779999999999996</v>
      </c>
      <c r="BI41" s="386">
        <v>12.3055</v>
      </c>
      <c r="BJ41" s="386">
        <v>69.493499999999997</v>
      </c>
      <c r="BK41" s="386">
        <v>11.545</v>
      </c>
      <c r="BL41" s="386">
        <v>12.334</v>
      </c>
      <c r="BM41" s="386">
        <v>42.200699999999998</v>
      </c>
      <c r="BN41" s="386">
        <v>19.164999999999999</v>
      </c>
      <c r="BO41" s="386">
        <v>0.78320000000000001</v>
      </c>
      <c r="BP41" s="386">
        <v>1.4622999999999999</v>
      </c>
      <c r="BQ41" s="385">
        <v>4.375</v>
      </c>
      <c r="BR41" s="385">
        <v>0.15</v>
      </c>
      <c r="BS41" s="385">
        <v>0.70389999999999997</v>
      </c>
      <c r="BT41" s="23">
        <f t="shared" ref="BT41:BT43" si="98">(BR41-0.1061)/3.191</f>
        <v>1.3757442807897209E-2</v>
      </c>
      <c r="BU41" s="23">
        <v>0.497</v>
      </c>
      <c r="BV41" s="23"/>
      <c r="BW41" s="23"/>
      <c r="BX41" s="23"/>
      <c r="BY41" s="385">
        <v>6.7779999999999996</v>
      </c>
      <c r="BZ41" s="385">
        <v>12.3186</v>
      </c>
      <c r="CA41" s="385">
        <v>69.447400000000002</v>
      </c>
      <c r="CB41" s="385">
        <v>11.541</v>
      </c>
      <c r="CC41" s="385">
        <v>12.151400000000001</v>
      </c>
      <c r="CD41" s="385">
        <v>41.545400000000001</v>
      </c>
      <c r="CE41" s="385">
        <v>19.161000000000001</v>
      </c>
      <c r="CF41" s="385">
        <v>0.52580000000000005</v>
      </c>
      <c r="CG41" s="385">
        <v>0.98250000000000004</v>
      </c>
      <c r="CI41" s="12">
        <f t="shared" ref="CI41:CI43" si="99">U41</f>
        <v>1.3375744280789723</v>
      </c>
      <c r="CJ41" s="12">
        <f t="shared" ref="CJ41:CJ43" si="100">AL41</f>
        <v>1.163961140708242</v>
      </c>
      <c r="CK41" s="12">
        <f t="shared" ref="CK41:CK43" si="101">BC41</f>
        <v>1.009088060169226</v>
      </c>
      <c r="CL41" s="12">
        <f t="shared" ref="CL41:CL43" si="102">(U41+AL41+BC41)/3</f>
        <v>1.1702078763188135</v>
      </c>
      <c r="CM41">
        <f t="shared" ref="CM41:CM43" si="103">STDEV(CI41:CK41)</f>
        <v>0.16433225415290634</v>
      </c>
      <c r="CN41">
        <v>3</v>
      </c>
      <c r="CO41">
        <v>3.18</v>
      </c>
      <c r="CP41" s="12">
        <f t="shared" ref="CP41:CP43" si="104">(CO41*CM41)/SQRT(CN41)</f>
        <v>0.3017097223260648</v>
      </c>
      <c r="DA41" t="s">
        <v>266</v>
      </c>
      <c r="DB41" s="37">
        <v>44505</v>
      </c>
      <c r="DC41" s="32">
        <v>0.4777777777777778</v>
      </c>
      <c r="DD41">
        <f>DG40+24+1</f>
        <v>1946.0833333333333</v>
      </c>
      <c r="DE41">
        <f>28-17</f>
        <v>11</v>
      </c>
      <c r="DF41">
        <f t="shared" ref="DF41" si="105">(DD41*60)+DE41</f>
        <v>116776</v>
      </c>
      <c r="DG41">
        <f t="shared" ref="DG41" si="106">DF41/60</f>
        <v>1946.2666666666667</v>
      </c>
      <c r="DH41">
        <f>(DG41-1945)*60</f>
        <v>75.999999999999091</v>
      </c>
      <c r="DI41">
        <v>1946</v>
      </c>
      <c r="DL41" t="s">
        <v>893</v>
      </c>
      <c r="DM41" t="s">
        <v>239</v>
      </c>
      <c r="DN41">
        <f t="shared" si="17"/>
        <v>14.2994</v>
      </c>
      <c r="DO41" s="17">
        <f>(DN41-0.8808)/17.346</f>
        <v>0.77358468811253311</v>
      </c>
      <c r="DQ41" s="12">
        <v>1.3757442807897209E-2</v>
      </c>
      <c r="DR41" s="12">
        <v>0.8248198057035413</v>
      </c>
      <c r="DS41" s="12">
        <f t="shared" si="19"/>
        <v>0.74786113434260848</v>
      </c>
      <c r="DU41" s="12">
        <v>0.8248198057035413</v>
      </c>
      <c r="EG41">
        <f t="shared" si="20"/>
        <v>-0.3453880706152721</v>
      </c>
    </row>
    <row r="42" spans="1:137">
      <c r="A42" s="256" t="s">
        <v>239</v>
      </c>
      <c r="B42" s="14">
        <v>44490</v>
      </c>
      <c r="C42" s="12">
        <v>1586.3</v>
      </c>
      <c r="D42" s="79">
        <v>4.3840000000000003</v>
      </c>
      <c r="E42" s="79">
        <v>2.6583999999999999</v>
      </c>
      <c r="F42" s="79">
        <v>14.139099999999999</v>
      </c>
      <c r="G42" s="17">
        <f t="shared" ref="G42:G43" si="107">(E42-0.1061)/3.191</f>
        <v>0.79984330930742709</v>
      </c>
      <c r="H42" s="17">
        <v>1.4397</v>
      </c>
      <c r="I42" s="79">
        <v>6.7779999999999996</v>
      </c>
      <c r="J42" s="79">
        <v>15.0032</v>
      </c>
      <c r="K42" s="79">
        <v>84.012200000000007</v>
      </c>
      <c r="L42" s="79">
        <v>11.534000000000001</v>
      </c>
      <c r="M42" s="79">
        <v>12.9278</v>
      </c>
      <c r="N42" s="79">
        <v>44.203099999999999</v>
      </c>
      <c r="O42" s="79">
        <v>19.143999999999998</v>
      </c>
      <c r="P42" s="79">
        <v>1.0726</v>
      </c>
      <c r="Q42" s="79">
        <v>2.0110999999999999</v>
      </c>
      <c r="R42" s="383">
        <v>4.3879999999999999</v>
      </c>
      <c r="S42" s="383">
        <v>3.6072000000000002</v>
      </c>
      <c r="T42" s="383">
        <v>18.317499999999999</v>
      </c>
      <c r="U42" s="19">
        <f t="shared" si="95"/>
        <v>1.0971795675336886</v>
      </c>
      <c r="V42" s="19">
        <v>1.7963</v>
      </c>
      <c r="W42" s="19"/>
      <c r="X42" s="19"/>
      <c r="Y42" s="19"/>
      <c r="Z42" s="383">
        <v>6.7779999999999996</v>
      </c>
      <c r="AA42" s="383">
        <v>14.803800000000001</v>
      </c>
      <c r="AB42" s="383">
        <v>82.029799999999994</v>
      </c>
      <c r="AC42" s="383">
        <v>11.538</v>
      </c>
      <c r="AD42" s="383">
        <v>12.1046</v>
      </c>
      <c r="AE42" s="383">
        <v>41.290199999999999</v>
      </c>
      <c r="AF42" s="383">
        <v>19.148</v>
      </c>
      <c r="AG42" s="383">
        <v>0.93700000000000006</v>
      </c>
      <c r="AH42" s="383">
        <v>1.7504999999999999</v>
      </c>
      <c r="AI42" s="384">
        <v>4.3879999999999999</v>
      </c>
      <c r="AJ42" s="384">
        <v>3.5888</v>
      </c>
      <c r="AK42" s="384">
        <v>18.315999999999999</v>
      </c>
      <c r="AL42" s="16">
        <f t="shared" si="96"/>
        <v>1.0914133500470071</v>
      </c>
      <c r="AM42" s="16">
        <v>1.7894000000000001</v>
      </c>
      <c r="AN42" s="16"/>
      <c r="AO42" s="16"/>
      <c r="AP42" s="16"/>
      <c r="AQ42" s="384">
        <v>6.7750000000000004</v>
      </c>
      <c r="AR42" s="384">
        <v>14.6172</v>
      </c>
      <c r="AS42" s="384">
        <v>80.845799999999997</v>
      </c>
      <c r="AT42" s="384">
        <v>11.535</v>
      </c>
      <c r="AU42" s="384">
        <v>11.973800000000001</v>
      </c>
      <c r="AV42" s="384">
        <v>40.869500000000002</v>
      </c>
      <c r="AW42" s="384">
        <v>19.145</v>
      </c>
      <c r="AX42" s="384">
        <v>0.79700000000000004</v>
      </c>
      <c r="AY42" s="384">
        <v>1.4887999999999999</v>
      </c>
      <c r="AZ42" s="386">
        <v>4.3840000000000003</v>
      </c>
      <c r="BA42" s="386">
        <v>2.8441000000000001</v>
      </c>
      <c r="BB42" s="386">
        <v>15.2501</v>
      </c>
      <c r="BC42" s="18">
        <f t="shared" si="97"/>
        <v>0.85803823252898781</v>
      </c>
      <c r="BD42" s="18">
        <v>1.5095000000000001</v>
      </c>
      <c r="BE42" s="18"/>
      <c r="BF42" s="18"/>
      <c r="BG42" s="18"/>
      <c r="BH42" s="386">
        <v>6.7709999999999999</v>
      </c>
      <c r="BI42" s="386">
        <v>13.5647</v>
      </c>
      <c r="BJ42" s="386">
        <v>76.084699999999998</v>
      </c>
      <c r="BK42" s="386">
        <v>11.531000000000001</v>
      </c>
      <c r="BL42" s="386">
        <v>12.003500000000001</v>
      </c>
      <c r="BM42" s="386">
        <v>40.941000000000003</v>
      </c>
      <c r="BN42" s="386">
        <v>19.143999999999998</v>
      </c>
      <c r="BO42" s="386">
        <v>0.75560000000000005</v>
      </c>
      <c r="BP42" s="386">
        <v>1.4108000000000001</v>
      </c>
      <c r="BQ42" s="385">
        <v>4.3739999999999997</v>
      </c>
      <c r="BR42" s="385">
        <v>0.15770000000000001</v>
      </c>
      <c r="BS42" s="385">
        <v>0.71030000000000004</v>
      </c>
      <c r="BT42" s="23">
        <f t="shared" si="98"/>
        <v>1.6170479473519277E-2</v>
      </c>
      <c r="BU42" s="23">
        <v>0.49980000000000002</v>
      </c>
      <c r="BV42" s="23"/>
      <c r="BW42" s="23"/>
      <c r="BX42" s="23"/>
      <c r="BY42" s="385">
        <v>6.774</v>
      </c>
      <c r="BZ42" s="385">
        <v>13.281000000000001</v>
      </c>
      <c r="CA42" s="385">
        <v>71.865600000000001</v>
      </c>
      <c r="CB42" s="385">
        <v>11.538</v>
      </c>
      <c r="CC42" s="385">
        <v>11.827199999999999</v>
      </c>
      <c r="CD42" s="385">
        <v>40.262500000000003</v>
      </c>
      <c r="CE42" s="385">
        <v>19.154</v>
      </c>
      <c r="CF42" s="385">
        <v>0.52449999999999997</v>
      </c>
      <c r="CG42" s="385">
        <v>0.97829999999999995</v>
      </c>
      <c r="CI42" s="12">
        <f t="shared" si="99"/>
        <v>1.0971795675336886</v>
      </c>
      <c r="CJ42" s="12">
        <f t="shared" si="100"/>
        <v>1.0914133500470071</v>
      </c>
      <c r="CK42" s="12">
        <f t="shared" si="101"/>
        <v>0.85803823252898781</v>
      </c>
      <c r="CL42" s="12">
        <f t="shared" si="102"/>
        <v>1.0155437167032277</v>
      </c>
      <c r="CM42">
        <f t="shared" si="103"/>
        <v>0.13643421665677369</v>
      </c>
      <c r="CN42">
        <v>3</v>
      </c>
      <c r="CO42">
        <v>3.18</v>
      </c>
      <c r="CP42" s="12">
        <f t="shared" si="104"/>
        <v>0.25048965484881558</v>
      </c>
      <c r="DA42" t="s">
        <v>265</v>
      </c>
      <c r="DB42" s="37">
        <v>44510</v>
      </c>
      <c r="DC42" s="32">
        <v>0.46527777777777773</v>
      </c>
      <c r="DD42">
        <f>DG41+(24*5)</f>
        <v>2066.2666666666664</v>
      </c>
      <c r="DE42">
        <v>-18</v>
      </c>
      <c r="DF42">
        <f t="shared" ref="DF42" si="108">(DD42*60)+DE42</f>
        <v>123957.99999999999</v>
      </c>
      <c r="DG42">
        <f t="shared" ref="DG42" si="109">DF42/60</f>
        <v>2065.9666666666662</v>
      </c>
      <c r="DH42">
        <f>(DG42-DI42)*60</f>
        <v>57.999999999974534</v>
      </c>
      <c r="DI42">
        <v>2065</v>
      </c>
      <c r="DM42" t="s">
        <v>239</v>
      </c>
      <c r="DN42">
        <f t="shared" si="17"/>
        <v>14.139099999999999</v>
      </c>
      <c r="DO42" s="17">
        <f t="shared" ref="DO42:DO45" si="110">(DN42-0.8808)/17.346</f>
        <v>0.76434336446442974</v>
      </c>
      <c r="DQ42" s="12">
        <v>1.6170479473519277E-2</v>
      </c>
      <c r="DR42" s="12">
        <v>0.79984330930742709</v>
      </c>
      <c r="DS42" s="12">
        <f t="shared" si="19"/>
        <v>0.73710327964640054</v>
      </c>
      <c r="DU42" s="12">
        <v>0.79984330930742709</v>
      </c>
      <c r="EG42">
        <f t="shared" si="20"/>
        <v>-0.21570040739580076</v>
      </c>
    </row>
    <row r="43" spans="1:137">
      <c r="A43" s="256" t="s">
        <v>239</v>
      </c>
      <c r="B43" s="14">
        <v>44491</v>
      </c>
      <c r="C43" s="12">
        <v>1610.5</v>
      </c>
      <c r="D43" s="79">
        <v>4.3840000000000003</v>
      </c>
      <c r="E43" s="79">
        <v>3.0931999999999999</v>
      </c>
      <c r="F43" s="79">
        <v>16.832699999999999</v>
      </c>
      <c r="G43" s="17">
        <f t="shared" si="107"/>
        <v>0.93610153556878717</v>
      </c>
      <c r="H43" s="17">
        <v>1.6031</v>
      </c>
      <c r="I43" s="79">
        <v>6.774</v>
      </c>
      <c r="J43" s="79">
        <v>14.3222</v>
      </c>
      <c r="K43" s="79">
        <v>79.901200000000003</v>
      </c>
      <c r="L43" s="79">
        <v>11.528</v>
      </c>
      <c r="M43" s="79">
        <v>13.419</v>
      </c>
      <c r="N43" s="79">
        <v>45.791899999999998</v>
      </c>
      <c r="O43" s="79">
        <v>19.138000000000002</v>
      </c>
      <c r="P43" s="79">
        <v>1.2987</v>
      </c>
      <c r="Q43" s="79">
        <v>2.4315000000000002</v>
      </c>
      <c r="R43" s="383">
        <v>4.3810000000000002</v>
      </c>
      <c r="S43" s="383">
        <v>3.2263000000000002</v>
      </c>
      <c r="T43" s="383">
        <v>17.465199999999999</v>
      </c>
      <c r="U43" s="19">
        <f t="shared" si="95"/>
        <v>0.97781259793168296</v>
      </c>
      <c r="V43" s="19">
        <v>1.6531</v>
      </c>
      <c r="W43" s="19"/>
      <c r="X43" s="19"/>
      <c r="Y43" s="19"/>
      <c r="Z43" s="383">
        <v>6.7850000000000001</v>
      </c>
      <c r="AA43" s="383">
        <v>22.438600000000001</v>
      </c>
      <c r="AB43" s="383">
        <v>122.9853</v>
      </c>
      <c r="AC43" s="383">
        <v>11.518000000000001</v>
      </c>
      <c r="AD43" s="383">
        <v>16.411799999999999</v>
      </c>
      <c r="AE43" s="383">
        <v>55.969799999999999</v>
      </c>
      <c r="AF43" s="383">
        <v>19.131</v>
      </c>
      <c r="AG43" s="383">
        <v>0.88519999999999999</v>
      </c>
      <c r="AH43" s="383">
        <v>1.6552</v>
      </c>
      <c r="AI43" s="384">
        <v>4.3849999999999998</v>
      </c>
      <c r="AJ43" s="384">
        <v>3.4062999999999999</v>
      </c>
      <c r="AK43" s="384">
        <v>18.609200000000001</v>
      </c>
      <c r="AL43" s="16">
        <f t="shared" si="96"/>
        <v>1.0342212472579129</v>
      </c>
      <c r="AM43" s="16">
        <v>1.7206999999999999</v>
      </c>
      <c r="AN43" s="16"/>
      <c r="AO43" s="16"/>
      <c r="AP43" s="16"/>
      <c r="AQ43" s="384">
        <v>6.7850000000000001</v>
      </c>
      <c r="AR43" s="384">
        <v>22.264199999999999</v>
      </c>
      <c r="AS43" s="384">
        <v>120.8058</v>
      </c>
      <c r="AT43" s="384">
        <v>11.518000000000001</v>
      </c>
      <c r="AU43" s="384">
        <v>16.143999999999998</v>
      </c>
      <c r="AV43" s="384">
        <v>55.081099999999999</v>
      </c>
      <c r="AW43" s="384">
        <v>19.138000000000002</v>
      </c>
      <c r="AX43" s="384">
        <v>0.76600000000000001</v>
      </c>
      <c r="AY43" s="384">
        <v>1.4336</v>
      </c>
      <c r="AZ43" s="386">
        <v>4.3810000000000002</v>
      </c>
      <c r="BA43" s="386">
        <v>2.9337</v>
      </c>
      <c r="BB43" s="386">
        <v>15.826599999999999</v>
      </c>
      <c r="BC43" s="18">
        <f t="shared" si="97"/>
        <v>0.88611720463804455</v>
      </c>
      <c r="BD43" s="18">
        <v>1.5430999999999999</v>
      </c>
      <c r="BE43" s="18"/>
      <c r="BF43" s="18"/>
      <c r="BG43" s="18"/>
      <c r="BH43" s="386">
        <v>6.7839999999999998</v>
      </c>
      <c r="BI43" s="386">
        <v>22.671399999999998</v>
      </c>
      <c r="BJ43" s="386">
        <v>121.7871</v>
      </c>
      <c r="BK43" s="386">
        <v>11.513999999999999</v>
      </c>
      <c r="BL43" s="386">
        <v>16.376200000000001</v>
      </c>
      <c r="BM43" s="386">
        <v>55.906199999999998</v>
      </c>
      <c r="BN43" s="386">
        <v>19.134</v>
      </c>
      <c r="BO43" s="386">
        <v>0.69689999999999996</v>
      </c>
      <c r="BP43" s="386">
        <v>1.3062</v>
      </c>
      <c r="BQ43" s="385">
        <v>4.3680000000000003</v>
      </c>
      <c r="BR43" s="385">
        <v>0.20330000000000001</v>
      </c>
      <c r="BS43" s="385">
        <v>0.93079999999999996</v>
      </c>
      <c r="BT43" s="23">
        <f t="shared" si="98"/>
        <v>3.0460670636164217E-2</v>
      </c>
      <c r="BU43" s="23">
        <v>0.51700000000000002</v>
      </c>
      <c r="BV43" s="23"/>
      <c r="BW43" s="23"/>
      <c r="BX43" s="23"/>
      <c r="BY43" s="385">
        <v>6.7839999999999998</v>
      </c>
      <c r="BZ43" s="385">
        <v>22.850999999999999</v>
      </c>
      <c r="CA43" s="385">
        <v>122.57089999999999</v>
      </c>
      <c r="CB43" s="385">
        <v>11.513999999999999</v>
      </c>
      <c r="CC43" s="385">
        <v>16.233799999999999</v>
      </c>
      <c r="CD43" s="385">
        <v>55.341200000000001</v>
      </c>
      <c r="CE43" s="385">
        <v>19.134</v>
      </c>
      <c r="CF43" s="385">
        <v>0.54339999999999999</v>
      </c>
      <c r="CG43" s="385">
        <v>1.0146999999999999</v>
      </c>
      <c r="CI43" s="12">
        <f t="shared" si="99"/>
        <v>0.97781259793168296</v>
      </c>
      <c r="CJ43" s="12">
        <f t="shared" si="100"/>
        <v>1.0342212472579129</v>
      </c>
      <c r="CK43" s="12">
        <f t="shared" si="101"/>
        <v>0.88611720463804455</v>
      </c>
      <c r="CL43" s="12">
        <f t="shared" si="102"/>
        <v>0.96605034994254668</v>
      </c>
      <c r="CM43">
        <f t="shared" si="103"/>
        <v>7.4749345939649506E-2</v>
      </c>
      <c r="CN43">
        <v>3</v>
      </c>
      <c r="CO43">
        <v>3.18</v>
      </c>
      <c r="CP43" s="12">
        <f t="shared" si="104"/>
        <v>0.13723784490001623</v>
      </c>
      <c r="DA43" t="s">
        <v>291</v>
      </c>
      <c r="DB43" s="37">
        <v>44512</v>
      </c>
      <c r="DC43" s="32">
        <v>0.47222222222222227</v>
      </c>
      <c r="DD43">
        <f>DG42+(24*2)</f>
        <v>2113.9666666666662</v>
      </c>
      <c r="DE43">
        <v>10</v>
      </c>
      <c r="DF43">
        <f t="shared" ref="DF43:DF49" si="111">(DD43*60)+DE43</f>
        <v>126847.99999999997</v>
      </c>
      <c r="DG43">
        <f t="shared" ref="DG43:DG49" si="112">DF43/60</f>
        <v>2114.1333333333328</v>
      </c>
      <c r="DH43">
        <f t="shared" ref="DH43:DH49" si="113">(DG43-DI43)*60</f>
        <v>7.9999999999654392</v>
      </c>
      <c r="DI43">
        <v>2114</v>
      </c>
      <c r="DM43" t="s">
        <v>239</v>
      </c>
      <c r="DN43">
        <f t="shared" si="17"/>
        <v>16.832699999999999</v>
      </c>
      <c r="DO43" s="17">
        <f t="shared" si="110"/>
        <v>0.91962988585264605</v>
      </c>
      <c r="DQ43" s="12">
        <v>3.0460670636164217E-2</v>
      </c>
      <c r="DR43" s="12">
        <v>0.93610153556878717</v>
      </c>
      <c r="DS43" s="12">
        <f t="shared" si="19"/>
        <v>0.72659582167274994</v>
      </c>
      <c r="DU43" s="12">
        <v>0.93610153556878717</v>
      </c>
      <c r="EG43">
        <f t="shared" si="20"/>
        <v>-2.9948814373759625E-2</v>
      </c>
    </row>
    <row r="44" spans="1:137" s="171" customFormat="1" ht="16" thickBot="1">
      <c r="A44" s="258" t="s">
        <v>250</v>
      </c>
      <c r="B44" s="172">
        <v>44503</v>
      </c>
      <c r="C44" s="173">
        <v>1901.3333333333333</v>
      </c>
      <c r="D44" s="188">
        <v>4.4009999999999998</v>
      </c>
      <c r="E44" s="188">
        <v>2.0672999999999999</v>
      </c>
      <c r="F44" s="189">
        <v>11.2851</v>
      </c>
      <c r="G44" s="190">
        <f>(E44+0.0848)/3.3937</f>
        <v>0.63414562277160624</v>
      </c>
      <c r="H44" s="190">
        <v>1.2175</v>
      </c>
      <c r="I44" s="189">
        <v>6.774</v>
      </c>
      <c r="J44" s="189">
        <v>18.332899999999999</v>
      </c>
      <c r="K44" s="189">
        <v>99.659400000000005</v>
      </c>
      <c r="L44" s="189">
        <v>11.458</v>
      </c>
      <c r="M44" s="189">
        <v>14.8409</v>
      </c>
      <c r="N44" s="189">
        <v>50.802799999999998</v>
      </c>
      <c r="O44" s="189">
        <v>19.027999999999999</v>
      </c>
      <c r="P44" s="189">
        <v>0.74009999999999998</v>
      </c>
      <c r="Q44" s="189">
        <v>1.3914</v>
      </c>
      <c r="R44" s="177">
        <v>4.4080000000000004</v>
      </c>
      <c r="S44" s="177">
        <v>5.7225999999999999</v>
      </c>
      <c r="T44" s="178">
        <v>29.661799999999999</v>
      </c>
      <c r="U44" s="179">
        <f>(S44+0.0848)/3.3937</f>
        <v>1.7112296313757847</v>
      </c>
      <c r="V44" s="179">
        <v>2.5912999999999999</v>
      </c>
      <c r="W44" s="179"/>
      <c r="X44" s="179"/>
      <c r="Y44" s="179"/>
      <c r="Z44" s="177">
        <v>6.7949999999999999</v>
      </c>
      <c r="AA44" s="177">
        <v>22.918500000000002</v>
      </c>
      <c r="AB44" s="178">
        <v>122.6103</v>
      </c>
      <c r="AC44" s="178">
        <v>11.491</v>
      </c>
      <c r="AD44" s="178">
        <v>3.1930000000000001</v>
      </c>
      <c r="AE44" s="178">
        <v>10.509499999999999</v>
      </c>
      <c r="AF44" s="178">
        <v>19.007999999999999</v>
      </c>
      <c r="AG44" s="178">
        <v>3.8422999999999998</v>
      </c>
      <c r="AH44" s="178">
        <v>7.3361000000000001</v>
      </c>
      <c r="AI44" s="180">
        <v>4.4039999999999999</v>
      </c>
      <c r="AJ44" s="180">
        <v>4.5422000000000002</v>
      </c>
      <c r="AK44" s="181">
        <v>23.595099999999999</v>
      </c>
      <c r="AL44" s="182">
        <f>(AJ44+0.0848)/3.3937</f>
        <v>1.3634086690043319</v>
      </c>
      <c r="AM44" s="182">
        <v>2.1476999999999999</v>
      </c>
      <c r="AN44" s="182"/>
      <c r="AO44" s="182"/>
      <c r="AP44" s="182"/>
      <c r="AQ44" s="180">
        <v>6.7910000000000004</v>
      </c>
      <c r="AR44" s="180">
        <v>24.875800000000002</v>
      </c>
      <c r="AS44" s="181">
        <v>133.9701</v>
      </c>
      <c r="AT44" s="181">
        <v>11.488</v>
      </c>
      <c r="AU44" s="181">
        <v>3.7347000000000001</v>
      </c>
      <c r="AV44" s="181">
        <v>12.370799999999999</v>
      </c>
      <c r="AW44" s="181">
        <v>19.004000000000001</v>
      </c>
      <c r="AX44" s="181">
        <v>4.5382999999999996</v>
      </c>
      <c r="AY44" s="181">
        <v>8.7048000000000005</v>
      </c>
      <c r="AZ44" s="183">
        <v>4.3979999999999997</v>
      </c>
      <c r="BA44" s="183">
        <v>2.8231000000000002</v>
      </c>
      <c r="BB44" s="184">
        <v>13.717599999999999</v>
      </c>
      <c r="BC44" s="185">
        <f>(BA44+0.0848)/3.3937</f>
        <v>0.85685240298199616</v>
      </c>
      <c r="BD44" s="185">
        <v>1.5016</v>
      </c>
      <c r="BE44" s="185"/>
      <c r="BF44" s="185"/>
      <c r="BG44" s="185"/>
      <c r="BH44" s="183">
        <v>6.798</v>
      </c>
      <c r="BI44" s="183">
        <v>34.912300000000002</v>
      </c>
      <c r="BJ44" s="184">
        <v>181.03829999999999</v>
      </c>
      <c r="BK44" s="184">
        <v>11.435</v>
      </c>
      <c r="BL44" s="184">
        <v>24.7989</v>
      </c>
      <c r="BM44" s="184">
        <v>84.280799999999999</v>
      </c>
      <c r="BN44" s="184">
        <v>19.027999999999999</v>
      </c>
      <c r="BO44" s="184">
        <v>0.6663</v>
      </c>
      <c r="BP44" s="184">
        <v>1.2447999999999999</v>
      </c>
      <c r="BQ44" s="174">
        <v>4.3879999999999999</v>
      </c>
      <c r="BR44" s="174">
        <v>0.24</v>
      </c>
      <c r="BS44" s="175">
        <v>1.1091</v>
      </c>
      <c r="BT44" s="176">
        <f>(BR44+0.0848)/3.3937</f>
        <v>9.5706750744025695E-2</v>
      </c>
      <c r="BU44" s="176">
        <v>0.53080000000000005</v>
      </c>
      <c r="BV44" s="176"/>
      <c r="BW44" s="176"/>
      <c r="BX44" s="176"/>
      <c r="BY44" s="174">
        <v>6.8010000000000002</v>
      </c>
      <c r="BZ44" s="174">
        <v>35.088500000000003</v>
      </c>
      <c r="CA44" s="175">
        <v>182.6061</v>
      </c>
      <c r="CB44" s="175">
        <v>11.438000000000001</v>
      </c>
      <c r="CC44" s="175">
        <v>24.467600000000001</v>
      </c>
      <c r="CD44" s="175">
        <v>83.032399999999996</v>
      </c>
      <c r="CE44" s="175">
        <v>19.027999999999999</v>
      </c>
      <c r="CF44" s="175">
        <v>0.62050000000000005</v>
      </c>
      <c r="CG44" s="175">
        <v>1.1536999999999999</v>
      </c>
      <c r="CI44" s="173">
        <f t="shared" ref="CI44:CI45" si="114">U44</f>
        <v>1.7112296313757847</v>
      </c>
      <c r="CJ44" s="173">
        <f t="shared" ref="CJ44:CJ45" si="115">AL44</f>
        <v>1.3634086690043319</v>
      </c>
      <c r="CK44" s="173">
        <f t="shared" ref="CK44:CK45" si="116">BC44</f>
        <v>0.85685240298199616</v>
      </c>
      <c r="CL44" s="173">
        <f t="shared" ref="CL44:CL45" si="117">(U44+AL44+BC44)/3</f>
        <v>1.3104969011207042</v>
      </c>
      <c r="CM44" s="171">
        <f t="shared" ref="CM44:CM45" si="118">STDEV(CI44:CK44)</f>
        <v>0.42963921316017178</v>
      </c>
      <c r="CN44" s="171">
        <v>3</v>
      </c>
      <c r="CO44" s="171">
        <v>3.18</v>
      </c>
      <c r="CP44" s="173">
        <f t="shared" ref="CP44:CP45" si="119">(CO44*CM44)/SQRT(CN44)</f>
        <v>0.78880636288437256</v>
      </c>
      <c r="CV44" s="173"/>
      <c r="DA44" s="171" t="s">
        <v>292</v>
      </c>
      <c r="DB44" s="186">
        <v>44515</v>
      </c>
      <c r="DC44" s="187">
        <v>0.4694444444444445</v>
      </c>
      <c r="DD44" s="171">
        <f>DG43+(24*3)</f>
        <v>2186.1333333333328</v>
      </c>
      <c r="DE44" s="171">
        <v>-4</v>
      </c>
      <c r="DF44" s="171">
        <f t="shared" si="111"/>
        <v>131163.99999999997</v>
      </c>
      <c r="DG44" s="171">
        <f t="shared" si="112"/>
        <v>2186.0666666666662</v>
      </c>
      <c r="DH44" s="171">
        <f t="shared" si="113"/>
        <v>3.9999999999690772</v>
      </c>
      <c r="DI44" s="171">
        <v>2186</v>
      </c>
      <c r="DL44" s="171" t="s">
        <v>894</v>
      </c>
      <c r="DM44" s="171" t="s">
        <v>250</v>
      </c>
      <c r="DN44">
        <f t="shared" si="17"/>
        <v>11.2851</v>
      </c>
      <c r="DO44" s="17">
        <f t="shared" si="110"/>
        <v>0.59980975441023865</v>
      </c>
      <c r="DQ44" s="173">
        <v>9.5706750744025695E-2</v>
      </c>
      <c r="DR44" s="173">
        <v>0.63414562277160624</v>
      </c>
      <c r="DS44" s="12">
        <f t="shared" si="19"/>
        <v>0.61138439264234101</v>
      </c>
      <c r="DU44" s="173">
        <v>0.63414562277160624</v>
      </c>
      <c r="EG44">
        <f t="shared" si="20"/>
        <v>-0.67635127834909792</v>
      </c>
    </row>
    <row r="45" spans="1:137" ht="16" thickTop="1">
      <c r="A45" s="256" t="s">
        <v>250</v>
      </c>
      <c r="B45" s="14">
        <v>44504</v>
      </c>
      <c r="C45" s="12">
        <v>1921.0833333333333</v>
      </c>
      <c r="D45" s="127">
        <v>4.3949999999999996</v>
      </c>
      <c r="E45" s="127">
        <v>1.8892</v>
      </c>
      <c r="F45" s="79">
        <v>9.0420999999999996</v>
      </c>
      <c r="G45" s="17">
        <f>(E45+0.0848)/3.3937</f>
        <v>0.58166602822877689</v>
      </c>
      <c r="H45" s="17">
        <v>1.1506000000000001</v>
      </c>
      <c r="I45" s="79">
        <v>6.7679999999999998</v>
      </c>
      <c r="J45" s="79">
        <v>18.067900000000002</v>
      </c>
      <c r="K45" s="79">
        <v>97.178899999999999</v>
      </c>
      <c r="L45" s="79">
        <v>11.448</v>
      </c>
      <c r="M45" s="79">
        <v>16.172699999999999</v>
      </c>
      <c r="N45" s="79">
        <v>55.3249</v>
      </c>
      <c r="O45" s="79">
        <v>19.021000000000001</v>
      </c>
      <c r="P45" s="79">
        <v>0.77159999999999995</v>
      </c>
      <c r="Q45" s="79">
        <v>1.4469000000000001</v>
      </c>
      <c r="R45" s="1">
        <v>4.3940000000000001</v>
      </c>
      <c r="S45" s="1">
        <v>2.7381000000000002</v>
      </c>
      <c r="T45" s="383">
        <v>14.0509</v>
      </c>
      <c r="U45" s="19">
        <f>(S45+0.0848)/3.3937</f>
        <v>0.83180599345846717</v>
      </c>
      <c r="V45" s="19">
        <v>1.4696</v>
      </c>
      <c r="W45" s="19"/>
      <c r="X45" s="19"/>
      <c r="Y45" s="19"/>
      <c r="Z45" s="1">
        <v>6.7939999999999996</v>
      </c>
      <c r="AA45" s="1">
        <v>32.819600000000001</v>
      </c>
      <c r="AB45" s="383">
        <v>171.53</v>
      </c>
      <c r="AC45" s="383">
        <v>11.428000000000001</v>
      </c>
      <c r="AD45" s="383">
        <v>24.7395</v>
      </c>
      <c r="AE45" s="383">
        <v>83.947599999999994</v>
      </c>
      <c r="AF45" s="383">
        <v>19.013999999999999</v>
      </c>
      <c r="AG45" s="383">
        <v>1.0631999999999999</v>
      </c>
      <c r="AH45" s="383">
        <v>1.9981</v>
      </c>
      <c r="AI45" s="2">
        <v>4.3979999999999997</v>
      </c>
      <c r="AJ45" s="2">
        <v>3.6779999999999999</v>
      </c>
      <c r="AK45" s="384">
        <v>18.436399999999999</v>
      </c>
      <c r="AL45" s="16">
        <f>(AJ45+0.0848)/3.3937</f>
        <v>1.108760350060406</v>
      </c>
      <c r="AM45" s="16">
        <v>1.8229</v>
      </c>
      <c r="AN45" s="16"/>
      <c r="AO45" s="16"/>
      <c r="AP45" s="16"/>
      <c r="AQ45" s="2">
        <v>6.8040000000000003</v>
      </c>
      <c r="AR45" s="2">
        <v>34.366300000000003</v>
      </c>
      <c r="AS45" s="384">
        <v>177.1121</v>
      </c>
      <c r="AT45" s="384">
        <v>11.451000000000001</v>
      </c>
      <c r="AU45" s="384">
        <v>17.746600000000001</v>
      </c>
      <c r="AV45" s="384">
        <v>60.318300000000001</v>
      </c>
      <c r="AW45" s="384">
        <v>19.018000000000001</v>
      </c>
      <c r="AX45" s="384">
        <v>1.5175000000000001</v>
      </c>
      <c r="AY45" s="384">
        <v>2.8652000000000002</v>
      </c>
      <c r="AZ45" s="3">
        <v>4.391</v>
      </c>
      <c r="BA45" s="3">
        <v>2.3065000000000002</v>
      </c>
      <c r="BB45" s="386">
        <v>11.7166</v>
      </c>
      <c r="BC45" s="18">
        <f>(BA45+0.0848)/3.3937</f>
        <v>0.70462916580723112</v>
      </c>
      <c r="BD45" s="18">
        <v>1.3073999999999999</v>
      </c>
      <c r="BE45" s="18"/>
      <c r="BF45" s="18"/>
      <c r="BG45" s="18"/>
      <c r="BH45" s="3">
        <v>6.7910000000000004</v>
      </c>
      <c r="BI45" s="3">
        <v>32.445399999999999</v>
      </c>
      <c r="BJ45" s="386">
        <v>169.78020000000001</v>
      </c>
      <c r="BK45" s="386">
        <v>11.417999999999999</v>
      </c>
      <c r="BL45" s="386">
        <v>27.088999999999999</v>
      </c>
      <c r="BM45" s="386">
        <v>91.738299999999995</v>
      </c>
      <c r="BN45" s="386">
        <v>19.010999999999999</v>
      </c>
      <c r="BO45" s="386">
        <v>0.71489999999999998</v>
      </c>
      <c r="BP45" s="386">
        <v>1.3411</v>
      </c>
      <c r="BQ45" s="4">
        <v>4.3810000000000002</v>
      </c>
      <c r="BR45" s="4">
        <v>0.12720000000000001</v>
      </c>
      <c r="BS45" s="385">
        <v>0.55549999999999999</v>
      </c>
      <c r="BT45" s="23">
        <f>(BR45+0.0848)/3.3937</f>
        <v>6.2468691988095598E-2</v>
      </c>
      <c r="BU45" s="23">
        <v>0.4884</v>
      </c>
      <c r="BV45" s="23"/>
      <c r="BW45" s="23"/>
      <c r="BX45" s="23"/>
      <c r="BY45" s="4">
        <v>6.7949999999999999</v>
      </c>
      <c r="BZ45" s="4">
        <v>32.2759</v>
      </c>
      <c r="CA45" s="385">
        <v>168.94489999999999</v>
      </c>
      <c r="CB45" s="385">
        <v>11.420999999999999</v>
      </c>
      <c r="CC45" s="385">
        <v>25.002600000000001</v>
      </c>
      <c r="CD45" s="385">
        <v>84.599400000000003</v>
      </c>
      <c r="CE45" s="385">
        <v>19.010999999999999</v>
      </c>
      <c r="CF45" s="385">
        <v>0.53879999999999995</v>
      </c>
      <c r="CG45" s="385">
        <v>1.0079</v>
      </c>
      <c r="CI45" s="12">
        <f t="shared" si="114"/>
        <v>0.83180599345846717</v>
      </c>
      <c r="CJ45" s="12">
        <f t="shared" si="115"/>
        <v>1.108760350060406</v>
      </c>
      <c r="CK45" s="12">
        <f t="shared" si="116"/>
        <v>0.70462916580723112</v>
      </c>
      <c r="CL45" s="12">
        <f t="shared" si="117"/>
        <v>0.88173183644203468</v>
      </c>
      <c r="CM45">
        <f t="shared" si="118"/>
        <v>0.20663965222019534</v>
      </c>
      <c r="CN45">
        <v>3</v>
      </c>
      <c r="CO45">
        <v>3.18</v>
      </c>
      <c r="CP45" s="12">
        <f t="shared" si="119"/>
        <v>0.37938499909396584</v>
      </c>
      <c r="DA45" t="s">
        <v>315</v>
      </c>
      <c r="DB45" s="37">
        <v>44517</v>
      </c>
      <c r="DC45" s="32">
        <v>0.47638888888888892</v>
      </c>
      <c r="DD45">
        <f>DG44+(24*2)</f>
        <v>2234.0666666666662</v>
      </c>
      <c r="DE45">
        <v>10</v>
      </c>
      <c r="DF45">
        <f t="shared" si="111"/>
        <v>134053.99999999997</v>
      </c>
      <c r="DG45">
        <f t="shared" si="112"/>
        <v>2234.2333333333327</v>
      </c>
      <c r="DH45">
        <f t="shared" si="113"/>
        <v>13.999999999959982</v>
      </c>
      <c r="DI45">
        <v>2234</v>
      </c>
      <c r="DM45" t="s">
        <v>250</v>
      </c>
      <c r="DN45">
        <f t="shared" si="17"/>
        <v>9.0420999999999996</v>
      </c>
      <c r="DO45" s="17">
        <f t="shared" si="110"/>
        <v>0.47050040355125095</v>
      </c>
      <c r="DQ45" s="12">
        <v>6.2468691988095598E-2</v>
      </c>
      <c r="DR45" s="12">
        <v>0.58166602822877689</v>
      </c>
      <c r="DS45" s="12">
        <f t="shared" si="19"/>
        <v>0.60421268784395288</v>
      </c>
      <c r="DU45" s="12">
        <v>0.58166602822877689</v>
      </c>
      <c r="EG45">
        <f t="shared" si="20"/>
        <v>-0.30006580821325785</v>
      </c>
    </row>
    <row r="46" spans="1:137">
      <c r="A46" s="256" t="s">
        <v>317</v>
      </c>
      <c r="B46" s="14">
        <v>44505</v>
      </c>
      <c r="C46" s="12">
        <v>1946.2666666666667</v>
      </c>
      <c r="D46" s="79">
        <v>4.3840000000000003</v>
      </c>
      <c r="E46" s="79">
        <v>2.2639999999999998</v>
      </c>
      <c r="F46" s="79">
        <v>11.551600000000001</v>
      </c>
      <c r="G46" s="17">
        <f>(E46-0.0742)/3.3092</f>
        <v>0.66173093194729837</v>
      </c>
      <c r="H46" s="17">
        <v>1.2915000000000001</v>
      </c>
      <c r="I46" s="79">
        <v>6.7439999999999998</v>
      </c>
      <c r="J46" s="79">
        <v>20.646799999999999</v>
      </c>
      <c r="K46" s="79">
        <v>114.1456</v>
      </c>
      <c r="L46" s="79">
        <v>11.353999999999999</v>
      </c>
      <c r="M46" s="79">
        <v>17.057300000000001</v>
      </c>
      <c r="N46" s="79">
        <v>59.749600000000001</v>
      </c>
      <c r="O46" s="79">
        <v>18.867999999999999</v>
      </c>
      <c r="P46" s="79">
        <v>0.88349999999999995</v>
      </c>
      <c r="Q46" s="79">
        <v>1.6825000000000001</v>
      </c>
      <c r="R46" s="383">
        <v>4.3780000000000001</v>
      </c>
      <c r="S46" s="383">
        <v>2.641</v>
      </c>
      <c r="T46" s="383">
        <v>14.551600000000001</v>
      </c>
      <c r="U46" s="19">
        <f>(S46-0.0742)/3.3092</f>
        <v>0.77565574761271605</v>
      </c>
      <c r="V46" s="19">
        <v>1.4331</v>
      </c>
      <c r="W46" s="19"/>
      <c r="X46" s="19"/>
      <c r="Y46" s="19"/>
      <c r="Z46" s="383">
        <v>6.7610000000000001</v>
      </c>
      <c r="AA46" s="383">
        <v>30.8858</v>
      </c>
      <c r="AB46" s="383">
        <v>165.23400000000001</v>
      </c>
      <c r="AC46" s="383">
        <v>11.334</v>
      </c>
      <c r="AD46" s="383">
        <v>23.5746</v>
      </c>
      <c r="AE46" s="383">
        <v>81.722999999999999</v>
      </c>
      <c r="AF46" s="383">
        <v>18.864000000000001</v>
      </c>
      <c r="AG46" s="383">
        <v>0.61819999999999997</v>
      </c>
      <c r="AH46" s="383">
        <v>1.1679999999999999</v>
      </c>
      <c r="AI46" s="384">
        <v>4.3849999999999998</v>
      </c>
      <c r="AJ46" s="384">
        <v>3.4195000000000002</v>
      </c>
      <c r="AK46" s="384">
        <v>17.801100000000002</v>
      </c>
      <c r="AL46" s="16">
        <f>(AJ46-0.0742)/3.3092</f>
        <v>1.0109089810226037</v>
      </c>
      <c r="AM46" s="16">
        <v>1.7257</v>
      </c>
      <c r="AN46" s="16"/>
      <c r="AO46" s="16"/>
      <c r="AP46" s="16"/>
      <c r="AQ46" s="384">
        <v>6.7679999999999998</v>
      </c>
      <c r="AR46" s="384">
        <v>30.990500000000001</v>
      </c>
      <c r="AS46" s="384">
        <v>165.3108</v>
      </c>
      <c r="AT46" s="384">
        <v>11.355</v>
      </c>
      <c r="AU46" s="384">
        <v>17.704599999999999</v>
      </c>
      <c r="AV46" s="384">
        <v>61.523000000000003</v>
      </c>
      <c r="AW46" s="384">
        <v>18.867999999999999</v>
      </c>
      <c r="AX46" s="384">
        <v>0.91049999999999998</v>
      </c>
      <c r="AY46" s="384">
        <v>1.7332000000000001</v>
      </c>
      <c r="AZ46" s="386">
        <v>4.3810000000000002</v>
      </c>
      <c r="BA46" s="386">
        <v>3.2538</v>
      </c>
      <c r="BB46" s="386">
        <v>17.459900000000001</v>
      </c>
      <c r="BC46" s="18">
        <f>(BA46-0.0742)/3.3092</f>
        <v>0.96083645594101297</v>
      </c>
      <c r="BD46" s="18">
        <v>1.6634</v>
      </c>
      <c r="BE46" s="18"/>
      <c r="BF46" s="18"/>
      <c r="BG46" s="18"/>
      <c r="BH46" s="386">
        <v>6.7610000000000001</v>
      </c>
      <c r="BI46" s="386">
        <v>32.076999999999998</v>
      </c>
      <c r="BJ46" s="386">
        <v>170.19110000000001</v>
      </c>
      <c r="BK46" s="386">
        <v>11.327999999999999</v>
      </c>
      <c r="BL46" s="386">
        <v>24.236599999999999</v>
      </c>
      <c r="BM46" s="386">
        <v>83.771799999999999</v>
      </c>
      <c r="BN46" s="386">
        <v>18.858000000000001</v>
      </c>
      <c r="BO46" s="386">
        <v>0.76759999999999995</v>
      </c>
      <c r="BP46" s="386">
        <v>1.4582999999999999</v>
      </c>
      <c r="BQ46" s="385">
        <v>4.3739999999999997</v>
      </c>
      <c r="BR46" s="385">
        <v>8.4699999999999998E-2</v>
      </c>
      <c r="BS46" s="385">
        <v>0.46229999999999999</v>
      </c>
      <c r="BT46" s="23">
        <f>(BR46-0.0742)/3.3092</f>
        <v>3.1729723195938579E-3</v>
      </c>
      <c r="BU46" s="23">
        <v>0.47239999999999999</v>
      </c>
      <c r="BV46" s="23"/>
      <c r="BW46" s="23"/>
      <c r="BX46" s="23"/>
      <c r="BY46" s="385">
        <v>6.7640000000000002</v>
      </c>
      <c r="BZ46" s="385">
        <v>31.855699999999999</v>
      </c>
      <c r="CA46" s="385">
        <v>169.4151</v>
      </c>
      <c r="CB46" s="385">
        <v>11.334</v>
      </c>
      <c r="CC46" s="385">
        <v>23.831900000000001</v>
      </c>
      <c r="CD46" s="385">
        <v>82.356999999999999</v>
      </c>
      <c r="CE46" s="385">
        <v>18.864000000000001</v>
      </c>
      <c r="CF46" s="385">
        <v>0.63029999999999997</v>
      </c>
      <c r="CG46" s="385">
        <v>1.1919999999999999</v>
      </c>
      <c r="CI46" s="12">
        <f t="shared" ref="CI46:CI49" si="120">U46</f>
        <v>0.77565574761271605</v>
      </c>
      <c r="CJ46" s="12">
        <f t="shared" ref="CJ46:CJ49" si="121">AL46</f>
        <v>1.0109089810226037</v>
      </c>
      <c r="CK46" s="12">
        <f t="shared" ref="CK46:CK49" si="122">BC46</f>
        <v>0.96083645594101297</v>
      </c>
      <c r="CL46" s="12">
        <f t="shared" ref="CL46:CL49" si="123">(U46+AL46+BC46)/3</f>
        <v>0.91580039485877762</v>
      </c>
      <c r="CM46">
        <f t="shared" ref="CM46:CM49" si="124">STDEV(CI46:CK46)</f>
        <v>0.12392419479586721</v>
      </c>
      <c r="CN46">
        <v>3</v>
      </c>
      <c r="CO46">
        <v>3.18</v>
      </c>
      <c r="CP46" s="12">
        <f t="shared" ref="CP46:CP49" si="125">(CO46*CM46)/SQRT(CN46)</f>
        <v>0.22752158177391496</v>
      </c>
      <c r="DA46" t="s">
        <v>322</v>
      </c>
      <c r="DB46" s="37">
        <v>44519</v>
      </c>
      <c r="DC46" s="32">
        <v>0.39861111111111108</v>
      </c>
      <c r="DD46">
        <f>DG45+(24*2)-2</f>
        <v>2280.2333333333327</v>
      </c>
      <c r="DE46">
        <v>8</v>
      </c>
      <c r="DF46">
        <f t="shared" si="111"/>
        <v>136821.99999999997</v>
      </c>
      <c r="DG46">
        <f t="shared" si="112"/>
        <v>2280.3666666666663</v>
      </c>
      <c r="DH46">
        <f t="shared" si="113"/>
        <v>21.999999999979991</v>
      </c>
      <c r="DI46">
        <v>2280</v>
      </c>
      <c r="DL46" t="s">
        <v>895</v>
      </c>
      <c r="DM46" t="s">
        <v>317</v>
      </c>
      <c r="DN46">
        <f t="shared" si="17"/>
        <v>11.551600000000001</v>
      </c>
      <c r="DO46" s="17">
        <f>(DN46-0.7367)/18.223</f>
        <v>0.59347527849421067</v>
      </c>
      <c r="DQ46" s="12">
        <v>3.1729723195938579E-3</v>
      </c>
      <c r="DR46" s="12">
        <v>0.66173093194729837</v>
      </c>
      <c r="DS46" s="12">
        <f t="shared" si="19"/>
        <v>0.59517420910771079</v>
      </c>
      <c r="DU46" s="12">
        <v>0.66173093194729837</v>
      </c>
      <c r="EG46">
        <f t="shared" si="20"/>
        <v>-0.25406946291147919</v>
      </c>
    </row>
    <row r="47" spans="1:137">
      <c r="A47" s="256" t="s">
        <v>317</v>
      </c>
      <c r="B47" s="14">
        <v>44510</v>
      </c>
      <c r="C47" s="12">
        <v>2065.9666666666662</v>
      </c>
      <c r="D47" s="79">
        <v>4.3769999999999998</v>
      </c>
      <c r="E47" s="79">
        <v>1.4091</v>
      </c>
      <c r="F47" s="79">
        <v>7</v>
      </c>
      <c r="G47" s="17">
        <f>(E47-0.0742)/3.3092</f>
        <v>0.40339054756436599</v>
      </c>
      <c r="H47" s="17">
        <v>0.97019999999999995</v>
      </c>
      <c r="I47" s="79">
        <v>6.7610000000000001</v>
      </c>
      <c r="J47" s="79">
        <v>35.480200000000004</v>
      </c>
      <c r="K47" s="79">
        <v>181.76820000000001</v>
      </c>
      <c r="L47" s="79">
        <v>11.307</v>
      </c>
      <c r="M47" s="79">
        <v>34.329900000000002</v>
      </c>
      <c r="N47" s="79">
        <v>118.20269999999999</v>
      </c>
      <c r="O47" s="79">
        <v>18.856999999999999</v>
      </c>
      <c r="P47" s="79">
        <v>0.82440000000000002</v>
      </c>
      <c r="Q47" s="79">
        <v>1.5703</v>
      </c>
      <c r="R47" s="383">
        <v>4.3849999999999998</v>
      </c>
      <c r="S47" s="383">
        <v>4.5636000000000001</v>
      </c>
      <c r="T47" s="383">
        <v>23.53</v>
      </c>
      <c r="U47" s="19">
        <f>(S47-0.0742)/3.3092</f>
        <v>1.3566420887223498</v>
      </c>
      <c r="V47" s="19">
        <v>2.1556999999999999</v>
      </c>
      <c r="W47" s="19"/>
      <c r="X47" s="19"/>
      <c r="Y47" s="19"/>
      <c r="Z47" s="383">
        <v>6.7649999999999997</v>
      </c>
      <c r="AA47" s="383">
        <v>35.551000000000002</v>
      </c>
      <c r="AB47" s="383">
        <v>184.73240000000001</v>
      </c>
      <c r="AC47" s="383">
        <v>11.321</v>
      </c>
      <c r="AD47" s="383">
        <v>27.289200000000001</v>
      </c>
      <c r="AE47" s="383">
        <v>94.008399999999995</v>
      </c>
      <c r="AF47" s="383">
        <v>18.858000000000001</v>
      </c>
      <c r="AG47" s="383">
        <v>0.62780000000000002</v>
      </c>
      <c r="AH47" s="383">
        <v>1.1881999999999999</v>
      </c>
      <c r="AI47" s="384">
        <v>4.3849999999999998</v>
      </c>
      <c r="AJ47" s="384">
        <v>5.1535000000000002</v>
      </c>
      <c r="AK47" s="384">
        <v>26.325299999999999</v>
      </c>
      <c r="AL47" s="16">
        <f>(AJ47-0.0742)/3.3092</f>
        <v>1.5349026955155323</v>
      </c>
      <c r="AM47" s="16">
        <v>2.3774000000000002</v>
      </c>
      <c r="AN47" s="16"/>
      <c r="AO47" s="16"/>
      <c r="AP47" s="16"/>
      <c r="AQ47" s="384">
        <v>6.7649999999999997</v>
      </c>
      <c r="AR47" s="384">
        <v>36.616199999999999</v>
      </c>
      <c r="AS47" s="384">
        <v>189.3827</v>
      </c>
      <c r="AT47" s="384">
        <v>11.318</v>
      </c>
      <c r="AU47" s="384">
        <v>27.739899999999999</v>
      </c>
      <c r="AV47" s="384">
        <v>95.500500000000002</v>
      </c>
      <c r="AW47" s="384">
        <v>18.858000000000001</v>
      </c>
      <c r="AX47" s="384">
        <v>0.75590000000000002</v>
      </c>
      <c r="AY47" s="384">
        <v>1.4377</v>
      </c>
      <c r="AZ47" s="386">
        <v>4.3840000000000003</v>
      </c>
      <c r="BA47" s="386">
        <v>4.7279999999999998</v>
      </c>
      <c r="BB47" s="386">
        <v>24.430099999999999</v>
      </c>
      <c r="BC47" s="18">
        <f>(BA47-0.0742)/3.3092</f>
        <v>1.4063217696119905</v>
      </c>
      <c r="BD47" s="18">
        <v>2.2174999999999998</v>
      </c>
      <c r="BE47" s="18"/>
      <c r="BF47" s="18"/>
      <c r="BG47" s="18"/>
      <c r="BH47" s="386">
        <v>6.7640000000000002</v>
      </c>
      <c r="BI47" s="386">
        <v>36.014099999999999</v>
      </c>
      <c r="BJ47" s="386">
        <v>186.46799999999999</v>
      </c>
      <c r="BK47" s="386">
        <v>11.321</v>
      </c>
      <c r="BL47" s="386">
        <v>27.386099999999999</v>
      </c>
      <c r="BM47" s="386">
        <v>94.296599999999998</v>
      </c>
      <c r="BN47" s="386">
        <v>18.861000000000001</v>
      </c>
      <c r="BO47" s="386">
        <v>0.64370000000000005</v>
      </c>
      <c r="BP47" s="386">
        <v>1.2206999999999999</v>
      </c>
      <c r="BQ47" s="385">
        <v>4.3710000000000004</v>
      </c>
      <c r="BR47" s="385">
        <v>0.12909999999999999</v>
      </c>
      <c r="BS47" s="385">
        <v>0.57040000000000002</v>
      </c>
      <c r="BT47" s="23">
        <f>(BR47-0.0742)/3.3092</f>
        <v>1.6590112413876461E-2</v>
      </c>
      <c r="BU47" s="23">
        <v>0.48909999999999998</v>
      </c>
      <c r="BV47" s="23"/>
      <c r="BW47" s="23"/>
      <c r="BX47" s="23"/>
      <c r="BY47" s="385">
        <v>6.7670000000000003</v>
      </c>
      <c r="BZ47" s="385">
        <v>36.423299999999998</v>
      </c>
      <c r="CA47" s="385">
        <v>189.2475</v>
      </c>
      <c r="CB47" s="385">
        <v>11.321</v>
      </c>
      <c r="CC47" s="385">
        <v>28.067599999999999</v>
      </c>
      <c r="CD47" s="385">
        <v>96.422499999999999</v>
      </c>
      <c r="CE47" s="385">
        <v>18.856999999999999</v>
      </c>
      <c r="CF47" s="385">
        <v>0.81369999999999998</v>
      </c>
      <c r="CG47" s="385">
        <v>1.5459000000000001</v>
      </c>
      <c r="CI47" s="12">
        <f t="shared" si="120"/>
        <v>1.3566420887223498</v>
      </c>
      <c r="CJ47" s="12">
        <f t="shared" si="121"/>
        <v>1.5349026955155323</v>
      </c>
      <c r="CK47" s="12">
        <f t="shared" si="122"/>
        <v>1.4063217696119905</v>
      </c>
      <c r="CL47" s="12">
        <f t="shared" si="123"/>
        <v>1.4326221846166243</v>
      </c>
      <c r="CM47">
        <f t="shared" si="124"/>
        <v>9.1994537096668799E-2</v>
      </c>
      <c r="CN47">
        <v>3</v>
      </c>
      <c r="CO47">
        <v>3.18</v>
      </c>
      <c r="CP47" s="12">
        <f t="shared" si="125"/>
        <v>0.16889956500642289</v>
      </c>
      <c r="DA47" t="s">
        <v>323</v>
      </c>
      <c r="DB47" s="37">
        <v>44522</v>
      </c>
      <c r="DC47" s="32">
        <v>0.18958333333333333</v>
      </c>
      <c r="DD47">
        <f>DG46+(24*3)+7</f>
        <v>2359.3666666666663</v>
      </c>
      <c r="DE47">
        <v>-1</v>
      </c>
      <c r="DF47">
        <f t="shared" si="111"/>
        <v>141560.99999999997</v>
      </c>
      <c r="DG47">
        <f t="shared" si="112"/>
        <v>2359.3499999999995</v>
      </c>
      <c r="DH47">
        <f t="shared" si="113"/>
        <v>20.999999999967258</v>
      </c>
      <c r="DI47">
        <v>2359</v>
      </c>
      <c r="DM47" t="s">
        <v>317</v>
      </c>
      <c r="DN47">
        <f t="shared" si="17"/>
        <v>7</v>
      </c>
      <c r="DO47" s="17">
        <f>(DN47-0.7367)/18.223</f>
        <v>0.34370301267628822</v>
      </c>
      <c r="DQ47" s="12">
        <v>1.6590112413876461E-2</v>
      </c>
      <c r="DR47" s="12">
        <v>0.40339054756436599</v>
      </c>
      <c r="DS47" s="12">
        <f t="shared" si="19"/>
        <v>0.5537526603730738</v>
      </c>
      <c r="DU47" s="12">
        <v>0.40339054756436599</v>
      </c>
      <c r="EG47">
        <f t="shared" si="20"/>
        <v>-1.0292316370522581</v>
      </c>
    </row>
    <row r="48" spans="1:137">
      <c r="A48" s="256" t="s">
        <v>325</v>
      </c>
      <c r="B48" s="207">
        <v>44512</v>
      </c>
      <c r="C48" s="12">
        <v>2114.1333333333328</v>
      </c>
      <c r="D48" s="79">
        <v>4.3680000000000003</v>
      </c>
      <c r="E48" s="79">
        <v>1.431</v>
      </c>
      <c r="F48" s="79">
        <v>6.4577</v>
      </c>
      <c r="G48" s="17">
        <f>(E48+0.3104)/3.4039</f>
        <v>0.51158964716942334</v>
      </c>
      <c r="H48" s="17">
        <v>0.97840000000000005</v>
      </c>
      <c r="I48" s="79">
        <v>6.6909999999999998</v>
      </c>
      <c r="J48" s="79">
        <v>35.933399999999999</v>
      </c>
      <c r="K48" s="79">
        <v>184.21539999999999</v>
      </c>
      <c r="L48" s="79">
        <v>11.098000000000001</v>
      </c>
      <c r="M48" s="79">
        <v>35.960700000000003</v>
      </c>
      <c r="N48" s="79">
        <v>121.00700000000001</v>
      </c>
      <c r="O48" s="79">
        <v>18.408000000000001</v>
      </c>
      <c r="P48" s="79">
        <v>0.78839999999999999</v>
      </c>
      <c r="Q48" s="79">
        <v>1.4793000000000001</v>
      </c>
      <c r="R48" s="383">
        <v>4.3710000000000004</v>
      </c>
      <c r="S48" s="383">
        <v>4.1620999999999997</v>
      </c>
      <c r="T48" s="383">
        <v>17.744599999999998</v>
      </c>
      <c r="U48" s="19">
        <f t="shared" ref="U48:U49" si="126">(S48+0.3104)/3.4039</f>
        <v>1.31393401686301</v>
      </c>
      <c r="V48" s="19">
        <v>2.0047999999999999</v>
      </c>
      <c r="W48" s="19"/>
      <c r="X48" s="19"/>
      <c r="Y48" s="19"/>
      <c r="Z48" s="383">
        <v>6.6909999999999998</v>
      </c>
      <c r="AA48" s="383">
        <v>36.472299999999997</v>
      </c>
      <c r="AB48" s="383">
        <v>186.5258</v>
      </c>
      <c r="AC48" s="383">
        <v>11.101000000000001</v>
      </c>
      <c r="AD48" s="383">
        <v>31.176200000000001</v>
      </c>
      <c r="AE48" s="383">
        <v>104.8056</v>
      </c>
      <c r="AF48" s="383">
        <v>18.405000000000001</v>
      </c>
      <c r="AG48" s="383">
        <v>0.7248</v>
      </c>
      <c r="AH48" s="383">
        <v>1.3593999999999999</v>
      </c>
      <c r="AI48" s="384">
        <v>4.3680000000000003</v>
      </c>
      <c r="AJ48" s="384">
        <v>3.1381000000000001</v>
      </c>
      <c r="AK48" s="384">
        <v>14.9566</v>
      </c>
      <c r="AL48" s="16">
        <f t="shared" ref="AL48:AL49" si="127">(AJ48+0.3104)/3.4039</f>
        <v>1.0131026175857105</v>
      </c>
      <c r="AM48" s="16">
        <v>1.62</v>
      </c>
      <c r="AN48" s="16"/>
      <c r="AO48" s="16"/>
      <c r="AP48" s="16"/>
      <c r="AQ48" s="384">
        <v>6.694</v>
      </c>
      <c r="AR48" s="384">
        <v>35.925199999999997</v>
      </c>
      <c r="AS48" s="384">
        <v>184.56909999999999</v>
      </c>
      <c r="AT48" s="384">
        <v>11.103999999999999</v>
      </c>
      <c r="AU48" s="384">
        <v>31.1784</v>
      </c>
      <c r="AV48" s="384">
        <v>104.84869999999999</v>
      </c>
      <c r="AW48" s="384">
        <v>18.408000000000001</v>
      </c>
      <c r="AX48" s="384">
        <v>0.66910000000000003</v>
      </c>
      <c r="AY48" s="384">
        <v>1.2537</v>
      </c>
      <c r="AZ48" s="386">
        <v>4.3710000000000004</v>
      </c>
      <c r="BA48" s="386">
        <v>4.5662000000000003</v>
      </c>
      <c r="BB48" s="386">
        <v>20.856999999999999</v>
      </c>
      <c r="BC48" s="18">
        <f t="shared" ref="BC48:BC49" si="128">(BA48+0.3104)/3.4039</f>
        <v>1.4326507829254678</v>
      </c>
      <c r="BD48" s="18">
        <v>2.1566999999999998</v>
      </c>
      <c r="BE48" s="18"/>
      <c r="BF48" s="18"/>
      <c r="BG48" s="18"/>
      <c r="BH48" s="386">
        <v>6.6879999999999997</v>
      </c>
      <c r="BI48" s="386">
        <v>36.233699999999999</v>
      </c>
      <c r="BJ48" s="386">
        <v>184.0617</v>
      </c>
      <c r="BK48" s="386">
        <v>11.098000000000001</v>
      </c>
      <c r="BL48" s="386">
        <v>31.015000000000001</v>
      </c>
      <c r="BM48" s="386">
        <v>104.2265</v>
      </c>
      <c r="BN48" s="386">
        <v>18.401</v>
      </c>
      <c r="BO48" s="386">
        <v>0.68810000000000004</v>
      </c>
      <c r="BP48" s="386">
        <v>1.2909999999999999</v>
      </c>
      <c r="BQ48" s="385">
        <v>4.3609999999999998</v>
      </c>
      <c r="BR48" s="385">
        <v>0.11799999999999999</v>
      </c>
      <c r="BS48" s="385">
        <v>0.47799999999999998</v>
      </c>
      <c r="BT48" s="23">
        <f t="shared" ref="BT48:BT49" si="129">(BR48+0.3104)/3.4039</f>
        <v>0.1258556361820265</v>
      </c>
      <c r="BU48" s="23">
        <v>0.4849</v>
      </c>
      <c r="BV48" s="23"/>
      <c r="BW48" s="23"/>
      <c r="BX48" s="23"/>
      <c r="BY48" s="385">
        <v>6.694</v>
      </c>
      <c r="BZ48" s="385">
        <v>35.681699999999999</v>
      </c>
      <c r="CA48" s="385">
        <v>181.73580000000001</v>
      </c>
      <c r="CB48" s="385">
        <v>11.131</v>
      </c>
      <c r="CC48" s="385">
        <v>15.5297</v>
      </c>
      <c r="CD48" s="385">
        <v>52.613300000000002</v>
      </c>
      <c r="CE48" s="385">
        <v>18.408000000000001</v>
      </c>
      <c r="CF48" s="385">
        <v>0.78649999999999998</v>
      </c>
      <c r="CG48" s="385">
        <v>1.4722</v>
      </c>
      <c r="CI48" s="12">
        <f t="shared" si="120"/>
        <v>1.31393401686301</v>
      </c>
      <c r="CJ48" s="12">
        <f t="shared" si="121"/>
        <v>1.0131026175857105</v>
      </c>
      <c r="CK48" s="12">
        <f t="shared" si="122"/>
        <v>1.4326507829254678</v>
      </c>
      <c r="CL48" s="12">
        <f t="shared" si="123"/>
        <v>1.2532291391247294</v>
      </c>
      <c r="CM48">
        <f t="shared" si="124"/>
        <v>0.21626136362259318</v>
      </c>
      <c r="CN48">
        <v>3</v>
      </c>
      <c r="CO48">
        <v>3.18</v>
      </c>
      <c r="CP48" s="12">
        <f t="shared" si="125"/>
        <v>0.39705020967896676</v>
      </c>
      <c r="DA48" t="s">
        <v>350</v>
      </c>
      <c r="DB48" s="37">
        <v>44524</v>
      </c>
      <c r="DC48" s="32">
        <v>0.18680555555555556</v>
      </c>
      <c r="DD48">
        <f>DG47+(24*2)</f>
        <v>2407.3499999999995</v>
      </c>
      <c r="DE48">
        <v>-4</v>
      </c>
      <c r="DF48">
        <f t="shared" si="111"/>
        <v>144436.99999999997</v>
      </c>
      <c r="DG48">
        <f t="shared" si="112"/>
        <v>2407.2833333333328</v>
      </c>
      <c r="DH48">
        <f t="shared" si="113"/>
        <v>16.999999999970896</v>
      </c>
      <c r="DI48">
        <v>2407</v>
      </c>
      <c r="DL48" t="s">
        <v>896</v>
      </c>
      <c r="DM48" t="s">
        <v>325</v>
      </c>
      <c r="DN48">
        <f t="shared" si="17"/>
        <v>6.4577</v>
      </c>
      <c r="DO48" s="17">
        <f>(DN48+2.1254)/16.406</f>
        <v>0.52316835304157017</v>
      </c>
      <c r="DQ48" s="12">
        <v>0.1258556361820265</v>
      </c>
      <c r="DR48" s="12">
        <v>0.51158964716942334</v>
      </c>
      <c r="DS48" s="12">
        <f t="shared" si="19"/>
        <v>0.53775823619691288</v>
      </c>
      <c r="DT48" s="12">
        <f>DR48-DS48</f>
        <v>-2.6168589027489531E-2</v>
      </c>
      <c r="DU48" s="12">
        <v>0.51158964716942334</v>
      </c>
      <c r="EG48">
        <f t="shared" si="20"/>
        <v>-0.7416394919553061</v>
      </c>
    </row>
    <row r="49" spans="1:137">
      <c r="A49" s="256" t="s">
        <v>325</v>
      </c>
      <c r="B49" s="14">
        <v>44515</v>
      </c>
      <c r="C49" s="12">
        <v>2186.0666666666662</v>
      </c>
      <c r="D49" s="79">
        <v>4.3639999999999999</v>
      </c>
      <c r="E49" s="79">
        <v>1.5804</v>
      </c>
      <c r="F49" s="79">
        <v>6.75</v>
      </c>
      <c r="G49" s="17">
        <f>(E49+0.3104)/3.4039</f>
        <v>0.55548047827491998</v>
      </c>
      <c r="H49" s="17">
        <v>1.0345</v>
      </c>
      <c r="I49" s="79">
        <v>6.6840000000000002</v>
      </c>
      <c r="J49" s="79">
        <v>35.815899999999999</v>
      </c>
      <c r="K49" s="79">
        <v>180.584</v>
      </c>
      <c r="L49" s="79">
        <v>11.093999999999999</v>
      </c>
      <c r="M49" s="79">
        <v>35.314399999999999</v>
      </c>
      <c r="N49" s="79">
        <v>119.1026</v>
      </c>
      <c r="O49" s="79">
        <v>18.404</v>
      </c>
      <c r="P49" s="79">
        <v>0.77759999999999996</v>
      </c>
      <c r="Q49" s="79">
        <v>1.4612000000000001</v>
      </c>
      <c r="R49" s="383">
        <v>4.3680000000000003</v>
      </c>
      <c r="S49" s="383">
        <v>4.0251999999999999</v>
      </c>
      <c r="T49" s="383">
        <v>17.232299999999999</v>
      </c>
      <c r="U49" s="19">
        <f t="shared" si="126"/>
        <v>1.2737154440494725</v>
      </c>
      <c r="V49" s="19">
        <v>1.9534</v>
      </c>
      <c r="W49" s="19"/>
      <c r="X49" s="19"/>
      <c r="Y49" s="19"/>
      <c r="Z49" s="383">
        <v>6.6879999999999997</v>
      </c>
      <c r="AA49" s="383">
        <v>36.175400000000003</v>
      </c>
      <c r="AB49" s="383">
        <v>184.01320000000001</v>
      </c>
      <c r="AC49" s="383">
        <v>11.093999999999999</v>
      </c>
      <c r="AD49" s="383">
        <v>31.001999999999999</v>
      </c>
      <c r="AE49" s="383">
        <v>104.2261</v>
      </c>
      <c r="AF49" s="383">
        <v>18.398</v>
      </c>
      <c r="AG49" s="383">
        <v>0.75439999999999996</v>
      </c>
      <c r="AH49" s="383">
        <v>1.4137</v>
      </c>
      <c r="AI49" s="384">
        <v>4.367</v>
      </c>
      <c r="AJ49" s="384">
        <v>4.2080000000000002</v>
      </c>
      <c r="AK49" s="384">
        <v>18.143699999999999</v>
      </c>
      <c r="AL49" s="16">
        <f t="shared" si="127"/>
        <v>1.3274185493110842</v>
      </c>
      <c r="AM49" s="16">
        <v>2.0221</v>
      </c>
      <c r="AN49" s="16"/>
      <c r="AO49" s="16"/>
      <c r="AP49" s="16"/>
      <c r="AQ49" s="384">
        <v>6.6870000000000003</v>
      </c>
      <c r="AR49" s="384">
        <v>36.342799999999997</v>
      </c>
      <c r="AS49" s="384">
        <v>184.73439999999999</v>
      </c>
      <c r="AT49" s="384">
        <v>11.097</v>
      </c>
      <c r="AU49" s="384">
        <v>31.149000000000001</v>
      </c>
      <c r="AV49" s="384">
        <v>104.73990000000001</v>
      </c>
      <c r="AW49" s="384">
        <v>18.404</v>
      </c>
      <c r="AX49" s="384">
        <v>0.76019999999999999</v>
      </c>
      <c r="AY49" s="384">
        <v>1.4220999999999999</v>
      </c>
      <c r="AZ49" s="386">
        <v>4.3710000000000004</v>
      </c>
      <c r="BA49" s="386">
        <v>4.6032000000000002</v>
      </c>
      <c r="BB49" s="386">
        <v>21.054400000000001</v>
      </c>
      <c r="BC49" s="18">
        <f t="shared" si="128"/>
        <v>1.4435206674696672</v>
      </c>
      <c r="BD49" s="18">
        <v>2.1705999999999999</v>
      </c>
      <c r="BE49" s="18"/>
      <c r="BF49" s="18"/>
      <c r="BG49" s="18"/>
      <c r="BH49" s="386">
        <v>6.6879999999999997</v>
      </c>
      <c r="BI49" s="386">
        <v>35.868400000000001</v>
      </c>
      <c r="BJ49" s="386">
        <v>181.53870000000001</v>
      </c>
      <c r="BK49" s="386">
        <v>11.098000000000001</v>
      </c>
      <c r="BL49" s="386">
        <v>30.618200000000002</v>
      </c>
      <c r="BM49" s="386">
        <v>103.06189999999999</v>
      </c>
      <c r="BN49" s="386">
        <v>18.408000000000001</v>
      </c>
      <c r="BO49" s="386">
        <v>0.7349</v>
      </c>
      <c r="BP49" s="386">
        <v>1.3782000000000001</v>
      </c>
      <c r="BQ49" s="385">
        <v>4.3639999999999999</v>
      </c>
      <c r="BR49" s="385">
        <v>0.15559999999999999</v>
      </c>
      <c r="BS49" s="385">
        <v>0.63139999999999996</v>
      </c>
      <c r="BT49" s="23">
        <f t="shared" si="129"/>
        <v>0.13690178912423984</v>
      </c>
      <c r="BU49" s="23">
        <v>0.49909999999999999</v>
      </c>
      <c r="BV49" s="23"/>
      <c r="BW49" s="23"/>
      <c r="BX49" s="23"/>
      <c r="BY49" s="385">
        <v>6.6909999999999998</v>
      </c>
      <c r="BZ49" s="385">
        <v>36.264400000000002</v>
      </c>
      <c r="CA49" s="385">
        <v>183.90539999999999</v>
      </c>
      <c r="CB49" s="385">
        <v>11.103999999999999</v>
      </c>
      <c r="CC49" s="385">
        <v>26.226900000000001</v>
      </c>
      <c r="CD49" s="385">
        <v>88.477199999999996</v>
      </c>
      <c r="CE49" s="385">
        <v>18.408000000000001</v>
      </c>
      <c r="CF49" s="385">
        <v>0.91990000000000005</v>
      </c>
      <c r="CG49" s="385">
        <v>1.7312000000000001</v>
      </c>
      <c r="CI49" s="12">
        <f t="shared" si="120"/>
        <v>1.2737154440494725</v>
      </c>
      <c r="CJ49" s="12">
        <f t="shared" si="121"/>
        <v>1.3274185493110842</v>
      </c>
      <c r="CK49" s="12">
        <f t="shared" si="122"/>
        <v>1.4435206674696672</v>
      </c>
      <c r="CL49" s="12">
        <f t="shared" si="123"/>
        <v>1.3482182202767412</v>
      </c>
      <c r="CM49">
        <f t="shared" si="124"/>
        <v>8.6792414469268372E-2</v>
      </c>
      <c r="CN49">
        <v>3</v>
      </c>
      <c r="CO49">
        <v>3.18</v>
      </c>
      <c r="CP49" s="12">
        <f t="shared" si="125"/>
        <v>0.15934860386668995</v>
      </c>
      <c r="DA49" t="s">
        <v>351</v>
      </c>
      <c r="DB49" s="37">
        <v>44529</v>
      </c>
      <c r="DC49" s="32">
        <v>7.3611111111111113E-2</v>
      </c>
      <c r="DD49">
        <f>DG48+(24*5)-3</f>
        <v>2524.2833333333328</v>
      </c>
      <c r="DE49">
        <f>46-29</f>
        <v>17</v>
      </c>
      <c r="DF49">
        <f t="shared" si="111"/>
        <v>151473.99999999997</v>
      </c>
      <c r="DG49">
        <f t="shared" si="112"/>
        <v>2524.5666666666662</v>
      </c>
      <c r="DH49">
        <f t="shared" si="113"/>
        <v>33.999999999969077</v>
      </c>
      <c r="DI49">
        <v>2524</v>
      </c>
      <c r="DM49" t="s">
        <v>325</v>
      </c>
      <c r="DN49">
        <f t="shared" si="17"/>
        <v>6.75</v>
      </c>
      <c r="DO49" s="17">
        <f>(DN49+2.1254)/16.406</f>
        <v>0.54098500548579787</v>
      </c>
      <c r="DQ49" s="12">
        <v>0.13690178912423984</v>
      </c>
      <c r="DR49" s="12">
        <v>0.55548047827491998</v>
      </c>
      <c r="DS49" s="12">
        <f t="shared" si="19"/>
        <v>0.5145377392302839</v>
      </c>
      <c r="DT49" s="12">
        <f t="shared" ref="DT49:DT58" si="130">DR49-DS49</f>
        <v>4.0942739044636078E-2</v>
      </c>
      <c r="DU49" s="12">
        <v>0.55548047827491998</v>
      </c>
      <c r="EG49">
        <f t="shared" si="20"/>
        <v>-0.79273774200182123</v>
      </c>
    </row>
    <row r="50" spans="1:137">
      <c r="A50" s="256" t="s">
        <v>335</v>
      </c>
      <c r="B50" s="14">
        <v>44517</v>
      </c>
      <c r="C50" s="12">
        <v>2234.2333333333327</v>
      </c>
      <c r="D50" s="79">
        <v>4.3810000000000002</v>
      </c>
      <c r="E50" s="79">
        <v>2.1574</v>
      </c>
      <c r="F50" s="79">
        <v>7.3178999999999998</v>
      </c>
      <c r="G50" s="17">
        <f>(E50-0.0771)/3.304</f>
        <v>0.62963075060532681</v>
      </c>
      <c r="H50" s="17">
        <v>1.2514000000000001</v>
      </c>
      <c r="I50" s="79">
        <v>6.7009999999999996</v>
      </c>
      <c r="J50" s="79">
        <v>37.587600000000002</v>
      </c>
      <c r="K50" s="79">
        <v>190.92760000000001</v>
      </c>
      <c r="L50" s="79">
        <v>11.108000000000001</v>
      </c>
      <c r="M50" s="79">
        <v>36.5075</v>
      </c>
      <c r="N50" s="79">
        <v>124.3252</v>
      </c>
      <c r="O50" s="79">
        <v>18.457999999999998</v>
      </c>
      <c r="P50" s="79">
        <v>0.82440000000000002</v>
      </c>
      <c r="Q50" s="79">
        <v>1.5589</v>
      </c>
      <c r="R50" s="383">
        <v>4.3810000000000002</v>
      </c>
      <c r="S50" s="383">
        <v>4.8243</v>
      </c>
      <c r="T50" s="383">
        <v>19.113600000000002</v>
      </c>
      <c r="U50" s="19">
        <f>(S50-0.0771)/3.304</f>
        <v>1.4368038740920099</v>
      </c>
      <c r="V50" s="19">
        <v>2.2536999999999998</v>
      </c>
      <c r="W50" s="19"/>
      <c r="X50" s="19"/>
      <c r="Y50" s="19"/>
      <c r="Z50" s="383">
        <v>6.7050000000000001</v>
      </c>
      <c r="AA50" s="383">
        <v>38.294499999999999</v>
      </c>
      <c r="AB50" s="383">
        <v>194.41669999999999</v>
      </c>
      <c r="AC50" s="383">
        <v>11.108000000000001</v>
      </c>
      <c r="AD50" s="383">
        <v>33.422400000000003</v>
      </c>
      <c r="AE50" s="383">
        <v>113.3685</v>
      </c>
      <c r="AF50" s="383">
        <v>18.451000000000001</v>
      </c>
      <c r="AG50" s="383">
        <v>0.67200000000000004</v>
      </c>
      <c r="AH50" s="383">
        <v>1.2688999999999999</v>
      </c>
      <c r="AI50" s="384">
        <v>4.3810000000000002</v>
      </c>
      <c r="AJ50" s="384">
        <v>4.7789000000000001</v>
      </c>
      <c r="AK50" s="384">
        <v>19.194700000000001</v>
      </c>
      <c r="AL50" s="16">
        <f>(AJ50-0.0771)/3.304</f>
        <v>1.4230629539951576</v>
      </c>
      <c r="AM50" s="16">
        <v>2.2366000000000001</v>
      </c>
      <c r="AN50" s="16"/>
      <c r="AO50" s="16"/>
      <c r="AP50" s="16"/>
      <c r="AQ50" s="384">
        <v>6.7009999999999996</v>
      </c>
      <c r="AR50" s="384">
        <v>38.634500000000003</v>
      </c>
      <c r="AS50" s="384">
        <v>195.78</v>
      </c>
      <c r="AT50" s="384">
        <v>11.108000000000001</v>
      </c>
      <c r="AU50" s="384">
        <v>34.001199999999997</v>
      </c>
      <c r="AV50" s="384">
        <v>115.17319999999999</v>
      </c>
      <c r="AW50" s="384">
        <v>18.454000000000001</v>
      </c>
      <c r="AX50" s="384">
        <v>0.64680000000000004</v>
      </c>
      <c r="AY50" s="384">
        <v>1.2108000000000001</v>
      </c>
      <c r="AZ50" s="386">
        <v>4.3810000000000002</v>
      </c>
      <c r="BA50" s="386">
        <v>5.1032999999999999</v>
      </c>
      <c r="BB50" s="386">
        <v>21.887899999999998</v>
      </c>
      <c r="BC50" s="18">
        <f>(BA50-0.0771)/3.304</f>
        <v>1.5212469733656175</v>
      </c>
      <c r="BD50" s="18">
        <v>2.3584999999999998</v>
      </c>
      <c r="BE50" s="18"/>
      <c r="BF50" s="18"/>
      <c r="BG50" s="18"/>
      <c r="BH50" s="386">
        <v>6.7009999999999996</v>
      </c>
      <c r="BI50" s="386">
        <v>38.639800000000001</v>
      </c>
      <c r="BJ50" s="386">
        <v>194.52930000000001</v>
      </c>
      <c r="BK50" s="386">
        <v>11.105</v>
      </c>
      <c r="BL50" s="386">
        <v>33.849699999999999</v>
      </c>
      <c r="BM50" s="386">
        <v>114.6798</v>
      </c>
      <c r="BN50" s="386">
        <v>18.448</v>
      </c>
      <c r="BO50" s="386">
        <v>0.65710000000000002</v>
      </c>
      <c r="BP50" s="386">
        <v>1.2404999999999999</v>
      </c>
      <c r="BQ50" s="385">
        <v>4.3739999999999997</v>
      </c>
      <c r="BR50" s="385">
        <v>0.10489999999999999</v>
      </c>
      <c r="BS50" s="385">
        <v>0.3881</v>
      </c>
      <c r="BT50" s="23">
        <f>(BR50-0.0771)/3.304</f>
        <v>8.4140435835351069E-3</v>
      </c>
      <c r="BU50" s="23">
        <v>0.48</v>
      </c>
      <c r="BV50" s="23"/>
      <c r="BW50" s="23"/>
      <c r="BX50" s="23"/>
      <c r="BY50" s="385">
        <v>6.7080000000000002</v>
      </c>
      <c r="BZ50" s="385">
        <v>38.940800000000003</v>
      </c>
      <c r="CA50" s="385">
        <v>195.4614</v>
      </c>
      <c r="CB50" s="385">
        <v>11.114000000000001</v>
      </c>
      <c r="CC50" s="385">
        <v>33.291600000000003</v>
      </c>
      <c r="CD50" s="385">
        <v>112.761</v>
      </c>
      <c r="CE50" s="385">
        <v>18.463999999999999</v>
      </c>
      <c r="CF50" s="385">
        <v>0.58309999999999995</v>
      </c>
      <c r="CG50" s="385">
        <v>1.1032</v>
      </c>
      <c r="CI50" s="12">
        <f t="shared" ref="CI50:CI52" si="131">U50</f>
        <v>1.4368038740920099</v>
      </c>
      <c r="CJ50" s="12">
        <f t="shared" ref="CJ50:CJ52" si="132">AL50</f>
        <v>1.4230629539951576</v>
      </c>
      <c r="CK50" s="12">
        <f t="shared" ref="CK50:CK52" si="133">BC50</f>
        <v>1.5212469733656175</v>
      </c>
      <c r="CL50" s="12">
        <f t="shared" ref="CL50:CL52" si="134">(U50+AL50+BC50)/3</f>
        <v>1.4603712671509284</v>
      </c>
      <c r="CM50">
        <f t="shared" ref="CM50:CM52" si="135">STDEV(CI50:CK50)</f>
        <v>5.3165702540546575E-2</v>
      </c>
      <c r="CN50">
        <v>3</v>
      </c>
      <c r="CO50">
        <v>3.18</v>
      </c>
      <c r="CP50" s="12">
        <f t="shared" ref="CP50:CP52" si="136">(CO50*CM50)/SQRT(CN50)</f>
        <v>9.7610839901539639E-2</v>
      </c>
      <c r="DA50" t="s">
        <v>427</v>
      </c>
      <c r="DB50" s="37">
        <v>44533</v>
      </c>
      <c r="DC50" s="32">
        <v>0.43333333333333335</v>
      </c>
      <c r="DD50">
        <f>DG49+(24*4)-3</f>
        <v>2617.5666666666662</v>
      </c>
      <c r="DE50">
        <v>-22</v>
      </c>
      <c r="DF50">
        <f t="shared" ref="DF50:DF53" si="137">(DD50*60)+DE50</f>
        <v>157031.99999999997</v>
      </c>
      <c r="DG50">
        <f t="shared" ref="DG50:DG53" si="138">DF50/60</f>
        <v>2617.1999999999994</v>
      </c>
      <c r="DH50">
        <f t="shared" ref="DH50:DH53" si="139">(DG50-DI50)*60</f>
        <v>11.999999999961801</v>
      </c>
      <c r="DI50">
        <v>2617</v>
      </c>
      <c r="DL50" t="s">
        <v>897</v>
      </c>
      <c r="DM50" t="s">
        <v>335</v>
      </c>
      <c r="DN50">
        <f t="shared" si="17"/>
        <v>7.3178999999999998</v>
      </c>
      <c r="DO50" s="17">
        <f>(DN50+1.6798)/14.777</f>
        <v>0.60889896460715975</v>
      </c>
      <c r="DQ50" s="12">
        <v>8.4140435835351069E-3</v>
      </c>
      <c r="DR50" s="12">
        <v>0.62963075060532681</v>
      </c>
      <c r="DS50" s="12">
        <f t="shared" si="19"/>
        <v>0.49941252609742559</v>
      </c>
      <c r="DT50" s="12">
        <f t="shared" si="130"/>
        <v>0.13021822450790121</v>
      </c>
      <c r="DU50" s="12">
        <v>0.62963075060532681</v>
      </c>
      <c r="EG50">
        <f t="shared" si="20"/>
        <v>-0.83074051654560155</v>
      </c>
    </row>
    <row r="51" spans="1:137">
      <c r="A51" s="256" t="s">
        <v>335</v>
      </c>
      <c r="B51" s="14">
        <v>44519</v>
      </c>
      <c r="C51" s="12">
        <v>2280.3666666666663</v>
      </c>
      <c r="D51" s="79">
        <v>4.3769999999999998</v>
      </c>
      <c r="E51" s="79">
        <v>2.3974000000000002</v>
      </c>
      <c r="F51" s="79">
        <v>10.2133</v>
      </c>
      <c r="G51" s="17">
        <f t="shared" ref="G51:G52" si="140">(E51-0.0771)/3.304</f>
        <v>0.70226997578692496</v>
      </c>
      <c r="H51" s="17">
        <v>1.3415999999999999</v>
      </c>
      <c r="I51" s="79">
        <v>6.6669999999999998</v>
      </c>
      <c r="J51" s="79">
        <v>19.4754</v>
      </c>
      <c r="K51" s="79">
        <v>99.458299999999994</v>
      </c>
      <c r="L51" s="79">
        <v>11.134</v>
      </c>
      <c r="M51" s="79">
        <v>18.329499999999999</v>
      </c>
      <c r="N51" s="79">
        <v>63.273400000000002</v>
      </c>
      <c r="O51" s="79">
        <v>18.451000000000001</v>
      </c>
      <c r="P51" s="79">
        <v>0.74890000000000001</v>
      </c>
      <c r="Q51" s="79">
        <v>1.4179999999999999</v>
      </c>
      <c r="R51" s="383">
        <v>4.3780000000000001</v>
      </c>
      <c r="S51" s="383">
        <v>4.6703000000000001</v>
      </c>
      <c r="T51" s="383">
        <v>20.4848</v>
      </c>
      <c r="U51" s="19">
        <f t="shared" ref="U51:U52" si="141">(S51-0.0771)/3.304</f>
        <v>1.3901937046004844</v>
      </c>
      <c r="V51" s="19">
        <v>2.1958000000000002</v>
      </c>
      <c r="W51" s="19"/>
      <c r="X51" s="19"/>
      <c r="Y51" s="19"/>
      <c r="Z51" s="383">
        <v>6.6079999999999997</v>
      </c>
      <c r="AA51" s="383">
        <v>36.726199999999999</v>
      </c>
      <c r="AB51" s="383">
        <v>184.9255</v>
      </c>
      <c r="AC51" s="383">
        <v>11.108000000000001</v>
      </c>
      <c r="AD51" s="383">
        <v>31.6067</v>
      </c>
      <c r="AE51" s="383">
        <v>107.16200000000001</v>
      </c>
      <c r="AF51" s="383">
        <v>18.445</v>
      </c>
      <c r="AG51" s="383">
        <v>0.6633</v>
      </c>
      <c r="AH51" s="383">
        <v>1.2539</v>
      </c>
      <c r="AI51" s="384">
        <v>4.3810000000000002</v>
      </c>
      <c r="AJ51" s="384">
        <v>4.7872000000000003</v>
      </c>
      <c r="AK51" s="384">
        <v>21.0657</v>
      </c>
      <c r="AL51" s="16">
        <f t="shared" ref="AL51:AL52" si="142">(AJ51-0.0771)/3.304</f>
        <v>1.425575060532688</v>
      </c>
      <c r="AM51" s="16">
        <v>2.2397</v>
      </c>
      <c r="AN51" s="16"/>
      <c r="AO51" s="16"/>
      <c r="AP51" s="16"/>
      <c r="AQ51" s="384">
        <v>6.6980000000000004</v>
      </c>
      <c r="AR51" s="384">
        <v>36.844200000000001</v>
      </c>
      <c r="AS51" s="384">
        <v>185.4315</v>
      </c>
      <c r="AT51" s="384">
        <v>11.108000000000001</v>
      </c>
      <c r="AU51" s="384">
        <v>31.295000000000002</v>
      </c>
      <c r="AV51" s="384">
        <v>106.077</v>
      </c>
      <c r="AW51" s="384">
        <v>18.448</v>
      </c>
      <c r="AX51" s="384">
        <v>0.68330000000000002</v>
      </c>
      <c r="AY51" s="384">
        <v>1.2931999999999999</v>
      </c>
      <c r="AZ51" s="386">
        <v>4.3810000000000002</v>
      </c>
      <c r="BA51" s="386">
        <v>5.0831999999999997</v>
      </c>
      <c r="BB51" s="386">
        <v>22.462299999999999</v>
      </c>
      <c r="BC51" s="18">
        <f t="shared" ref="BC51:BC52" si="143">(BA51-0.0771)/3.304</f>
        <v>1.5151634382566588</v>
      </c>
      <c r="BD51" s="18">
        <v>2.351</v>
      </c>
      <c r="BE51" s="18"/>
      <c r="BF51" s="18"/>
      <c r="BG51" s="18"/>
      <c r="BH51" s="386">
        <v>6.694</v>
      </c>
      <c r="BI51" s="386">
        <v>35.866199999999999</v>
      </c>
      <c r="BJ51" s="386">
        <v>180.9562</v>
      </c>
      <c r="BK51" s="386">
        <v>11.103999999999999</v>
      </c>
      <c r="BL51" s="386">
        <v>30.720600000000001</v>
      </c>
      <c r="BM51" s="386">
        <v>104.1825</v>
      </c>
      <c r="BN51" s="386">
        <v>18.437999999999999</v>
      </c>
      <c r="BO51" s="386">
        <v>0.72760000000000002</v>
      </c>
      <c r="BP51" s="386">
        <v>1.3794</v>
      </c>
      <c r="BQ51" s="385">
        <v>4.3680000000000003</v>
      </c>
      <c r="BR51" s="385">
        <v>0.19850000000000001</v>
      </c>
      <c r="BS51" s="385">
        <v>0.45910000000000001</v>
      </c>
      <c r="BT51" s="23">
        <f t="shared" ref="BT51:BT52" si="144">(BR51-0.0771)/3.304</f>
        <v>3.6743341404358358E-2</v>
      </c>
      <c r="BU51" s="23">
        <v>0.51519999999999999</v>
      </c>
      <c r="BV51" s="23"/>
      <c r="BW51" s="23"/>
      <c r="BX51" s="23"/>
      <c r="BY51" s="385">
        <v>6.694</v>
      </c>
      <c r="BZ51" s="385">
        <v>35.6</v>
      </c>
      <c r="CA51" s="385">
        <v>180.88509999999999</v>
      </c>
      <c r="CB51" s="385">
        <v>11.103999999999999</v>
      </c>
      <c r="CC51" s="385">
        <v>30.496500000000001</v>
      </c>
      <c r="CD51" s="385">
        <v>103.29170000000001</v>
      </c>
      <c r="CE51" s="385">
        <v>18.440999999999999</v>
      </c>
      <c r="CF51" s="385">
        <v>0.63049999999999995</v>
      </c>
      <c r="CG51" s="385">
        <v>1.1958</v>
      </c>
      <c r="CI51" s="12">
        <f t="shared" si="131"/>
        <v>1.3901937046004844</v>
      </c>
      <c r="CJ51" s="12">
        <f t="shared" si="132"/>
        <v>1.425575060532688</v>
      </c>
      <c r="CK51" s="12">
        <f t="shared" si="133"/>
        <v>1.5151634382566588</v>
      </c>
      <c r="CL51" s="12">
        <f t="shared" si="134"/>
        <v>1.4436440677966103</v>
      </c>
      <c r="CM51">
        <f t="shared" si="135"/>
        <v>6.4414480904153457E-2</v>
      </c>
      <c r="CN51">
        <v>3</v>
      </c>
      <c r="CO51">
        <v>3.18</v>
      </c>
      <c r="CP51" s="12">
        <f t="shared" si="136"/>
        <v>0.11826330288931916</v>
      </c>
      <c r="DA51" t="s">
        <v>426</v>
      </c>
      <c r="DB51" s="37">
        <v>44536</v>
      </c>
      <c r="DC51" s="32">
        <v>0.45902777777777781</v>
      </c>
      <c r="DD51">
        <f>DG50+(24*3)-1</f>
        <v>2688.1999999999994</v>
      </c>
      <c r="DE51">
        <v>23</v>
      </c>
      <c r="DF51">
        <f t="shared" si="137"/>
        <v>161314.99999999997</v>
      </c>
      <c r="DG51">
        <f t="shared" si="138"/>
        <v>2688.583333333333</v>
      </c>
      <c r="DH51">
        <f t="shared" si="139"/>
        <v>34.99999999998181</v>
      </c>
      <c r="DI51">
        <v>2688</v>
      </c>
      <c r="DM51" t="s">
        <v>335</v>
      </c>
      <c r="DN51">
        <f t="shared" si="17"/>
        <v>10.2133</v>
      </c>
      <c r="DO51" s="17">
        <f t="shared" ref="DO51:DO52" si="145">(DN51+1.6798)/14.777</f>
        <v>0.80483860052784739</v>
      </c>
      <c r="DQ51" s="12">
        <v>3.6743341404358358E-2</v>
      </c>
      <c r="DR51" s="12">
        <v>0.70226997578692496</v>
      </c>
      <c r="DS51" s="12">
        <f t="shared" si="19"/>
        <v>0.48522847975399674</v>
      </c>
      <c r="DT51" s="12">
        <f t="shared" si="130"/>
        <v>0.21704149603292822</v>
      </c>
      <c r="DU51" s="12">
        <v>0.70226997578692496</v>
      </c>
      <c r="EG51">
        <f t="shared" si="20"/>
        <v>-0.74137409200968551</v>
      </c>
    </row>
    <row r="52" spans="1:137">
      <c r="A52" s="256" t="s">
        <v>335</v>
      </c>
      <c r="B52" s="14">
        <v>44522</v>
      </c>
      <c r="C52" s="12">
        <v>2359.3499999999995</v>
      </c>
      <c r="D52" s="79">
        <v>4.3780000000000001</v>
      </c>
      <c r="E52" s="79">
        <v>3.2963</v>
      </c>
      <c r="F52" s="79">
        <v>13.6755</v>
      </c>
      <c r="G52" s="17">
        <f t="shared" si="140"/>
        <v>0.97433414043583533</v>
      </c>
      <c r="H52" s="17">
        <v>1.6794</v>
      </c>
      <c r="I52" s="79">
        <v>6.6379999999999999</v>
      </c>
      <c r="J52" s="79">
        <v>6.6239999999999997</v>
      </c>
      <c r="K52" s="79">
        <v>32.760199999999998</v>
      </c>
      <c r="L52" s="79">
        <v>11.148</v>
      </c>
      <c r="M52" s="79">
        <v>6.3085000000000004</v>
      </c>
      <c r="N52" s="79">
        <v>21.523900000000001</v>
      </c>
      <c r="O52" s="79">
        <v>18.434000000000001</v>
      </c>
      <c r="P52" s="79">
        <v>1.1193</v>
      </c>
      <c r="Q52" s="79">
        <v>2.1309999999999998</v>
      </c>
      <c r="R52" s="383">
        <v>4.3810000000000002</v>
      </c>
      <c r="S52" s="383">
        <v>5.5761000000000003</v>
      </c>
      <c r="T52" s="383">
        <v>24.078199999999999</v>
      </c>
      <c r="U52" s="19">
        <f t="shared" si="141"/>
        <v>1.6643462469733659</v>
      </c>
      <c r="V52" s="19">
        <v>2.5362</v>
      </c>
      <c r="W52" s="19"/>
      <c r="X52" s="19"/>
      <c r="Y52" s="19"/>
      <c r="Z52" s="383">
        <v>6.6479999999999997</v>
      </c>
      <c r="AA52" s="383">
        <v>8.3783999999999992</v>
      </c>
      <c r="AB52" s="383">
        <v>44.028300000000002</v>
      </c>
      <c r="AC52" s="383">
        <v>11.151</v>
      </c>
      <c r="AD52" s="383">
        <v>4.7160000000000002</v>
      </c>
      <c r="AE52" s="383">
        <v>15.8027</v>
      </c>
      <c r="AF52" s="383">
        <v>18.440999999999999</v>
      </c>
      <c r="AG52" s="383">
        <v>0.63080000000000003</v>
      </c>
      <c r="AH52" s="383">
        <v>1.1911</v>
      </c>
      <c r="AI52" s="384">
        <v>4.3810000000000002</v>
      </c>
      <c r="AJ52" s="384">
        <v>5.6593999999999998</v>
      </c>
      <c r="AK52" s="384">
        <v>24.535499999999999</v>
      </c>
      <c r="AL52" s="16">
        <f t="shared" si="142"/>
        <v>1.6895581113801454</v>
      </c>
      <c r="AM52" s="16">
        <v>2.5674999999999999</v>
      </c>
      <c r="AN52" s="16"/>
      <c r="AO52" s="16"/>
      <c r="AP52" s="16"/>
      <c r="AQ52" s="384">
        <v>6.6479999999999997</v>
      </c>
      <c r="AR52" s="384">
        <v>8.4686000000000003</v>
      </c>
      <c r="AS52" s="384">
        <v>44.525599999999997</v>
      </c>
      <c r="AT52" s="384">
        <v>11.151</v>
      </c>
      <c r="AU52" s="384">
        <v>4.6965000000000003</v>
      </c>
      <c r="AV52" s="384">
        <v>15.749000000000001</v>
      </c>
      <c r="AW52" s="384">
        <v>18.440999999999999</v>
      </c>
      <c r="AX52" s="384">
        <v>0.6482</v>
      </c>
      <c r="AY52" s="384">
        <v>1.2205999999999999</v>
      </c>
      <c r="AZ52" s="386">
        <v>4.3810000000000002</v>
      </c>
      <c r="BA52" s="386">
        <v>5.6486000000000001</v>
      </c>
      <c r="BB52" s="386">
        <v>24.414300000000001</v>
      </c>
      <c r="BC52" s="18">
        <f t="shared" si="143"/>
        <v>1.6862893462469735</v>
      </c>
      <c r="BD52" s="18">
        <v>2.5634999999999999</v>
      </c>
      <c r="BE52" s="18"/>
      <c r="BF52" s="18"/>
      <c r="BG52" s="18"/>
      <c r="BH52" s="386">
        <v>6.6440000000000001</v>
      </c>
      <c r="BI52" s="386">
        <v>8.3438999999999997</v>
      </c>
      <c r="BJ52" s="386">
        <v>43.710099999999997</v>
      </c>
      <c r="BK52" s="386">
        <v>11.144</v>
      </c>
      <c r="BL52" s="386">
        <v>5.0822000000000003</v>
      </c>
      <c r="BM52" s="386">
        <v>17.079499999999999</v>
      </c>
      <c r="BN52" s="386">
        <v>18.431000000000001</v>
      </c>
      <c r="BO52" s="386">
        <v>0.61170000000000002</v>
      </c>
      <c r="BP52" s="386">
        <v>1.1634</v>
      </c>
      <c r="BQ52" s="385">
        <v>4.3680000000000003</v>
      </c>
      <c r="BR52" s="385">
        <v>0.13020000000000001</v>
      </c>
      <c r="BS52" s="385">
        <v>0.62109999999999999</v>
      </c>
      <c r="BT52" s="23">
        <f t="shared" si="144"/>
        <v>1.6071428571428573E-2</v>
      </c>
      <c r="BU52" s="23">
        <v>0.48949999999999999</v>
      </c>
      <c r="BV52" s="23"/>
      <c r="BW52" s="23"/>
      <c r="BX52" s="23"/>
      <c r="BY52" s="385">
        <v>6.6509999999999998</v>
      </c>
      <c r="BZ52" s="385">
        <v>8.3455999999999992</v>
      </c>
      <c r="CA52" s="385">
        <v>44.096800000000002</v>
      </c>
      <c r="CB52" s="385">
        <v>11.144</v>
      </c>
      <c r="CC52" s="385">
        <v>6.0351999999999997</v>
      </c>
      <c r="CD52" s="385">
        <v>20.3734</v>
      </c>
      <c r="CE52" s="385">
        <v>18.437999999999999</v>
      </c>
      <c r="CF52" s="385">
        <v>0.56950000000000001</v>
      </c>
      <c r="CG52" s="385">
        <v>1.0794999999999999</v>
      </c>
      <c r="CI52" s="12">
        <f t="shared" si="131"/>
        <v>1.6643462469733659</v>
      </c>
      <c r="CJ52" s="12">
        <f t="shared" si="132"/>
        <v>1.6895581113801454</v>
      </c>
      <c r="CK52" s="12">
        <f t="shared" si="133"/>
        <v>1.6862893462469735</v>
      </c>
      <c r="CL52" s="12">
        <f t="shared" si="134"/>
        <v>1.6800645682001616</v>
      </c>
      <c r="CM52">
        <f t="shared" si="135"/>
        <v>1.371023059673006E-2</v>
      </c>
      <c r="CN52">
        <v>3</v>
      </c>
      <c r="CO52">
        <v>3.18</v>
      </c>
      <c r="CP52" s="12">
        <f t="shared" si="136"/>
        <v>2.5171624935643143E-2</v>
      </c>
      <c r="DA52" t="s">
        <v>425</v>
      </c>
      <c r="DB52" s="37">
        <v>44538</v>
      </c>
      <c r="DC52" s="32">
        <v>0.47569444444444442</v>
      </c>
      <c r="DD52">
        <f>DG51+(24*2)</f>
        <v>2736.583333333333</v>
      </c>
      <c r="DE52">
        <v>24</v>
      </c>
      <c r="DF52">
        <f t="shared" si="137"/>
        <v>164218.99999999997</v>
      </c>
      <c r="DG52">
        <f t="shared" si="138"/>
        <v>2736.9833333333327</v>
      </c>
      <c r="DH52">
        <f t="shared" si="139"/>
        <v>58.999999999959982</v>
      </c>
      <c r="DI52">
        <v>2736</v>
      </c>
      <c r="DM52" t="s">
        <v>335</v>
      </c>
      <c r="DN52">
        <f t="shared" si="17"/>
        <v>13.6755</v>
      </c>
      <c r="DO52" s="17">
        <f t="shared" si="145"/>
        <v>1.0391351424511064</v>
      </c>
      <c r="DQ52" s="12">
        <v>1.6071428571428573E-2</v>
      </c>
      <c r="DR52" s="12">
        <v>0.97433414043583533</v>
      </c>
      <c r="DS52" s="12">
        <f t="shared" si="19"/>
        <v>0.46159784316979646</v>
      </c>
      <c r="DT52" s="12">
        <f t="shared" si="130"/>
        <v>0.51273629726603887</v>
      </c>
      <c r="DU52" s="12">
        <f>DR52-0.43</f>
        <v>0.54433414043583528</v>
      </c>
      <c r="EG52">
        <f t="shared" si="20"/>
        <v>-0.70573042776432626</v>
      </c>
    </row>
    <row r="53" spans="1:137" ht="31">
      <c r="A53" s="256" t="s">
        <v>357</v>
      </c>
      <c r="B53" s="14">
        <v>44524</v>
      </c>
      <c r="C53" s="12">
        <v>2407.2833333333328</v>
      </c>
      <c r="D53" s="79">
        <v>4.4109999999999996</v>
      </c>
      <c r="E53" s="79">
        <v>3.3978999999999999</v>
      </c>
      <c r="F53" s="79">
        <v>7.3794000000000004</v>
      </c>
      <c r="G53" s="17">
        <f>(E53+0.0454)/3.3186</f>
        <v>1.0375760863014523</v>
      </c>
      <c r="H53" s="17">
        <v>1.7176</v>
      </c>
      <c r="I53" s="79">
        <v>6.548</v>
      </c>
      <c r="J53" s="79">
        <v>6.4824000000000002</v>
      </c>
      <c r="K53" s="79">
        <v>33.420900000000003</v>
      </c>
      <c r="L53" s="79">
        <v>10.930999999999999</v>
      </c>
      <c r="M53" s="79">
        <v>6.274</v>
      </c>
      <c r="N53" s="79">
        <v>22.347200000000001</v>
      </c>
      <c r="O53" s="79">
        <v>18.018000000000001</v>
      </c>
      <c r="P53" s="79">
        <v>0.7137</v>
      </c>
      <c r="Q53" s="79">
        <v>1.4159999999999999</v>
      </c>
      <c r="R53" s="383">
        <v>4.4180000000000001</v>
      </c>
      <c r="S53" s="383">
        <v>5.9249000000000001</v>
      </c>
      <c r="T53" s="383">
        <v>13.691800000000001</v>
      </c>
      <c r="U53" s="19">
        <f t="shared" ref="U53:U55" si="146">(S53+0.0454)/3.3186</f>
        <v>1.7990417645995298</v>
      </c>
      <c r="V53" s="19">
        <v>2.6673</v>
      </c>
      <c r="W53" s="19"/>
      <c r="X53" s="19"/>
      <c r="Y53" s="19"/>
      <c r="Z53" s="383" t="s">
        <v>359</v>
      </c>
      <c r="AA53" s="383" t="s">
        <v>360</v>
      </c>
      <c r="AB53" s="383" t="s">
        <v>361</v>
      </c>
      <c r="AC53" s="383">
        <v>10.941000000000001</v>
      </c>
      <c r="AD53" s="383">
        <v>0.54349999999999998</v>
      </c>
      <c r="AE53" s="383">
        <v>1.8305</v>
      </c>
      <c r="AF53" s="383">
        <v>18.021000000000001</v>
      </c>
      <c r="AG53" s="383">
        <v>0.53149999999999997</v>
      </c>
      <c r="AH53" s="383">
        <v>1.0525</v>
      </c>
      <c r="AI53" s="384">
        <v>4.4210000000000003</v>
      </c>
      <c r="AJ53" s="384">
        <v>6.6458000000000004</v>
      </c>
      <c r="AK53" s="384">
        <v>15.5466</v>
      </c>
      <c r="AL53" s="16">
        <f t="shared" ref="AL53:AL55" si="147">(AJ53+0.0454)/3.3186</f>
        <v>2.0162719218947749</v>
      </c>
      <c r="AM53" s="16">
        <v>2.9382999999999999</v>
      </c>
      <c r="AN53" s="16"/>
      <c r="AO53" s="16"/>
      <c r="AP53" s="16"/>
      <c r="AQ53" s="384" t="s">
        <v>362</v>
      </c>
      <c r="AR53" s="384" t="s">
        <v>363</v>
      </c>
      <c r="AS53" s="384" t="s">
        <v>364</v>
      </c>
      <c r="AT53" s="384">
        <v>10.944000000000001</v>
      </c>
      <c r="AU53" s="384">
        <v>4.07E-2</v>
      </c>
      <c r="AV53" s="384">
        <v>0.13739999999999999</v>
      </c>
      <c r="AW53" s="384">
        <v>18.021000000000001</v>
      </c>
      <c r="AX53" s="384">
        <v>0.71989999999999998</v>
      </c>
      <c r="AY53" s="384">
        <v>1.4219999999999999</v>
      </c>
      <c r="AZ53" s="386">
        <v>4.4139999999999997</v>
      </c>
      <c r="BA53" s="386">
        <v>5.7763</v>
      </c>
      <c r="BB53" s="386">
        <v>13.084899999999999</v>
      </c>
      <c r="BC53" s="18">
        <f t="shared" ref="BC53:BC55" si="148">(BA53+0.0454)/3.3186</f>
        <v>1.7542638462002049</v>
      </c>
      <c r="BD53" s="18">
        <v>2.6114999999999999</v>
      </c>
      <c r="BE53" s="18"/>
      <c r="BF53" s="18"/>
      <c r="BG53" s="18"/>
      <c r="BH53" s="386" t="s">
        <v>365</v>
      </c>
      <c r="BI53" s="386" t="s">
        <v>366</v>
      </c>
      <c r="BJ53" s="386" t="s">
        <v>367</v>
      </c>
      <c r="BK53" s="386">
        <v>10.941000000000001</v>
      </c>
      <c r="BL53" s="386">
        <v>0.99909999999999999</v>
      </c>
      <c r="BM53" s="386">
        <v>3.3843999999999999</v>
      </c>
      <c r="BN53" s="386">
        <v>18.021000000000001</v>
      </c>
      <c r="BO53" s="386">
        <v>0.53910000000000002</v>
      </c>
      <c r="BP53" s="386">
        <v>1.0591999999999999</v>
      </c>
      <c r="BQ53" s="385">
        <v>0</v>
      </c>
      <c r="BR53" s="385">
        <v>0</v>
      </c>
      <c r="BS53" s="385">
        <v>0</v>
      </c>
      <c r="BT53" s="23">
        <v>0</v>
      </c>
      <c r="BU53" s="23">
        <v>0</v>
      </c>
      <c r="BV53" s="23"/>
      <c r="BW53" s="23"/>
      <c r="BX53" s="23"/>
      <c r="BY53" s="385" t="s">
        <v>368</v>
      </c>
      <c r="BZ53" s="385" t="s">
        <v>369</v>
      </c>
      <c r="CA53" s="385" t="s">
        <v>370</v>
      </c>
      <c r="CB53" s="385">
        <v>10.938000000000001</v>
      </c>
      <c r="CC53" s="385">
        <v>1.1886000000000001</v>
      </c>
      <c r="CD53" s="385">
        <v>4.0316999999999998</v>
      </c>
      <c r="CE53" s="385">
        <v>18.021000000000001</v>
      </c>
      <c r="CF53" s="385">
        <v>0.37469999999999998</v>
      </c>
      <c r="CG53" s="385">
        <v>0.74299999999999999</v>
      </c>
      <c r="CI53" s="12">
        <f>U53</f>
        <v>1.7990417645995298</v>
      </c>
      <c r="CJ53" s="12">
        <f>AL53</f>
        <v>2.0162719218947749</v>
      </c>
      <c r="CK53" s="12">
        <f>BC53</f>
        <v>1.7542638462002049</v>
      </c>
      <c r="CL53" s="12">
        <f>(U53+AL53+BC53)/3</f>
        <v>1.8565258442315031</v>
      </c>
      <c r="CM53">
        <f t="shared" ref="CM53:CM57" si="149">STDEV(CI53:CK53)</f>
        <v>0.14014411329286783</v>
      </c>
      <c r="CN53">
        <v>3</v>
      </c>
      <c r="CO53">
        <v>3.18</v>
      </c>
      <c r="CP53" s="12">
        <f t="shared" ref="CP53:CP57" si="150">(CO53*CM53)/SQRT(CN53)</f>
        <v>0.25730092808123212</v>
      </c>
      <c r="DA53" t="s">
        <v>873</v>
      </c>
      <c r="DB53" s="37">
        <v>44908</v>
      </c>
      <c r="DC53" s="32">
        <v>0.48194444444444445</v>
      </c>
      <c r="DD53">
        <f>DG52+(24*5)</f>
        <v>2856.9833333333327</v>
      </c>
      <c r="DE53">
        <v>9</v>
      </c>
      <c r="DF53">
        <f t="shared" si="137"/>
        <v>171427.99999999997</v>
      </c>
      <c r="DG53">
        <f t="shared" si="138"/>
        <v>2857.1333333333328</v>
      </c>
      <c r="DH53">
        <f t="shared" si="139"/>
        <v>7.9999999999654392</v>
      </c>
      <c r="DI53">
        <v>2857</v>
      </c>
      <c r="DL53" t="s">
        <v>898</v>
      </c>
      <c r="DM53" t="s">
        <v>357</v>
      </c>
      <c r="DN53">
        <f t="shared" si="17"/>
        <v>7.3794000000000004</v>
      </c>
      <c r="DO53" s="17">
        <f>(DN53+1.1304)/8.9343</f>
        <v>0.95248648467143482</v>
      </c>
      <c r="DQ53" s="12">
        <v>1.3680467667088532E-2</v>
      </c>
      <c r="DR53" s="12">
        <v>1.0375760863014523</v>
      </c>
      <c r="DS53" s="12">
        <f t="shared" si="19"/>
        <v>0.4476396246998755</v>
      </c>
      <c r="DT53" s="12">
        <f t="shared" si="130"/>
        <v>0.58993646160157676</v>
      </c>
      <c r="DU53" s="12">
        <f t="shared" ref="DU53:DU58" si="151">DR53-0.43</f>
        <v>0.60757608630145232</v>
      </c>
      <c r="DX53" t="s">
        <v>898</v>
      </c>
      <c r="DY53">
        <v>13.691800000000001</v>
      </c>
      <c r="DZ53">
        <f>(DY53+1.1304)/8.934</f>
        <v>1.659077680770092</v>
      </c>
      <c r="EG53">
        <f t="shared" si="20"/>
        <v>-0.81894975793005098</v>
      </c>
    </row>
    <row r="54" spans="1:137" ht="31">
      <c r="A54" s="256" t="s">
        <v>357</v>
      </c>
      <c r="B54" s="14">
        <v>44529</v>
      </c>
      <c r="C54" s="12">
        <v>2524.5666666666662</v>
      </c>
      <c r="D54" s="79">
        <v>4.4039999999999999</v>
      </c>
      <c r="E54" s="79">
        <v>2.9325999999999999</v>
      </c>
      <c r="F54" s="79">
        <v>6.7954999999999997</v>
      </c>
      <c r="G54" s="17">
        <f t="shared" ref="G54:G55" si="152">(E54+0.0454)/3.3186</f>
        <v>0.8973663593081419</v>
      </c>
      <c r="H54" s="17">
        <v>1.5427</v>
      </c>
      <c r="I54" s="79">
        <v>6.5279999999999996</v>
      </c>
      <c r="J54" s="79">
        <v>0.85309999999999997</v>
      </c>
      <c r="K54" s="79">
        <v>3.4195000000000002</v>
      </c>
      <c r="L54" s="79">
        <v>10.941000000000001</v>
      </c>
      <c r="M54" s="79">
        <v>0.95550000000000002</v>
      </c>
      <c r="N54" s="79">
        <v>3.2778</v>
      </c>
      <c r="O54" s="79">
        <v>18.024000000000001</v>
      </c>
      <c r="P54" s="79">
        <v>0.56910000000000005</v>
      </c>
      <c r="Q54" s="79">
        <v>1.1217999999999999</v>
      </c>
      <c r="R54" s="383">
        <v>4.4109999999999996</v>
      </c>
      <c r="S54" s="383">
        <v>5.5012999999999996</v>
      </c>
      <c r="T54" s="383">
        <v>13.0474</v>
      </c>
      <c r="U54" s="19">
        <f t="shared" si="146"/>
        <v>1.671397577291629</v>
      </c>
      <c r="V54" s="19">
        <v>2.5081000000000002</v>
      </c>
      <c r="W54" s="19"/>
      <c r="X54" s="19"/>
      <c r="Y54" s="19"/>
      <c r="Z54" s="383" t="s">
        <v>371</v>
      </c>
      <c r="AA54" s="383" t="s">
        <v>372</v>
      </c>
      <c r="AB54" s="383" t="s">
        <v>373</v>
      </c>
      <c r="AC54" s="383">
        <v>10.938000000000001</v>
      </c>
      <c r="AD54" s="383">
        <v>0.68179999999999996</v>
      </c>
      <c r="AE54" s="383">
        <v>2.2989999999999999</v>
      </c>
      <c r="AF54" s="383">
        <v>18.013999999999999</v>
      </c>
      <c r="AG54" s="383">
        <v>0.49430000000000002</v>
      </c>
      <c r="AH54" s="383">
        <v>0.97419999999999995</v>
      </c>
      <c r="AI54" s="384">
        <v>4.4139999999999997</v>
      </c>
      <c r="AJ54" s="384">
        <v>6.6204999999999998</v>
      </c>
      <c r="AK54" s="384">
        <v>16.209599999999998</v>
      </c>
      <c r="AL54" s="16">
        <f t="shared" si="147"/>
        <v>2.008648225155186</v>
      </c>
      <c r="AM54" s="16">
        <v>2.9287000000000001</v>
      </c>
      <c r="AN54" s="16"/>
      <c r="AO54" s="16"/>
      <c r="AP54" s="16"/>
      <c r="AQ54" s="384" t="s">
        <v>374</v>
      </c>
      <c r="AR54" s="384" t="s">
        <v>375</v>
      </c>
      <c r="AS54" s="384" t="s">
        <v>376</v>
      </c>
      <c r="AT54" s="384">
        <v>10.938000000000001</v>
      </c>
      <c r="AU54" s="384">
        <v>0.41199999999999998</v>
      </c>
      <c r="AV54" s="384">
        <v>1.3837999999999999</v>
      </c>
      <c r="AW54" s="384">
        <v>18.024000000000001</v>
      </c>
      <c r="AX54" s="384">
        <v>0.62380000000000002</v>
      </c>
      <c r="AY54" s="384">
        <v>1.2310000000000001</v>
      </c>
      <c r="AZ54" s="386">
        <v>4.4080000000000004</v>
      </c>
      <c r="BA54" s="386">
        <v>5.4259000000000004</v>
      </c>
      <c r="BB54" s="386">
        <v>12.788</v>
      </c>
      <c r="BC54" s="18">
        <f t="shared" si="148"/>
        <v>1.6486771530163322</v>
      </c>
      <c r="BD54" s="18">
        <v>2.4798</v>
      </c>
      <c r="BE54" s="18"/>
      <c r="BF54" s="18"/>
      <c r="BG54" s="18"/>
      <c r="BH54" s="386" t="s">
        <v>377</v>
      </c>
      <c r="BI54" s="386" t="s">
        <v>378</v>
      </c>
      <c r="BJ54" s="386" t="s">
        <v>379</v>
      </c>
      <c r="BK54" s="386">
        <v>10.938000000000001</v>
      </c>
      <c r="BL54" s="386">
        <v>1.0459000000000001</v>
      </c>
      <c r="BM54" s="386">
        <v>3.5270000000000001</v>
      </c>
      <c r="BN54" s="386">
        <v>18.024999999999999</v>
      </c>
      <c r="BO54" s="386">
        <v>0.44979999999999998</v>
      </c>
      <c r="BP54" s="386">
        <v>0.88519999999999999</v>
      </c>
      <c r="BQ54" s="4">
        <v>4.6609999999999996</v>
      </c>
      <c r="BR54" s="4">
        <v>1.0702</v>
      </c>
      <c r="BS54" s="4">
        <v>2.0655000000000001</v>
      </c>
      <c r="BT54" s="23">
        <f t="shared" ref="BT54:BT55" si="153">(BR54+0.0454)/3.3186</f>
        <v>0.33616585307057195</v>
      </c>
      <c r="BU54" s="4">
        <v>0.84279999999999999</v>
      </c>
      <c r="BV54" s="4">
        <v>5.0510000000000002</v>
      </c>
      <c r="BW54" s="4">
        <v>4.1914999999999996</v>
      </c>
      <c r="BX54" s="4">
        <v>22.303799999999999</v>
      </c>
      <c r="BY54" s="385" t="s">
        <v>380</v>
      </c>
      <c r="BZ54" s="385" t="s">
        <v>381</v>
      </c>
      <c r="CA54" s="385" t="s">
        <v>382</v>
      </c>
      <c r="CB54" s="385">
        <v>10.933999999999999</v>
      </c>
      <c r="CC54" s="385">
        <v>1.8755999999999999</v>
      </c>
      <c r="CD54" s="385">
        <v>6.4118000000000004</v>
      </c>
      <c r="CE54" s="385">
        <v>18.016999999999999</v>
      </c>
      <c r="CF54" s="385">
        <v>0.37830000000000003</v>
      </c>
      <c r="CG54" s="385">
        <v>0.74670000000000003</v>
      </c>
      <c r="CI54" s="12">
        <f>U54</f>
        <v>1.671397577291629</v>
      </c>
      <c r="CJ54" s="12">
        <f>AL54</f>
        <v>2.008648225155186</v>
      </c>
      <c r="CK54" s="12">
        <f>BC54</f>
        <v>1.6486771530163322</v>
      </c>
      <c r="CL54" s="12">
        <f>(U54+AL54+BC54)/3</f>
        <v>1.7762409851543826</v>
      </c>
      <c r="CM54">
        <f t="shared" si="149"/>
        <v>0.20159091825626899</v>
      </c>
      <c r="CN54">
        <v>3</v>
      </c>
      <c r="CO54">
        <v>3.18</v>
      </c>
      <c r="CP54" s="12">
        <f t="shared" si="150"/>
        <v>0.37011565553018155</v>
      </c>
      <c r="DM54" t="s">
        <v>357</v>
      </c>
      <c r="DN54">
        <f t="shared" si="17"/>
        <v>6.7954999999999997</v>
      </c>
      <c r="DO54" s="17">
        <f t="shared" ref="DO54:DO55" si="154">(DN54+1.1304)/8.9343</f>
        <v>0.88713161635494653</v>
      </c>
      <c r="DQ54" s="12">
        <v>0.19143614777315734</v>
      </c>
      <c r="DR54" s="12">
        <v>0.8973663593081419</v>
      </c>
      <c r="DS54" s="12">
        <f t="shared" si="19"/>
        <v>0.41462565138503571</v>
      </c>
      <c r="DT54" s="12">
        <f t="shared" si="130"/>
        <v>0.48274070792310619</v>
      </c>
      <c r="DU54" s="12">
        <f t="shared" si="151"/>
        <v>0.46736635930814191</v>
      </c>
      <c r="DY54">
        <v>13.0474</v>
      </c>
      <c r="DZ54">
        <f t="shared" ref="DZ54:DZ55" si="155">(DY54+1.1304)/8.934</f>
        <v>1.5869487351690172</v>
      </c>
      <c r="EG54">
        <f t="shared" si="20"/>
        <v>-0.87887462584624065</v>
      </c>
    </row>
    <row r="55" spans="1:137" ht="31">
      <c r="A55" s="256" t="s">
        <v>357</v>
      </c>
      <c r="B55" s="14">
        <v>44533</v>
      </c>
      <c r="C55" s="12">
        <v>2617.1999999999994</v>
      </c>
      <c r="D55" s="79">
        <v>4.3979999999999997</v>
      </c>
      <c r="E55" s="79">
        <v>3.3412000000000002</v>
      </c>
      <c r="F55" s="79">
        <v>8.7749000000000006</v>
      </c>
      <c r="G55" s="17">
        <f t="shared" si="152"/>
        <v>1.0204905683119387</v>
      </c>
      <c r="H55" s="17">
        <v>1.6962999999999999</v>
      </c>
      <c r="I55" s="79" t="s">
        <v>392</v>
      </c>
      <c r="J55" s="79" t="s">
        <v>393</v>
      </c>
      <c r="K55" s="79" t="s">
        <v>394</v>
      </c>
      <c r="L55" s="79">
        <v>10.930999999999999</v>
      </c>
      <c r="M55" s="79">
        <v>1.3355999999999999</v>
      </c>
      <c r="N55" s="79">
        <v>4.5838999999999999</v>
      </c>
      <c r="O55" s="79">
        <v>18.010999999999999</v>
      </c>
      <c r="P55" s="79">
        <v>0.70589999999999997</v>
      </c>
      <c r="Q55" s="79">
        <v>1.3925000000000001</v>
      </c>
      <c r="R55" s="383">
        <v>4.4039999999999999</v>
      </c>
      <c r="S55" s="383">
        <v>6.5175999999999998</v>
      </c>
      <c r="T55" s="383">
        <v>16.967600000000001</v>
      </c>
      <c r="U55" s="19">
        <f t="shared" si="146"/>
        <v>1.9776411739890314</v>
      </c>
      <c r="V55" s="19">
        <v>2.8900999999999999</v>
      </c>
      <c r="W55" s="19"/>
      <c r="X55" s="19"/>
      <c r="Y55" s="19"/>
      <c r="Z55" s="383" t="s">
        <v>395</v>
      </c>
      <c r="AA55" s="383" t="s">
        <v>396</v>
      </c>
      <c r="AB55" s="383" t="s">
        <v>397</v>
      </c>
      <c r="AC55" s="383">
        <v>10.930999999999999</v>
      </c>
      <c r="AD55" s="383">
        <v>0.95069999999999999</v>
      </c>
      <c r="AE55" s="383">
        <v>3.2136999999999998</v>
      </c>
      <c r="AF55" s="383">
        <v>18.013999999999999</v>
      </c>
      <c r="AG55" s="383">
        <v>0.44840000000000002</v>
      </c>
      <c r="AH55" s="383">
        <v>0.88560000000000005</v>
      </c>
      <c r="AI55" s="384">
        <v>4.431</v>
      </c>
      <c r="AJ55" s="384">
        <v>8.6300000000000008</v>
      </c>
      <c r="AK55" s="384">
        <v>21.150400000000001</v>
      </c>
      <c r="AL55" s="16">
        <f t="shared" si="147"/>
        <v>2.6141746519616711</v>
      </c>
      <c r="AM55" s="16">
        <v>3.6840000000000002</v>
      </c>
      <c r="AN55" s="16"/>
      <c r="AO55" s="16"/>
      <c r="AP55" s="16"/>
      <c r="AQ55" s="384">
        <v>6.5439999999999996</v>
      </c>
      <c r="AR55" s="384">
        <v>1.72</v>
      </c>
      <c r="AS55" s="384">
        <v>7.1200999999999999</v>
      </c>
      <c r="AT55" s="384">
        <v>10.930999999999999</v>
      </c>
      <c r="AU55" s="384">
        <v>1.0569</v>
      </c>
      <c r="AV55" s="384">
        <v>3.5528</v>
      </c>
      <c r="AW55" s="384">
        <v>18.013999999999999</v>
      </c>
      <c r="AX55" s="384">
        <v>1.4831000000000001</v>
      </c>
      <c r="AY55" s="384">
        <v>2.9434999999999998</v>
      </c>
      <c r="AZ55" s="386">
        <v>4.4009999999999998</v>
      </c>
      <c r="BA55" s="386">
        <v>5.8457999999999997</v>
      </c>
      <c r="BB55" s="386">
        <v>15.1365</v>
      </c>
      <c r="BC55" s="18">
        <f t="shared" si="148"/>
        <v>1.7752064123425539</v>
      </c>
      <c r="BD55" s="18">
        <v>2.6375999999999999</v>
      </c>
      <c r="BE55" s="18"/>
      <c r="BF55" s="18"/>
      <c r="BG55" s="18"/>
      <c r="BH55" s="386" t="s">
        <v>402</v>
      </c>
      <c r="BI55" s="386" t="s">
        <v>403</v>
      </c>
      <c r="BJ55" s="386" t="s">
        <v>404</v>
      </c>
      <c r="BK55" s="386">
        <v>10.930999999999999</v>
      </c>
      <c r="BL55" s="386">
        <v>0.77480000000000004</v>
      </c>
      <c r="BM55" s="386">
        <v>2.6073</v>
      </c>
      <c r="BN55" s="386">
        <v>18.018000000000001</v>
      </c>
      <c r="BO55" s="386">
        <v>0.49249999999999999</v>
      </c>
      <c r="BP55" s="386">
        <v>0.96919999999999995</v>
      </c>
      <c r="BQ55" s="385">
        <v>4.3780000000000001</v>
      </c>
      <c r="BR55" s="385">
        <v>6.8500000000000005E-2</v>
      </c>
      <c r="BS55" s="385">
        <v>0.19439999999999999</v>
      </c>
      <c r="BT55" s="23">
        <f t="shared" si="153"/>
        <v>3.4321701922497436E-2</v>
      </c>
      <c r="BU55" s="23">
        <v>0.46629999999999999</v>
      </c>
      <c r="BV55" s="23"/>
      <c r="BW55" s="23"/>
      <c r="BX55" s="23"/>
      <c r="BY55" s="385" t="s">
        <v>405</v>
      </c>
      <c r="BZ55" s="385" t="s">
        <v>406</v>
      </c>
      <c r="CA55" s="385" t="s">
        <v>407</v>
      </c>
      <c r="CB55" s="385">
        <v>10.923999999999999</v>
      </c>
      <c r="CC55" s="385">
        <v>0.64419999999999999</v>
      </c>
      <c r="CD55" s="385">
        <v>2.1610999999999998</v>
      </c>
      <c r="CE55" s="385">
        <v>18.007999999999999</v>
      </c>
      <c r="CF55" s="385">
        <v>0.32419999999999999</v>
      </c>
      <c r="CG55" s="385">
        <v>0.63749999999999996</v>
      </c>
      <c r="CI55" s="12">
        <f>U55</f>
        <v>1.9776411739890314</v>
      </c>
      <c r="CJ55" s="12">
        <f>AL55</f>
        <v>2.6141746519616711</v>
      </c>
      <c r="CK55" s="12">
        <f>BC55</f>
        <v>1.7752064123425539</v>
      </c>
      <c r="CL55" s="12">
        <f>(U55+AL55+BC55)/3</f>
        <v>2.1223407460977519</v>
      </c>
      <c r="CM55">
        <f t="shared" si="149"/>
        <v>0.4378017832292791</v>
      </c>
      <c r="CN55">
        <v>3</v>
      </c>
      <c r="CO55">
        <v>3.18</v>
      </c>
      <c r="CP55" s="12">
        <f t="shared" si="150"/>
        <v>0.8037926281292096</v>
      </c>
      <c r="DM55" t="s">
        <v>357</v>
      </c>
      <c r="DN55">
        <f t="shared" si="17"/>
        <v>8.7749000000000006</v>
      </c>
      <c r="DO55" s="17">
        <f t="shared" si="154"/>
        <v>1.1086822694559171</v>
      </c>
      <c r="DQ55" s="12">
        <v>3.4321701922497436E-2</v>
      </c>
      <c r="DR55" s="12">
        <v>1.0204905683119387</v>
      </c>
      <c r="DS55" s="12">
        <f t="shared" si="19"/>
        <v>0.38961693584106616</v>
      </c>
      <c r="DT55" s="12">
        <f t="shared" si="130"/>
        <v>0.63087363247087258</v>
      </c>
      <c r="DU55" s="12">
        <f t="shared" si="151"/>
        <v>0.5904905683119388</v>
      </c>
      <c r="DY55">
        <v>16.967600000000001</v>
      </c>
      <c r="DZ55">
        <f t="shared" si="155"/>
        <v>2.0257443474367589</v>
      </c>
      <c r="EG55">
        <f t="shared" si="20"/>
        <v>-1.1018501777858134</v>
      </c>
    </row>
    <row r="56" spans="1:137">
      <c r="A56" s="256" t="s">
        <v>429</v>
      </c>
      <c r="B56" s="14">
        <v>44536</v>
      </c>
      <c r="C56" s="12">
        <v>2688.583333333333</v>
      </c>
      <c r="D56" s="79">
        <v>4.4009999999999998</v>
      </c>
      <c r="E56" s="79">
        <v>3.4138999999999999</v>
      </c>
      <c r="F56" s="79">
        <v>7.3745000000000003</v>
      </c>
      <c r="G56" s="17">
        <f>(E56+0.0666)/3.3637</f>
        <v>1.0347236673900764</v>
      </c>
      <c r="H56" s="17">
        <v>1.7236</v>
      </c>
      <c r="I56" s="79">
        <v>6.4809999999999999</v>
      </c>
      <c r="J56" s="79">
        <v>0.58520000000000005</v>
      </c>
      <c r="K56" s="79">
        <v>1.9359999999999999</v>
      </c>
      <c r="L56" s="79">
        <v>10.824</v>
      </c>
      <c r="M56" s="79">
        <v>0.97289999999999999</v>
      </c>
      <c r="N56" s="79">
        <v>3.3698000000000001</v>
      </c>
      <c r="O56" s="79">
        <v>17.631</v>
      </c>
      <c r="P56" s="79">
        <v>0.88270000000000004</v>
      </c>
      <c r="Q56" s="79">
        <v>1.7854000000000001</v>
      </c>
      <c r="R56" s="1">
        <v>4.4180000000000001</v>
      </c>
      <c r="S56" s="1">
        <v>7.0323000000000002</v>
      </c>
      <c r="T56" s="1">
        <v>16.1981</v>
      </c>
      <c r="U56" s="19">
        <f>(S56+0.0666)/3.3637</f>
        <v>2.1104438564675805</v>
      </c>
      <c r="V56" s="1">
        <v>3.0834999999999999</v>
      </c>
      <c r="W56" s="1">
        <v>5.0140000000000002</v>
      </c>
      <c r="X56" s="1">
        <v>2.3706</v>
      </c>
      <c r="Y56" s="1">
        <v>11.672800000000001</v>
      </c>
      <c r="Z56" s="383">
        <v>6.4980000000000002</v>
      </c>
      <c r="AA56" s="383">
        <v>1.3232999999999999</v>
      </c>
      <c r="AB56" s="383">
        <v>4.6135000000000002</v>
      </c>
      <c r="AC56" s="383">
        <v>10.827999999999999</v>
      </c>
      <c r="AD56" s="383">
        <v>3.27E-2</v>
      </c>
      <c r="AE56" s="383">
        <v>0.1104</v>
      </c>
      <c r="AF56" s="383">
        <v>17.628</v>
      </c>
      <c r="AG56" s="383">
        <v>0.68720000000000003</v>
      </c>
      <c r="AH56" s="383">
        <v>1.3897999999999999</v>
      </c>
      <c r="AI56" s="2">
        <v>4.4009999999999998</v>
      </c>
      <c r="AJ56" s="2">
        <v>4.8742000000000001</v>
      </c>
      <c r="AK56" s="2">
        <v>11.366899999999999</v>
      </c>
      <c r="AL56" s="16">
        <f>(AJ56+0.0666)/3.3637</f>
        <v>1.4688586972678896</v>
      </c>
      <c r="AM56" s="2">
        <v>2.2725</v>
      </c>
      <c r="AN56" s="2">
        <v>5.0039999999999996</v>
      </c>
      <c r="AO56" s="2">
        <v>1.6307</v>
      </c>
      <c r="AP56" s="2">
        <v>8.3925999999999998</v>
      </c>
      <c r="AQ56" s="384">
        <v>6.4939999999999998</v>
      </c>
      <c r="AR56" s="384">
        <v>1.1277999999999999</v>
      </c>
      <c r="AS56" s="384">
        <v>4.6534000000000004</v>
      </c>
      <c r="AW56" s="384">
        <v>17.628</v>
      </c>
      <c r="AX56" s="384">
        <v>0.48309999999999997</v>
      </c>
      <c r="AY56" s="384">
        <v>0.97319999999999995</v>
      </c>
      <c r="AZ56" s="386">
        <v>4.4050000000000002</v>
      </c>
      <c r="BA56" s="386">
        <v>6.6769999999999996</v>
      </c>
      <c r="BB56" s="386">
        <v>14.8711</v>
      </c>
      <c r="BC56" s="18">
        <f>(BA56+0.0666)/3.3637</f>
        <v>2.0048161251003358</v>
      </c>
      <c r="BD56" s="18">
        <v>2.95</v>
      </c>
      <c r="BE56" s="386">
        <v>4.9779999999999998</v>
      </c>
      <c r="BF56" s="386">
        <v>0.24060000000000001</v>
      </c>
      <c r="BG56" s="386">
        <v>1.6153</v>
      </c>
      <c r="BH56" s="386">
        <v>6.4950000000000001</v>
      </c>
      <c r="BI56" s="386">
        <v>1.2746</v>
      </c>
      <c r="BJ56" s="386">
        <v>4.3806000000000003</v>
      </c>
      <c r="BN56" s="386">
        <v>17.628</v>
      </c>
      <c r="BO56" s="386">
        <v>0.53180000000000005</v>
      </c>
      <c r="BP56" s="386">
        <v>1.0742</v>
      </c>
      <c r="BQ56" s="385">
        <v>4.6379999999999999</v>
      </c>
      <c r="BR56" s="385">
        <v>0.27210000000000001</v>
      </c>
      <c r="BS56" s="385">
        <v>0.44209999999999999</v>
      </c>
      <c r="BT56" s="23">
        <f t="shared" ref="BT56:BT57" si="156">(BR56+0.0666)/3.3637</f>
        <v>0.10069268959776437</v>
      </c>
      <c r="BU56" s="23">
        <v>0.54290000000000005</v>
      </c>
      <c r="BV56" s="23"/>
      <c r="BW56" s="23"/>
      <c r="BX56" s="23"/>
      <c r="BY56" s="385">
        <v>6.4939999999999998</v>
      </c>
      <c r="BZ56" s="385">
        <v>0.97370000000000001</v>
      </c>
      <c r="CA56" s="385">
        <v>4.0888</v>
      </c>
      <c r="CB56" s="385">
        <v>7.7309999999999999</v>
      </c>
      <c r="CC56" s="385">
        <v>9.8299999999999998E-2</v>
      </c>
      <c r="CD56" s="385">
        <v>0.44469999999999998</v>
      </c>
      <c r="CE56" s="385">
        <v>17.620999999999999</v>
      </c>
      <c r="CF56" s="385">
        <v>0.31740000000000002</v>
      </c>
      <c r="CG56" s="385">
        <v>0.63800000000000001</v>
      </c>
      <c r="CI56" s="12">
        <f>[2]Sets!O4</f>
        <v>2.8190980170645417</v>
      </c>
      <c r="CJ56" s="12">
        <f>[2]Sets!W4</f>
        <v>1.9712816244017004</v>
      </c>
      <c r="CK56" s="12">
        <f>'Set 1 IC'!BC56</f>
        <v>2.0048161251003358</v>
      </c>
      <c r="CL56" s="12">
        <f>([2]Sets!O4+[2]Sets!W4+'Set 1 IC'!BC56)/3</f>
        <v>2.2650652555221922</v>
      </c>
      <c r="CM56">
        <f t="shared" si="149"/>
        <v>0.48009932965060531</v>
      </c>
      <c r="CN56">
        <v>3</v>
      </c>
      <c r="CO56">
        <v>3.18</v>
      </c>
      <c r="CP56" s="12">
        <f t="shared" si="150"/>
        <v>0.88144981753268414</v>
      </c>
      <c r="DL56" t="s">
        <v>899</v>
      </c>
      <c r="DM56" t="s">
        <v>429</v>
      </c>
      <c r="DN56">
        <f t="shared" si="17"/>
        <v>7.3745000000000003</v>
      </c>
      <c r="DO56" s="17">
        <f>(DN56+1.49)/8.6182</f>
        <v>1.0285790536306885</v>
      </c>
      <c r="DQ56" s="12">
        <v>0.10069268959776437</v>
      </c>
      <c r="DR56" s="12">
        <v>1.0347236673900764</v>
      </c>
      <c r="DS56" s="12">
        <f t="shared" si="19"/>
        <v>0.37094183376045287</v>
      </c>
      <c r="DT56" s="12">
        <f t="shared" si="130"/>
        <v>0.66378183362962351</v>
      </c>
      <c r="DU56" s="12">
        <f t="shared" si="151"/>
        <v>0.60472366739007644</v>
      </c>
      <c r="DX56" t="s">
        <v>899</v>
      </c>
      <c r="DY56" t="s">
        <v>434</v>
      </c>
      <c r="DZ56">
        <f>(16.1981+1.49)/8.6182</f>
        <v>2.052412336682834</v>
      </c>
      <c r="EG56">
        <f t="shared" si="20"/>
        <v>-0.82664922555519238</v>
      </c>
    </row>
    <row r="57" spans="1:137">
      <c r="A57" s="256" t="s">
        <v>429</v>
      </c>
      <c r="B57" s="14">
        <v>44538</v>
      </c>
      <c r="C57" s="12">
        <v>2736.9833333333327</v>
      </c>
      <c r="D57" s="79">
        <v>4.3849999999999998</v>
      </c>
      <c r="E57" s="79">
        <v>3.6537000000000002</v>
      </c>
      <c r="F57" s="79">
        <v>8.5225000000000009</v>
      </c>
      <c r="G57" s="17">
        <f>(E57+0.0666)/3.3637</f>
        <v>1.1060142105419628</v>
      </c>
      <c r="H57" s="17">
        <v>1.8138000000000001</v>
      </c>
      <c r="I57" s="79">
        <v>6.4610000000000003</v>
      </c>
      <c r="J57" s="79">
        <v>0.9153</v>
      </c>
      <c r="K57" s="79">
        <v>2.0036999999999998</v>
      </c>
      <c r="L57" s="79">
        <v>10.815</v>
      </c>
      <c r="M57" s="79">
        <v>1.0307999999999999</v>
      </c>
      <c r="N57" s="79">
        <v>3.5369000000000002</v>
      </c>
      <c r="O57" s="79">
        <v>17.614999999999998</v>
      </c>
      <c r="P57" s="79">
        <v>0.59860000000000002</v>
      </c>
      <c r="Q57" s="79">
        <v>1.2117</v>
      </c>
      <c r="R57" s="1">
        <v>4.3879999999999999</v>
      </c>
      <c r="S57" s="1">
        <v>4.9225000000000003</v>
      </c>
      <c r="T57" s="1">
        <v>12.2981</v>
      </c>
      <c r="U57" s="19">
        <f>(S57+0.0666)/3.3637</f>
        <v>1.4832178850670394</v>
      </c>
      <c r="V57" s="1">
        <v>2.2906</v>
      </c>
      <c r="W57" s="1">
        <v>5.0179999999999998</v>
      </c>
      <c r="X57" s="1">
        <v>3.96</v>
      </c>
      <c r="Y57" s="1">
        <v>19.217300000000002</v>
      </c>
      <c r="Z57" s="383">
        <v>6.4850000000000003</v>
      </c>
      <c r="AA57" s="383">
        <v>0.71109999999999995</v>
      </c>
      <c r="AB57" s="383">
        <v>3.0468000000000002</v>
      </c>
      <c r="AC57" s="383">
        <v>10.811</v>
      </c>
      <c r="AD57" s="383">
        <v>0.1196</v>
      </c>
      <c r="AE57" s="383">
        <v>0.3851</v>
      </c>
      <c r="AF57" s="383">
        <v>17.614999999999998</v>
      </c>
      <c r="AG57" s="383">
        <v>0.38369999999999999</v>
      </c>
      <c r="AH57" s="383">
        <v>0.77459999999999996</v>
      </c>
      <c r="AI57" s="2">
        <v>4.3879999999999999</v>
      </c>
      <c r="AJ57" s="2">
        <v>5.0132000000000003</v>
      </c>
      <c r="AK57" s="2">
        <v>12.0823</v>
      </c>
      <c r="AL57" s="16">
        <f>(AJ57+0.0666)/3.3637</f>
        <v>1.5101822397954634</v>
      </c>
      <c r="AM57" s="2">
        <v>2.3247</v>
      </c>
      <c r="AN57" s="2">
        <v>5.0110000000000001</v>
      </c>
      <c r="AO57" s="2">
        <v>2.9687000000000001</v>
      </c>
      <c r="AP57" s="2">
        <v>15.374599999999999</v>
      </c>
      <c r="AQ57" s="384">
        <v>6.4850000000000003</v>
      </c>
      <c r="AR57" s="384">
        <v>0.75209999999999999</v>
      </c>
      <c r="AS57" s="384">
        <v>3.2450999999999999</v>
      </c>
      <c r="AT57" s="384">
        <v>10.811</v>
      </c>
      <c r="AU57" s="384">
        <v>0.12790000000000001</v>
      </c>
      <c r="AV57" s="384">
        <v>0.43280000000000002</v>
      </c>
      <c r="AW57" s="384">
        <v>17.614999999999998</v>
      </c>
      <c r="AX57" s="384">
        <v>0.39950000000000002</v>
      </c>
      <c r="AY57" s="384">
        <v>0.80810000000000004</v>
      </c>
      <c r="AZ57" s="3">
        <v>4.3940000000000001</v>
      </c>
      <c r="BA57" s="3">
        <v>5.7262000000000004</v>
      </c>
      <c r="BB57" s="3">
        <v>13.981</v>
      </c>
      <c r="BC57" s="18">
        <f>(BA57+0.0666)/3.3637</f>
        <v>1.7221512025448169</v>
      </c>
      <c r="BD57" s="3">
        <v>2.5926</v>
      </c>
      <c r="BE57" s="3">
        <v>5.024</v>
      </c>
      <c r="BF57" s="3">
        <v>4.5244</v>
      </c>
      <c r="BG57" s="3">
        <v>22.9114</v>
      </c>
      <c r="BH57" s="386">
        <v>6.4880000000000004</v>
      </c>
      <c r="BI57" s="386">
        <v>0.67810000000000004</v>
      </c>
      <c r="BJ57" s="386">
        <v>2.9192</v>
      </c>
      <c r="BK57" s="386">
        <v>10.814</v>
      </c>
      <c r="BL57" s="386">
        <v>0.22950000000000001</v>
      </c>
      <c r="BM57" s="386">
        <v>0.77969999999999995</v>
      </c>
      <c r="BN57" s="386">
        <v>17.617999999999999</v>
      </c>
      <c r="BO57" s="386">
        <v>0.43609999999999999</v>
      </c>
      <c r="BP57" s="386">
        <v>0.87849999999999995</v>
      </c>
      <c r="BQ57" s="4">
        <v>4.6349999999999998</v>
      </c>
      <c r="BR57" s="4">
        <v>0.40920000000000001</v>
      </c>
      <c r="BS57" s="4">
        <v>0.86599999999999999</v>
      </c>
      <c r="BT57" s="23">
        <f t="shared" si="156"/>
        <v>0.14145137794690371</v>
      </c>
      <c r="BU57" s="4">
        <v>0.59440000000000004</v>
      </c>
      <c r="BV57" s="4">
        <v>4.9779999999999998</v>
      </c>
      <c r="BW57" s="4">
        <v>0.1021</v>
      </c>
      <c r="BX57" s="4">
        <v>0.58409999999999995</v>
      </c>
      <c r="BY57" s="385">
        <v>6.4850000000000003</v>
      </c>
      <c r="BZ57" s="385">
        <v>1.2648999999999999</v>
      </c>
      <c r="CA57" s="385">
        <v>3.7021000000000002</v>
      </c>
      <c r="CB57" s="385">
        <v>10.811</v>
      </c>
      <c r="CC57" s="385">
        <v>0.1095</v>
      </c>
      <c r="CD57" s="385">
        <v>0.36849999999999999</v>
      </c>
      <c r="CE57" s="385">
        <v>17.611000000000001</v>
      </c>
      <c r="CF57" s="385">
        <v>0.20949999999999999</v>
      </c>
      <c r="CG57" s="385">
        <v>0.4219</v>
      </c>
      <c r="CI57" s="12">
        <f>[2]Sets!O5</f>
        <v>2.8428218925587889</v>
      </c>
      <c r="CJ57" s="12">
        <f>[2]Sets!W5</f>
        <v>2.4446294259297798</v>
      </c>
      <c r="CK57" s="12">
        <f>[2]Sets!AE5</f>
        <v>3.0681689805868535</v>
      </c>
      <c r="CL57" s="12">
        <f>([2]Sets!O5+[2]Sets!W5+[2]Sets!AE5)/3</f>
        <v>2.7852067663584741</v>
      </c>
      <c r="CM57">
        <f t="shared" si="149"/>
        <v>0.31573726598359292</v>
      </c>
      <c r="CN57">
        <v>3</v>
      </c>
      <c r="CO57">
        <v>3.18</v>
      </c>
      <c r="CP57" s="12">
        <f t="shared" si="150"/>
        <v>0.57968536571805984</v>
      </c>
      <c r="DM57" t="s">
        <v>429</v>
      </c>
      <c r="DN57">
        <f t="shared" si="17"/>
        <v>8.5225000000000009</v>
      </c>
      <c r="DO57" s="17">
        <f t="shared" ref="DO57" si="157">(DN57+1.49)/8.6182</f>
        <v>1.1617855236592329</v>
      </c>
      <c r="DQ57" s="12">
        <v>0.17180485774593451</v>
      </c>
      <c r="DR57" s="12">
        <v>1.1060142105419628</v>
      </c>
      <c r="DS57" s="12">
        <f t="shared" si="19"/>
        <v>0.35855953597687762</v>
      </c>
      <c r="DT57" s="12">
        <f t="shared" si="130"/>
        <v>0.74745467456508519</v>
      </c>
      <c r="DU57" s="12">
        <f t="shared" si="151"/>
        <v>0.67601421054196287</v>
      </c>
      <c r="DY57" t="s">
        <v>443</v>
      </c>
      <c r="DZ57">
        <f>(16.1981+1.49)/8.6182</f>
        <v>2.052412336682834</v>
      </c>
      <c r="EG57">
        <f t="shared" si="20"/>
        <v>-0.4658362319271438</v>
      </c>
    </row>
    <row r="58" spans="1:137" ht="31">
      <c r="A58" s="259" t="s">
        <v>458</v>
      </c>
      <c r="B58" s="14">
        <v>44543</v>
      </c>
      <c r="C58" s="12">
        <v>2857.1333333333328</v>
      </c>
      <c r="D58" s="79">
        <v>4.4409999999999998</v>
      </c>
      <c r="E58" s="79">
        <v>3.8117000000000001</v>
      </c>
      <c r="F58" s="79">
        <v>9.5724999999999998</v>
      </c>
      <c r="G58" s="17">
        <f>(E58+0.0143)/3.4405</f>
        <v>1.1120476674901905</v>
      </c>
      <c r="H58" s="17">
        <v>1.8731</v>
      </c>
      <c r="I58" s="79" t="s">
        <v>459</v>
      </c>
      <c r="J58" s="79" t="s">
        <v>460</v>
      </c>
      <c r="K58" s="79" t="s">
        <v>461</v>
      </c>
      <c r="L58" s="79">
        <v>10.941000000000001</v>
      </c>
      <c r="M58" s="79">
        <v>1.5391999999999999</v>
      </c>
      <c r="N58" s="79">
        <v>5.3385999999999996</v>
      </c>
      <c r="O58" s="79">
        <v>18.241</v>
      </c>
      <c r="P58" s="79">
        <v>0.70479999999999998</v>
      </c>
      <c r="Q58" s="79">
        <v>1.3879999999999999</v>
      </c>
      <c r="R58" s="1">
        <v>4.4450000000000003</v>
      </c>
      <c r="S58" s="1">
        <v>6.3211000000000004</v>
      </c>
      <c r="T58" s="1">
        <v>14.985099999999999</v>
      </c>
      <c r="U58" s="19">
        <f>(S58+0.0143)/3.4405</f>
        <v>1.8414183984885919</v>
      </c>
      <c r="V58" s="1">
        <v>2.8161999999999998</v>
      </c>
      <c r="W58" s="1">
        <v>5.0449999999999999</v>
      </c>
      <c r="X58" s="1">
        <v>1.2658</v>
      </c>
      <c r="Y58" s="1">
        <v>5.4362000000000004</v>
      </c>
      <c r="Z58" s="383" t="s">
        <v>463</v>
      </c>
      <c r="AA58" s="383" t="s">
        <v>464</v>
      </c>
      <c r="AB58" s="383" t="s">
        <v>465</v>
      </c>
      <c r="AC58" s="383">
        <v>10.935</v>
      </c>
      <c r="AD58" s="383">
        <v>0.51539999999999997</v>
      </c>
      <c r="AE58" s="383">
        <v>1.7466999999999999</v>
      </c>
      <c r="AF58" s="383">
        <v>18.231000000000002</v>
      </c>
      <c r="AG58" s="383">
        <v>0.44309999999999999</v>
      </c>
      <c r="AH58" s="383">
        <v>0.86929999999999996</v>
      </c>
      <c r="AI58" s="2">
        <v>4.4409999999999998</v>
      </c>
      <c r="AJ58" s="2">
        <v>5.4733999999999998</v>
      </c>
      <c r="AK58" s="2">
        <v>12.1195</v>
      </c>
      <c r="AL58" s="16">
        <f>(AJ58+0.0143)/3.4405</f>
        <v>1.595029792181369</v>
      </c>
      <c r="AM58" s="2">
        <v>2.3976000000000002</v>
      </c>
      <c r="AN58" s="2">
        <v>5.0709999999999997</v>
      </c>
      <c r="AO58" s="2">
        <v>3.9990000000000001</v>
      </c>
      <c r="AP58" s="2">
        <v>19.709099999999999</v>
      </c>
      <c r="AQ58" s="384" t="s">
        <v>466</v>
      </c>
      <c r="AR58" s="384" t="s">
        <v>467</v>
      </c>
      <c r="AS58" s="384" t="s">
        <v>468</v>
      </c>
      <c r="AT58" s="384">
        <v>10.933999999999999</v>
      </c>
      <c r="AU58" s="384">
        <v>0.48580000000000001</v>
      </c>
      <c r="AV58" s="384">
        <v>1.6448</v>
      </c>
      <c r="AW58" s="384">
        <v>18.234000000000002</v>
      </c>
      <c r="AX58" s="384">
        <v>0.42799999999999999</v>
      </c>
      <c r="AY58" s="384">
        <v>0.83989999999999998</v>
      </c>
      <c r="AZ58" s="3">
        <v>4.4450000000000003</v>
      </c>
      <c r="BA58" s="3">
        <v>6.0076999999999998</v>
      </c>
      <c r="BB58" s="3">
        <v>14.164</v>
      </c>
      <c r="BC58" s="18">
        <f>(BA58+0.0143)/3.4405</f>
        <v>1.7503269873564888</v>
      </c>
      <c r="BD58" s="3">
        <v>2.6983999999999999</v>
      </c>
      <c r="BE58" s="3">
        <v>5.0609999999999999</v>
      </c>
      <c r="BF58" s="3">
        <v>3.4716</v>
      </c>
      <c r="BG58" s="3">
        <v>16.355</v>
      </c>
      <c r="BH58" s="386" t="s">
        <v>463</v>
      </c>
      <c r="BI58" s="386" t="s">
        <v>469</v>
      </c>
      <c r="BJ58" s="386" t="s">
        <v>470</v>
      </c>
      <c r="BK58" s="386">
        <v>10.935</v>
      </c>
      <c r="BL58" s="386">
        <v>0.51719999999999999</v>
      </c>
      <c r="BM58" s="386">
        <v>1.748</v>
      </c>
      <c r="BN58" s="386">
        <v>18.231000000000002</v>
      </c>
      <c r="BO58" s="386">
        <v>0.51</v>
      </c>
      <c r="BP58" s="386">
        <v>1.0008999999999999</v>
      </c>
      <c r="BQ58" s="385">
        <v>4.4673999999999996</v>
      </c>
      <c r="BR58" s="385">
        <v>7.7899999999999997E-2</v>
      </c>
      <c r="BS58" s="385">
        <v>0.46250000000000002</v>
      </c>
      <c r="BT58" s="23">
        <f>(BR58+0.0143)/3.4405</f>
        <v>2.6798430460688853E-2</v>
      </c>
      <c r="BU58" s="23">
        <v>0.46989999999999998</v>
      </c>
      <c r="BV58" s="23">
        <v>5.0339999999999998</v>
      </c>
      <c r="BW58" s="23">
        <v>1.0285</v>
      </c>
      <c r="BX58" s="23">
        <v>3.2665000000000002</v>
      </c>
      <c r="BY58" s="385" t="s">
        <v>463</v>
      </c>
      <c r="BZ58" s="385" t="s">
        <v>471</v>
      </c>
      <c r="CA58" s="385" t="s">
        <v>472</v>
      </c>
      <c r="CB58" s="385">
        <v>10.930999999999999</v>
      </c>
      <c r="CC58" s="385">
        <v>0.48110000000000003</v>
      </c>
      <c r="CD58" s="385">
        <v>1.6201000000000001</v>
      </c>
      <c r="CE58" s="385">
        <v>18.231000000000002</v>
      </c>
      <c r="CF58" s="385">
        <v>0.317</v>
      </c>
      <c r="CG58" s="385">
        <v>0.61829999999999996</v>
      </c>
      <c r="CI58" s="12">
        <f>[2]Sets!O6</f>
        <v>2.2110739718064236</v>
      </c>
      <c r="CJ58" s="12">
        <f>[2]Sets!W6</f>
        <v>2.8695538439180353</v>
      </c>
      <c r="CK58" s="12">
        <f>[2]Sets!AE6</f>
        <v>2.7596860921377706</v>
      </c>
      <c r="CL58" s="12">
        <f>([2]Sets!O6+[2]Sets!W6+[2]Sets!AE6)/3</f>
        <v>2.6134379692874097</v>
      </c>
      <c r="CM58">
        <f t="shared" ref="CM58" si="158">STDEV(CI58:CK58)</f>
        <v>0.35276099638703567</v>
      </c>
      <c r="CN58">
        <v>3</v>
      </c>
      <c r="CO58">
        <v>3.18</v>
      </c>
      <c r="CP58" s="12">
        <f t="shared" ref="CP58" si="159">(CO58*CM58)/SQRT(CN58)</f>
        <v>0.64765996679122495</v>
      </c>
      <c r="DL58" t="s">
        <v>900</v>
      </c>
      <c r="DM58" t="s">
        <v>458</v>
      </c>
      <c r="DN58">
        <f t="shared" si="17"/>
        <v>9.5724999999999998</v>
      </c>
      <c r="DO58" s="17">
        <f>(DN58+1.3252)/8.7111</f>
        <v>1.2510130752717796</v>
      </c>
      <c r="DQ58" s="12">
        <v>0.32573753814852491</v>
      </c>
      <c r="DR58" s="12">
        <v>1.1120476674901905</v>
      </c>
      <c r="DS58" s="12">
        <f t="shared" si="19"/>
        <v>0.32874359532150432</v>
      </c>
      <c r="DT58" s="12">
        <f t="shared" si="130"/>
        <v>0.78330407216868614</v>
      </c>
      <c r="DU58" s="12">
        <f t="shared" si="151"/>
        <v>0.68204766749019052</v>
      </c>
      <c r="DX58" t="s">
        <v>900</v>
      </c>
      <c r="DY58" t="s">
        <v>462</v>
      </c>
      <c r="DZ58">
        <f>(14.9851+1.3252)/8.7111</f>
        <v>1.8723582555589993</v>
      </c>
      <c r="EG58">
        <f t="shared" si="20"/>
        <v>-0.61687739185195944</v>
      </c>
    </row>
    <row r="60" spans="1:137">
      <c r="DT60" s="12">
        <f>AVERAGE(DT48:DT58)</f>
        <v>0.43389650456208773</v>
      </c>
    </row>
    <row r="61" spans="1:137">
      <c r="U61" s="383">
        <v>1.659077680770092</v>
      </c>
      <c r="EG61" s="434">
        <f>AVERAGE(EG45:EG58)</f>
        <v>-0.72175904209643815</v>
      </c>
    </row>
    <row r="62" spans="1:137">
      <c r="U62" s="383">
        <v>1.5869487351690172</v>
      </c>
    </row>
    <row r="63" spans="1:137">
      <c r="U63" s="383">
        <v>2.0257443474367589</v>
      </c>
    </row>
    <row r="64" spans="1:137">
      <c r="U64" s="383">
        <v>2.052412336682834</v>
      </c>
    </row>
    <row r="65" spans="21:21">
      <c r="U65" s="383">
        <v>2.052412336682834</v>
      </c>
    </row>
    <row r="66" spans="21:21">
      <c r="U66" s="383">
        <v>1.8723582555589993</v>
      </c>
    </row>
  </sheetData>
  <mergeCells count="5">
    <mergeCell ref="D1:Q1"/>
    <mergeCell ref="R1:AH1"/>
    <mergeCell ref="BQ1:CG1"/>
    <mergeCell ref="AZ1:BP1"/>
    <mergeCell ref="AI1:AY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6F7-31AE-8741-A125-3158E6AB2BAF}">
  <dimension ref="A1:CX52"/>
  <sheetViews>
    <sheetView zoomScale="91" zoomScaleNormal="91" workbookViewId="0">
      <pane xSplit="3" ySplit="1" topLeftCell="AK7" activePane="bottomRight" state="frozen"/>
      <selection pane="topRight" activeCell="D1" sqref="D1"/>
      <selection pane="bottomLeft" activeCell="A2" sqref="A2"/>
      <selection pane="bottomRight" activeCell="AW18" sqref="AW18:AW47"/>
    </sheetView>
  </sheetViews>
  <sheetFormatPr defaultColWidth="10.6640625" defaultRowHeight="15.5"/>
  <cols>
    <col min="2" max="2" width="12.5" customWidth="1"/>
    <col min="3" max="3" width="10.83203125" style="12"/>
    <col min="4" max="6" width="10.83203125" style="4"/>
    <col min="7" max="7" width="11.6640625" style="53" bestFit="1" customWidth="1"/>
    <col min="8" max="8" width="11.6640625" style="53" customWidth="1"/>
    <col min="9" max="17" width="10.83203125" style="4" customWidth="1"/>
    <col min="18" max="20" width="10.83203125" style="1" customWidth="1"/>
    <col min="21" max="21" width="10.83203125" style="51" customWidth="1"/>
    <col min="22" max="22" width="10.83203125" style="51"/>
    <col min="23" max="31" width="10.83203125" style="1" customWidth="1"/>
    <col min="32" max="34" width="10.83203125" style="2" customWidth="1"/>
    <col min="35" max="35" width="10.83203125" style="49" customWidth="1"/>
    <col min="36" max="36" width="10.83203125" style="49"/>
    <col min="37" max="45" width="10.83203125" style="2" customWidth="1"/>
    <col min="46" max="48" width="10.83203125" style="3" customWidth="1"/>
    <col min="49" max="49" width="10.83203125" style="47" customWidth="1"/>
    <col min="50" max="50" width="10.83203125" style="47"/>
    <col min="51" max="59" width="10.83203125" style="3"/>
  </cols>
  <sheetData>
    <row r="1" spans="1:102" ht="31">
      <c r="B1" s="10" t="s">
        <v>604</v>
      </c>
      <c r="D1" s="677" t="s">
        <v>11</v>
      </c>
      <c r="E1" s="677"/>
      <c r="F1" s="677"/>
      <c r="G1" s="677"/>
      <c r="H1" s="677"/>
      <c r="I1" s="677"/>
      <c r="J1" s="677"/>
      <c r="K1" s="677"/>
      <c r="L1" s="677"/>
      <c r="M1" s="677"/>
      <c r="N1" s="677"/>
      <c r="O1" s="677"/>
      <c r="P1" s="677"/>
      <c r="Q1" s="677"/>
      <c r="R1" s="675" t="s">
        <v>12</v>
      </c>
      <c r="S1" s="675"/>
      <c r="T1" s="675"/>
      <c r="U1" s="675"/>
      <c r="V1" s="675"/>
      <c r="W1" s="675"/>
      <c r="X1" s="675"/>
      <c r="Y1" s="675"/>
      <c r="Z1" s="675"/>
      <c r="AA1" s="675"/>
      <c r="AB1" s="675"/>
      <c r="AC1" s="675"/>
      <c r="AD1" s="675"/>
      <c r="AE1" s="675"/>
      <c r="AF1" s="676" t="s">
        <v>13</v>
      </c>
      <c r="AG1" s="676"/>
      <c r="AH1" s="676"/>
      <c r="AI1" s="676"/>
      <c r="AJ1" s="676"/>
      <c r="AK1" s="676"/>
      <c r="AL1" s="676"/>
      <c r="AM1" s="676"/>
      <c r="AN1" s="676"/>
      <c r="AO1" s="676"/>
      <c r="AP1" s="676"/>
      <c r="AQ1" s="676"/>
      <c r="AR1" s="676"/>
      <c r="AS1" s="676"/>
      <c r="AT1" s="679" t="s">
        <v>14</v>
      </c>
      <c r="AU1" s="679"/>
      <c r="AV1" s="679"/>
      <c r="AW1" s="679"/>
      <c r="AX1" s="679"/>
      <c r="AY1" s="679"/>
      <c r="AZ1" s="679"/>
      <c r="BA1" s="679"/>
      <c r="BB1" s="679"/>
      <c r="BC1" s="679"/>
      <c r="BD1" s="679"/>
      <c r="BE1" s="679"/>
      <c r="BF1" s="679"/>
      <c r="BG1" s="679"/>
      <c r="BH1" s="27"/>
      <c r="BI1" s="27"/>
      <c r="BJ1" s="27"/>
      <c r="BN1" s="12"/>
      <c r="BP1" t="s">
        <v>102</v>
      </c>
      <c r="BS1" s="8"/>
    </row>
    <row r="2" spans="1:102" ht="31">
      <c r="A2" s="11" t="s">
        <v>10</v>
      </c>
      <c r="B2" s="11" t="s">
        <v>0</v>
      </c>
      <c r="C2" s="13" t="s">
        <v>1</v>
      </c>
      <c r="D2" s="83" t="s">
        <v>2</v>
      </c>
      <c r="E2" s="83" t="s">
        <v>4</v>
      </c>
      <c r="F2" s="83" t="s">
        <v>3</v>
      </c>
      <c r="G2" s="23" t="s">
        <v>94</v>
      </c>
      <c r="H2" s="23" t="s">
        <v>921</v>
      </c>
      <c r="I2" s="83" t="s">
        <v>2</v>
      </c>
      <c r="J2" s="83" t="s">
        <v>4</v>
      </c>
      <c r="K2" s="83" t="s">
        <v>3</v>
      </c>
      <c r="L2" s="83" t="s">
        <v>2</v>
      </c>
      <c r="M2" s="83" t="s">
        <v>4</v>
      </c>
      <c r="N2" s="83" t="s">
        <v>3</v>
      </c>
      <c r="O2" s="83" t="s">
        <v>2</v>
      </c>
      <c r="P2" s="83" t="s">
        <v>4</v>
      </c>
      <c r="Q2" s="83" t="s">
        <v>3</v>
      </c>
      <c r="R2" s="80" t="s">
        <v>2</v>
      </c>
      <c r="S2" s="80" t="s">
        <v>4</v>
      </c>
      <c r="T2" s="80" t="s">
        <v>3</v>
      </c>
      <c r="U2" s="19" t="s">
        <v>92</v>
      </c>
      <c r="V2" s="19" t="s">
        <v>929</v>
      </c>
      <c r="W2" s="80" t="s">
        <v>2</v>
      </c>
      <c r="X2" s="80" t="s">
        <v>4</v>
      </c>
      <c r="Y2" s="80" t="s">
        <v>3</v>
      </c>
      <c r="Z2" s="80" t="s">
        <v>2</v>
      </c>
      <c r="AA2" s="80" t="s">
        <v>4</v>
      </c>
      <c r="AB2" s="80" t="s">
        <v>3</v>
      </c>
      <c r="AC2" s="80" t="s">
        <v>2</v>
      </c>
      <c r="AD2" s="80" t="s">
        <v>4</v>
      </c>
      <c r="AE2" s="80" t="s">
        <v>3</v>
      </c>
      <c r="AF2" s="81" t="s">
        <v>2</v>
      </c>
      <c r="AG2" s="81" t="s">
        <v>4</v>
      </c>
      <c r="AH2" s="81" t="s">
        <v>3</v>
      </c>
      <c r="AI2" s="16" t="s">
        <v>93</v>
      </c>
      <c r="AJ2" s="16" t="s">
        <v>929</v>
      </c>
      <c r="AK2" s="81" t="s">
        <v>2</v>
      </c>
      <c r="AL2" s="81" t="s">
        <v>4</v>
      </c>
      <c r="AM2" s="81" t="s">
        <v>3</v>
      </c>
      <c r="AN2" s="81" t="s">
        <v>2</v>
      </c>
      <c r="AO2" s="81" t="s">
        <v>4</v>
      </c>
      <c r="AP2" s="81" t="s">
        <v>3</v>
      </c>
      <c r="AQ2" s="81" t="s">
        <v>2</v>
      </c>
      <c r="AR2" s="81" t="s">
        <v>4</v>
      </c>
      <c r="AS2" s="81" t="s">
        <v>3</v>
      </c>
      <c r="AT2" s="82" t="s">
        <v>2</v>
      </c>
      <c r="AU2" s="82" t="s">
        <v>4</v>
      </c>
      <c r="AV2" s="82" t="s">
        <v>3</v>
      </c>
      <c r="AW2" s="18" t="s">
        <v>93</v>
      </c>
      <c r="AX2" s="18" t="s">
        <v>929</v>
      </c>
      <c r="AY2" s="82" t="s">
        <v>2</v>
      </c>
      <c r="AZ2" s="82" t="s">
        <v>4</v>
      </c>
      <c r="BA2" s="82" t="s">
        <v>3</v>
      </c>
      <c r="BB2" s="82" t="s">
        <v>2</v>
      </c>
      <c r="BC2" s="82" t="s">
        <v>4</v>
      </c>
      <c r="BD2" s="82" t="s">
        <v>3</v>
      </c>
      <c r="BE2" s="82" t="s">
        <v>2</v>
      </c>
      <c r="BF2" s="82" t="s">
        <v>4</v>
      </c>
      <c r="BG2" s="82" t="s">
        <v>3</v>
      </c>
      <c r="BH2" s="8"/>
      <c r="BI2" s="8"/>
      <c r="BJ2" s="8"/>
      <c r="BK2" s="24" t="s">
        <v>104</v>
      </c>
      <c r="BL2" s="25" t="s">
        <v>105</v>
      </c>
      <c r="BM2" s="26" t="s">
        <v>106</v>
      </c>
      <c r="BN2" s="28" t="s">
        <v>95</v>
      </c>
      <c r="BO2" t="s">
        <v>99</v>
      </c>
      <c r="BP2" t="s">
        <v>100</v>
      </c>
      <c r="BQ2" t="s">
        <v>101</v>
      </c>
      <c r="BR2" t="s">
        <v>103</v>
      </c>
      <c r="BS2" s="9"/>
      <c r="BT2" s="9" t="s">
        <v>1184</v>
      </c>
      <c r="BU2" s="9" t="s">
        <v>1185</v>
      </c>
      <c r="BV2" s="9" t="s">
        <v>1186</v>
      </c>
      <c r="BW2" s="9" t="s">
        <v>305</v>
      </c>
      <c r="CV2" t="s">
        <v>1186</v>
      </c>
      <c r="CW2" t="s">
        <v>305</v>
      </c>
      <c r="CX2" t="s">
        <v>1553</v>
      </c>
    </row>
    <row r="3" spans="1:102">
      <c r="A3" t="s">
        <v>51</v>
      </c>
      <c r="B3" s="14">
        <v>44441</v>
      </c>
      <c r="C3" s="12">
        <f>222/60</f>
        <v>3.7</v>
      </c>
      <c r="D3" s="131">
        <v>0</v>
      </c>
      <c r="E3" s="131">
        <v>0</v>
      </c>
      <c r="F3" s="131">
        <v>0</v>
      </c>
      <c r="G3" s="52">
        <v>0</v>
      </c>
      <c r="H3" s="52">
        <v>0.4768</v>
      </c>
      <c r="I3" s="131">
        <v>7.1980000000000004</v>
      </c>
      <c r="J3" s="131">
        <v>4.0773999999999999</v>
      </c>
      <c r="K3" s="131">
        <v>11.9992</v>
      </c>
      <c r="L3" s="131">
        <v>12.645</v>
      </c>
      <c r="M3" s="131">
        <v>6.5495000000000001</v>
      </c>
      <c r="N3" s="131">
        <v>14.208600000000001</v>
      </c>
      <c r="O3" s="131"/>
      <c r="P3" s="131"/>
      <c r="Q3" s="131"/>
      <c r="R3" s="128">
        <v>4.5410000000000004</v>
      </c>
      <c r="S3" s="128">
        <v>6.8506</v>
      </c>
      <c r="T3" s="128">
        <v>14.988099999999999</v>
      </c>
      <c r="U3" s="19">
        <f t="shared" ref="U3" si="0">(S3+1.0236)/3.1008</f>
        <v>2.5394091847265221</v>
      </c>
      <c r="V3" s="19">
        <v>3.0152000000000001</v>
      </c>
      <c r="W3" s="128">
        <v>7.1980000000000004</v>
      </c>
      <c r="X3" s="128">
        <v>4.2476000000000003</v>
      </c>
      <c r="Y3" s="128">
        <v>12.805199999999999</v>
      </c>
      <c r="Z3" s="128">
        <v>12.661</v>
      </c>
      <c r="AA3" s="128">
        <v>3.6882000000000001</v>
      </c>
      <c r="AB3" s="128">
        <v>8.9450000000000003</v>
      </c>
      <c r="AC3" s="128">
        <v>21.748000000000001</v>
      </c>
      <c r="AD3" s="128">
        <v>1.3643000000000001</v>
      </c>
      <c r="AE3" s="128">
        <v>2.6372</v>
      </c>
      <c r="AF3" s="129">
        <v>4.5439999999999996</v>
      </c>
      <c r="AG3" s="129">
        <v>7.5926999999999998</v>
      </c>
      <c r="AH3" s="129">
        <v>14.5581</v>
      </c>
      <c r="AI3" s="16">
        <f t="shared" ref="AI3" si="1">(AG3+1.0236)/3.1008</f>
        <v>2.7787345201238387</v>
      </c>
      <c r="AJ3" s="16">
        <v>3.2940999999999998</v>
      </c>
      <c r="AK3" s="129">
        <v>7.1980000000000004</v>
      </c>
      <c r="AL3" s="129">
        <v>3.5419999999999998</v>
      </c>
      <c r="AM3" s="129">
        <v>11.909800000000001</v>
      </c>
      <c r="AN3" s="129">
        <v>12.654</v>
      </c>
      <c r="AO3" s="129">
        <v>4.3456000000000001</v>
      </c>
      <c r="AP3" s="129">
        <v>9.5633999999999997</v>
      </c>
      <c r="AQ3" s="129">
        <v>21.744</v>
      </c>
      <c r="AR3" s="129">
        <v>1.2948999999999999</v>
      </c>
      <c r="AS3" s="129">
        <v>2.3864000000000001</v>
      </c>
      <c r="AT3" s="130">
        <v>4.5510000000000002</v>
      </c>
      <c r="AU3" s="130">
        <v>11.8093</v>
      </c>
      <c r="AV3" s="130">
        <v>19.913699999999999</v>
      </c>
      <c r="AW3" s="18">
        <f t="shared" ref="AW3" si="2">(AU3+1.0236)/3.1008</f>
        <v>4.1385771413828687</v>
      </c>
      <c r="AX3" s="18">
        <v>4.8788999999999998</v>
      </c>
      <c r="AY3" s="130">
        <v>7.2009999999999996</v>
      </c>
      <c r="AZ3" s="130">
        <v>3.605</v>
      </c>
      <c r="BA3" s="130">
        <v>11.7714</v>
      </c>
      <c r="BB3" s="130">
        <v>12.673999999999999</v>
      </c>
      <c r="BC3" s="130">
        <v>4.3738000000000001</v>
      </c>
      <c r="BD3" s="130">
        <v>8.8119999999999994</v>
      </c>
      <c r="BE3" s="130">
        <v>21.687999999999999</v>
      </c>
      <c r="BF3" s="130">
        <v>1.8633</v>
      </c>
      <c r="BG3" s="130">
        <v>3.1753999999999998</v>
      </c>
      <c r="BH3" s="9"/>
      <c r="BI3" s="9"/>
      <c r="BJ3" s="9"/>
      <c r="BK3" s="12">
        <f>U3</f>
        <v>2.5394091847265221</v>
      </c>
      <c r="BL3" s="12">
        <f>AI3</f>
        <v>2.7787345201238387</v>
      </c>
      <c r="BM3" s="12">
        <f>AW3</f>
        <v>4.1385771413828687</v>
      </c>
      <c r="BN3" s="12">
        <f>AVERAGE(BK3:BM3)</f>
        <v>3.1522402820777429</v>
      </c>
      <c r="BO3">
        <f>STDEV(BK3:BM3)</f>
        <v>0.86253374082333012</v>
      </c>
      <c r="BP3">
        <v>3</v>
      </c>
      <c r="BQ3">
        <v>3.18</v>
      </c>
      <c r="BR3" s="12">
        <f>(BQ3*BO3)/SQRT(BP3)</f>
        <v>1.5835893980893609</v>
      </c>
      <c r="BT3" s="12">
        <f t="shared" ref="BT3:BT40" si="3">(V3+AJ3+AX3)/3</f>
        <v>3.7294</v>
      </c>
      <c r="BU3" s="12">
        <f>'0 Set 2&amp;3'!$H3</f>
        <v>4.8174000000000001</v>
      </c>
      <c r="BV3" s="12">
        <f>'0 Set 2&amp;3'!$G3</f>
        <v>3.4565518460677134</v>
      </c>
      <c r="BW3" s="12">
        <f>'0 Set 2&amp;3'!$C3</f>
        <v>1.75</v>
      </c>
      <c r="CV3">
        <v>3.4565518460677134</v>
      </c>
      <c r="CW3">
        <v>1.75</v>
      </c>
    </row>
    <row r="4" spans="1:102">
      <c r="A4" s="226" t="s">
        <v>82</v>
      </c>
      <c r="B4" s="14">
        <v>44442</v>
      </c>
      <c r="C4" s="12">
        <f>1489/60</f>
        <v>24.816666666666666</v>
      </c>
      <c r="D4" s="131">
        <v>4.3609999999999998</v>
      </c>
      <c r="E4" s="131">
        <v>1.0967</v>
      </c>
      <c r="F4" s="131">
        <v>4.2126000000000001</v>
      </c>
      <c r="G4" s="23">
        <f>(E4+0.036)/3.3113</f>
        <v>0.34207108990426721</v>
      </c>
      <c r="H4" s="227">
        <v>0.85270000000000001</v>
      </c>
      <c r="I4" s="228">
        <v>6.931</v>
      </c>
      <c r="J4" s="228">
        <v>4.0014000000000003</v>
      </c>
      <c r="K4" s="228">
        <v>20.472300000000001</v>
      </c>
      <c r="L4" s="228">
        <v>12.048</v>
      </c>
      <c r="M4" s="228">
        <v>6.7815000000000003</v>
      </c>
      <c r="N4" s="228">
        <v>21.3721</v>
      </c>
      <c r="O4" s="228">
        <v>19.881</v>
      </c>
      <c r="P4" s="228">
        <v>0.57179999999999997</v>
      </c>
      <c r="Q4" s="228">
        <v>1.0065999999999999</v>
      </c>
      <c r="R4" s="229">
        <v>4.3979999999999997</v>
      </c>
      <c r="S4" s="229">
        <v>15.03</v>
      </c>
      <c r="T4" s="229">
        <v>66.930400000000006</v>
      </c>
      <c r="U4" s="230">
        <f>(S4+0.036)/3.3113</f>
        <v>4.5498746715791372</v>
      </c>
      <c r="V4" s="230">
        <v>6.0892999999999997</v>
      </c>
      <c r="W4" s="229">
        <v>6.931</v>
      </c>
      <c r="X4" s="229">
        <v>4.1699000000000002</v>
      </c>
      <c r="Y4" s="229">
        <v>20.899100000000001</v>
      </c>
      <c r="Z4" s="229">
        <v>12.051</v>
      </c>
      <c r="AA4" s="229">
        <v>6.2256</v>
      </c>
      <c r="AB4" s="229">
        <v>19.580300000000001</v>
      </c>
      <c r="AC4" s="229">
        <v>19.875</v>
      </c>
      <c r="AD4" s="229">
        <v>2.4376000000000002</v>
      </c>
      <c r="AE4" s="229">
        <v>4.3498999999999999</v>
      </c>
      <c r="AF4" s="231">
        <v>4.3949999999999996</v>
      </c>
      <c r="AG4" s="231">
        <v>14.6686</v>
      </c>
      <c r="AH4" s="231">
        <v>65.092600000000004</v>
      </c>
      <c r="AI4" s="232">
        <f>(AG4+0.036)/3.3113</f>
        <v>4.4407332467610905</v>
      </c>
      <c r="AJ4" s="232">
        <v>5.9534000000000002</v>
      </c>
      <c r="AK4" s="231">
        <v>6.931</v>
      </c>
      <c r="AL4" s="231">
        <v>4.1585000000000001</v>
      </c>
      <c r="AM4" s="231">
        <v>20.8657</v>
      </c>
      <c r="AN4" s="231">
        <v>12.055</v>
      </c>
      <c r="AO4" s="231">
        <v>5.2065000000000001</v>
      </c>
      <c r="AP4" s="231">
        <v>16.2926</v>
      </c>
      <c r="AQ4" s="231">
        <v>19.861000000000001</v>
      </c>
      <c r="AR4" s="231">
        <v>2.4371</v>
      </c>
      <c r="AS4" s="231">
        <v>4.3414000000000001</v>
      </c>
      <c r="AT4" s="233">
        <v>4.391</v>
      </c>
      <c r="AU4" s="233">
        <v>14.0892</v>
      </c>
      <c r="AV4" s="233">
        <v>62.571199999999997</v>
      </c>
      <c r="AW4" s="234">
        <f>(AU4+0.036)/3.3113</f>
        <v>4.2657566514661909</v>
      </c>
      <c r="AX4" s="234">
        <v>5.7356999999999996</v>
      </c>
      <c r="AY4" s="130">
        <v>6.931</v>
      </c>
      <c r="AZ4" s="130">
        <v>4.0997000000000003</v>
      </c>
      <c r="BA4" s="130">
        <v>20.5669</v>
      </c>
      <c r="BB4" s="130">
        <v>12.048</v>
      </c>
      <c r="BC4" s="130">
        <v>6.1881000000000004</v>
      </c>
      <c r="BD4" s="130">
        <v>19.4512</v>
      </c>
      <c r="BE4" s="130">
        <v>19.858000000000001</v>
      </c>
      <c r="BF4" s="130">
        <v>2.4049</v>
      </c>
      <c r="BG4" s="130">
        <v>4.2786</v>
      </c>
      <c r="BK4" s="12">
        <f t="shared" ref="BK4:BK14" si="4">U4</f>
        <v>4.5498746715791372</v>
      </c>
      <c r="BL4" s="12">
        <f t="shared" ref="BL4:BL14" si="5">AI4</f>
        <v>4.4407332467610905</v>
      </c>
      <c r="BM4" s="12">
        <f t="shared" ref="BM4:BM14" si="6">AW4</f>
        <v>4.2657566514661909</v>
      </c>
      <c r="BN4" s="12">
        <f t="shared" ref="BN4:BN14" si="7">AVERAGE(BK4:BM4)</f>
        <v>4.4187881899354728</v>
      </c>
      <c r="BO4">
        <f t="shared" ref="BO4:BO14" si="8">STDEV(BK4:BM4)</f>
        <v>0.14332463667330481</v>
      </c>
      <c r="BP4">
        <v>3</v>
      </c>
      <c r="BQ4">
        <v>3.18</v>
      </c>
      <c r="BR4" s="12">
        <f t="shared" ref="BR4:BR14" si="9">(BQ4*BO4)/SQRT(BP4)</f>
        <v>0.26314028585618437</v>
      </c>
      <c r="BT4" s="12">
        <f t="shared" si="3"/>
        <v>5.9261333333333326</v>
      </c>
      <c r="BU4" s="12">
        <f>'0 Set 2&amp;3'!$H4</f>
        <v>6.5674999999999999</v>
      </c>
      <c r="BV4" s="12">
        <f>'0 Set 2&amp;3'!$G4</f>
        <v>4.828770957951499</v>
      </c>
      <c r="BW4" s="12">
        <f>'0 Set 2&amp;3'!$C4</f>
        <v>21.616666666666667</v>
      </c>
      <c r="CV4">
        <v>4.828770957951499</v>
      </c>
      <c r="CW4">
        <v>21.616666666666667</v>
      </c>
    </row>
    <row r="5" spans="1:102">
      <c r="A5" s="226" t="s">
        <v>82</v>
      </c>
      <c r="B5" s="14">
        <v>44446</v>
      </c>
      <c r="C5" s="12">
        <f>7211/60</f>
        <v>120.18333333333334</v>
      </c>
      <c r="D5" s="131">
        <v>4.3579999999999997</v>
      </c>
      <c r="E5" s="131">
        <v>1.2452000000000001</v>
      </c>
      <c r="F5" s="131">
        <v>4.8719000000000001</v>
      </c>
      <c r="G5" s="23">
        <f t="shared" ref="G5:G7" si="10">(E5+0.036)/3.3113</f>
        <v>0.38691752483918707</v>
      </c>
      <c r="H5" s="227">
        <v>0.90859999999999996</v>
      </c>
      <c r="I5" s="228">
        <v>6.9279999999999999</v>
      </c>
      <c r="J5" s="228">
        <v>3.9268000000000001</v>
      </c>
      <c r="K5" s="228">
        <v>20.161000000000001</v>
      </c>
      <c r="L5" s="228">
        <v>12.044</v>
      </c>
      <c r="M5" s="228">
        <v>5.6298000000000004</v>
      </c>
      <c r="N5" s="228">
        <v>17.620100000000001</v>
      </c>
      <c r="O5" s="228">
        <v>19.867999999999999</v>
      </c>
      <c r="P5" s="228">
        <v>0.52890000000000004</v>
      </c>
      <c r="Q5" s="228">
        <v>0.92469999999999997</v>
      </c>
      <c r="R5" s="229">
        <v>4.391</v>
      </c>
      <c r="S5" s="229">
        <v>12.637499999999999</v>
      </c>
      <c r="T5" s="229">
        <v>56.478499999999997</v>
      </c>
      <c r="U5" s="230">
        <f t="shared" ref="U5:U7" si="11">(S5+0.036)/3.3113</f>
        <v>3.8273487754054294</v>
      </c>
      <c r="V5" s="230">
        <v>5.1901000000000002</v>
      </c>
      <c r="W5" s="229">
        <v>6.931</v>
      </c>
      <c r="X5" s="229">
        <v>4.0793999999999997</v>
      </c>
      <c r="Y5" s="229">
        <v>20.494599999999998</v>
      </c>
      <c r="Z5" s="229">
        <v>12.051</v>
      </c>
      <c r="AA5" s="229">
        <v>5.9406999999999996</v>
      </c>
      <c r="AB5" s="229">
        <v>18.6126</v>
      </c>
      <c r="AC5" s="229">
        <v>19.861000000000001</v>
      </c>
      <c r="AD5" s="229">
        <v>2.0491000000000001</v>
      </c>
      <c r="AE5" s="229">
        <v>3.6320000000000001</v>
      </c>
      <c r="AF5" s="231">
        <v>4.3879999999999999</v>
      </c>
      <c r="AG5" s="231">
        <v>12.2433</v>
      </c>
      <c r="AH5" s="231">
        <v>54.729100000000003</v>
      </c>
      <c r="AI5" s="232">
        <f t="shared" ref="AI5:AI7" si="12">(AG5+0.036)/3.3113</f>
        <v>3.7083018753963697</v>
      </c>
      <c r="AJ5" s="232">
        <v>5.0419</v>
      </c>
      <c r="AK5" s="231">
        <v>6.9290000000000003</v>
      </c>
      <c r="AL5" s="231">
        <v>4.0092999999999996</v>
      </c>
      <c r="AM5" s="231">
        <v>20.084399999999999</v>
      </c>
      <c r="AN5" s="231">
        <v>12.048</v>
      </c>
      <c r="AO5" s="231">
        <v>5.9211999999999998</v>
      </c>
      <c r="AP5" s="231">
        <v>18.541899999999998</v>
      </c>
      <c r="AQ5" s="231">
        <v>19.858000000000001</v>
      </c>
      <c r="AR5" s="231">
        <v>1.9253</v>
      </c>
      <c r="AS5" s="231">
        <v>3.4117999999999999</v>
      </c>
      <c r="AT5" s="233">
        <v>4.3879999999999999</v>
      </c>
      <c r="AU5" s="233">
        <v>12.531700000000001</v>
      </c>
      <c r="AV5" s="233">
        <v>56.068300000000001</v>
      </c>
      <c r="AW5" s="234">
        <f t="shared" ref="AW5:AW7" si="13">(AU5+0.036)/3.3113</f>
        <v>3.7953975779905171</v>
      </c>
      <c r="AX5" s="234">
        <v>5.1502999999999997</v>
      </c>
      <c r="AY5" s="130">
        <v>6.9279999999999999</v>
      </c>
      <c r="AZ5" s="130">
        <v>4.0574000000000003</v>
      </c>
      <c r="BA5" s="130">
        <v>20.3367</v>
      </c>
      <c r="BB5" s="130">
        <v>12.048</v>
      </c>
      <c r="BC5" s="130">
        <v>5.9516999999999998</v>
      </c>
      <c r="BD5" s="130">
        <v>18.6373</v>
      </c>
      <c r="BE5" s="130">
        <v>19.853999999999999</v>
      </c>
      <c r="BF5" s="130">
        <v>1.9379999999999999</v>
      </c>
      <c r="BG5" s="130">
        <v>3.4340000000000002</v>
      </c>
      <c r="BK5" s="12">
        <f t="shared" si="4"/>
        <v>3.8273487754054294</v>
      </c>
      <c r="BL5" s="12">
        <f t="shared" si="5"/>
        <v>3.7083018753963697</v>
      </c>
      <c r="BM5" s="12">
        <f t="shared" si="6"/>
        <v>3.7953975779905171</v>
      </c>
      <c r="BN5" s="12">
        <f t="shared" si="7"/>
        <v>3.7770160762641054</v>
      </c>
      <c r="BO5">
        <f t="shared" si="8"/>
        <v>6.1615345529586404E-2</v>
      </c>
      <c r="BP5">
        <v>3</v>
      </c>
      <c r="BQ5">
        <v>3.18</v>
      </c>
      <c r="BR5" s="12">
        <f t="shared" si="9"/>
        <v>0.11312416352214488</v>
      </c>
      <c r="BT5" s="12">
        <f t="shared" si="3"/>
        <v>5.1274333333333333</v>
      </c>
      <c r="BU5" s="12">
        <f>'0 Set 2&amp;3'!$H5</f>
        <v>4.9358000000000004</v>
      </c>
      <c r="BV5" s="12">
        <f>'0 Set 2&amp;3'!$G5</f>
        <v>3.5920464160522183</v>
      </c>
      <c r="BW5" s="12">
        <f>'0 Set 2&amp;3'!$C5</f>
        <v>46.8</v>
      </c>
      <c r="CV5">
        <v>3.5920464160522183</v>
      </c>
      <c r="CW5">
        <v>46.8</v>
      </c>
    </row>
    <row r="6" spans="1:102">
      <c r="A6" s="226" t="s">
        <v>82</v>
      </c>
      <c r="B6" s="14">
        <v>44447</v>
      </c>
      <c r="C6" s="12">
        <f>8691/60</f>
        <v>144.85</v>
      </c>
      <c r="D6" s="131">
        <v>4.3609999999999998</v>
      </c>
      <c r="E6" s="131">
        <v>1.1686000000000001</v>
      </c>
      <c r="F6" s="131">
        <v>4.4668000000000001</v>
      </c>
      <c r="G6" s="23">
        <f t="shared" si="10"/>
        <v>0.36378461631383446</v>
      </c>
      <c r="H6" s="227">
        <v>0.87980000000000003</v>
      </c>
      <c r="I6" s="228">
        <v>6.931</v>
      </c>
      <c r="J6" s="228">
        <v>4.0731000000000002</v>
      </c>
      <c r="K6" s="228">
        <v>21.323799999999999</v>
      </c>
      <c r="L6" s="228">
        <v>12.051</v>
      </c>
      <c r="M6" s="228">
        <v>5.5430000000000001</v>
      </c>
      <c r="N6" s="228">
        <v>17.309799999999999</v>
      </c>
      <c r="O6" s="228">
        <v>19.870999999999999</v>
      </c>
      <c r="P6" s="228">
        <v>0.53720000000000001</v>
      </c>
      <c r="Q6" s="228">
        <v>0.93630000000000002</v>
      </c>
      <c r="R6" s="229">
        <v>4.3879999999999999</v>
      </c>
      <c r="S6" s="229">
        <v>12.635300000000001</v>
      </c>
      <c r="T6" s="229">
        <v>56.465600000000002</v>
      </c>
      <c r="U6" s="230">
        <f t="shared" si="11"/>
        <v>3.8266843837767643</v>
      </c>
      <c r="V6" s="230">
        <v>5.1893000000000002</v>
      </c>
      <c r="W6" s="229">
        <v>6.9279999999999999</v>
      </c>
      <c r="X6" s="229">
        <v>4.2575000000000003</v>
      </c>
      <c r="Y6" s="229">
        <v>21.5044</v>
      </c>
      <c r="Z6" s="229">
        <v>12.048</v>
      </c>
      <c r="AA6" s="229">
        <v>5.7862</v>
      </c>
      <c r="AB6" s="229">
        <v>18.0961</v>
      </c>
      <c r="AC6" s="229">
        <v>19.858000000000001</v>
      </c>
      <c r="AD6" s="229">
        <v>2.0211000000000001</v>
      </c>
      <c r="AE6" s="229">
        <v>3.577</v>
      </c>
      <c r="AF6" s="231">
        <v>4.3869999999999996</v>
      </c>
      <c r="AG6" s="231">
        <v>12.0867</v>
      </c>
      <c r="AH6" s="231">
        <v>54.411999999999999</v>
      </c>
      <c r="AI6" s="232">
        <f t="shared" si="12"/>
        <v>3.6610092712831817</v>
      </c>
      <c r="AJ6" s="232">
        <v>4.9831000000000003</v>
      </c>
      <c r="AK6" s="231">
        <v>6.931</v>
      </c>
      <c r="AL6" s="231">
        <v>4.1406999999999998</v>
      </c>
      <c r="AM6" s="231">
        <v>21.595800000000001</v>
      </c>
      <c r="AN6" s="231">
        <v>12.051</v>
      </c>
      <c r="AO6" s="231">
        <v>5.8639000000000001</v>
      </c>
      <c r="AP6" s="231">
        <v>18.327999999999999</v>
      </c>
      <c r="AQ6" s="231">
        <v>19.861000000000001</v>
      </c>
      <c r="AR6" s="231">
        <v>1.9662999999999999</v>
      </c>
      <c r="AS6" s="231">
        <v>3.4763999999999999</v>
      </c>
      <c r="AT6" s="233">
        <v>4.391</v>
      </c>
      <c r="AU6" s="233">
        <v>12.652100000000001</v>
      </c>
      <c r="AV6" s="233">
        <v>56.286700000000003</v>
      </c>
      <c r="AW6" s="234">
        <f t="shared" si="13"/>
        <v>3.8317579198502099</v>
      </c>
      <c r="AX6" s="234">
        <v>5.1955999999999998</v>
      </c>
      <c r="AY6" s="130">
        <v>6.9349999999999996</v>
      </c>
      <c r="AZ6" s="130">
        <v>4.3897000000000004</v>
      </c>
      <c r="BA6" s="130">
        <v>22.283799999999999</v>
      </c>
      <c r="BB6" s="130">
        <v>12.055</v>
      </c>
      <c r="BC6" s="130">
        <v>5.8688000000000002</v>
      </c>
      <c r="BD6" s="130">
        <v>18.3323</v>
      </c>
      <c r="BE6" s="130">
        <v>19.864999999999998</v>
      </c>
      <c r="BF6" s="130">
        <v>2.0124</v>
      </c>
      <c r="BG6" s="130">
        <v>3.5575999999999999</v>
      </c>
      <c r="BK6" s="12">
        <f t="shared" si="4"/>
        <v>3.8266843837767643</v>
      </c>
      <c r="BL6" s="12">
        <f t="shared" si="5"/>
        <v>3.6610092712831817</v>
      </c>
      <c r="BM6" s="12">
        <f t="shared" si="6"/>
        <v>3.8317579198502099</v>
      </c>
      <c r="BN6" s="12">
        <f t="shared" si="7"/>
        <v>3.7731505249700521</v>
      </c>
      <c r="BO6">
        <f t="shared" si="8"/>
        <v>9.7150299927068612E-2</v>
      </c>
      <c r="BP6">
        <v>3</v>
      </c>
      <c r="BQ6">
        <v>3.18</v>
      </c>
      <c r="BR6" s="12">
        <f t="shared" si="9"/>
        <v>0.17836541077089213</v>
      </c>
      <c r="BT6" s="12">
        <f t="shared" si="3"/>
        <v>5.1226666666666665</v>
      </c>
      <c r="BU6" s="12">
        <f>'0 Set 2&amp;3'!$H6</f>
        <v>5.0606999999999998</v>
      </c>
      <c r="BV6" s="12">
        <f>'0 Set 2&amp;3'!$G6</f>
        <v>3.6924029977033728</v>
      </c>
      <c r="BW6" s="12">
        <f>'0 Set 2&amp;3'!$C6</f>
        <v>166.5</v>
      </c>
      <c r="CV6">
        <v>3.6924029977033728</v>
      </c>
      <c r="CW6">
        <v>166.5</v>
      </c>
    </row>
    <row r="7" spans="1:102">
      <c r="A7" s="226" t="s">
        <v>82</v>
      </c>
      <c r="B7" s="14">
        <v>44448</v>
      </c>
      <c r="C7" s="12">
        <f>9969/60</f>
        <v>166.15</v>
      </c>
      <c r="D7" s="131">
        <v>4.3579999999999997</v>
      </c>
      <c r="E7" s="131">
        <v>1.1099000000000001</v>
      </c>
      <c r="F7" s="131">
        <v>4.3688000000000002</v>
      </c>
      <c r="G7" s="23">
        <f t="shared" si="10"/>
        <v>0.34605743967626013</v>
      </c>
      <c r="H7" s="227">
        <v>0.85770000000000002</v>
      </c>
      <c r="I7" s="228">
        <v>6.9279999999999999</v>
      </c>
      <c r="J7" s="228">
        <v>4.1136999999999997</v>
      </c>
      <c r="K7" s="228">
        <v>21.286999999999999</v>
      </c>
      <c r="L7" s="228">
        <v>12.045</v>
      </c>
      <c r="M7" s="228">
        <v>5.8090000000000002</v>
      </c>
      <c r="N7" s="228">
        <v>18.1051</v>
      </c>
      <c r="O7" s="228">
        <v>19.867999999999999</v>
      </c>
      <c r="P7" s="228">
        <v>0.51100000000000001</v>
      </c>
      <c r="Q7" s="228">
        <v>0.89549999999999996</v>
      </c>
      <c r="R7" s="229">
        <v>4.3879999999999999</v>
      </c>
      <c r="S7" s="229">
        <v>11.9749</v>
      </c>
      <c r="T7" s="229">
        <v>54.050400000000003</v>
      </c>
      <c r="U7" s="230">
        <f t="shared" si="11"/>
        <v>3.6272460966991811</v>
      </c>
      <c r="V7" s="230">
        <v>4.9035000000000002</v>
      </c>
      <c r="W7" s="229">
        <v>6.931</v>
      </c>
      <c r="X7" s="229">
        <v>4.2751999999999999</v>
      </c>
      <c r="Y7" s="229">
        <v>21.724699999999999</v>
      </c>
      <c r="Z7" s="229">
        <v>12.048</v>
      </c>
      <c r="AA7" s="229">
        <v>6.1632999999999996</v>
      </c>
      <c r="AB7" s="229">
        <v>19.367999999999999</v>
      </c>
      <c r="AC7" s="229">
        <v>19.864999999999998</v>
      </c>
      <c r="AD7" s="229">
        <v>1.8573999999999999</v>
      </c>
      <c r="AE7" s="229">
        <v>3.2919</v>
      </c>
      <c r="AF7" s="231">
        <v>4.3879999999999999</v>
      </c>
      <c r="AG7" s="231">
        <v>11.4475</v>
      </c>
      <c r="AH7" s="231">
        <v>52.213299999999997</v>
      </c>
      <c r="AI7" s="232">
        <f t="shared" si="12"/>
        <v>3.4679733035363749</v>
      </c>
      <c r="AJ7" s="232">
        <v>4.7428999999999997</v>
      </c>
      <c r="AK7" s="231">
        <v>6.9279999999999999</v>
      </c>
      <c r="AL7" s="231">
        <v>4.1984000000000004</v>
      </c>
      <c r="AM7" s="231">
        <v>21.276</v>
      </c>
      <c r="AN7" s="231">
        <v>12.048</v>
      </c>
      <c r="AO7" s="231">
        <v>6.0724999999999998</v>
      </c>
      <c r="AP7" s="231">
        <v>19.104600000000001</v>
      </c>
      <c r="AQ7" s="231">
        <v>19.861000000000001</v>
      </c>
      <c r="AR7" s="231">
        <v>1.7684</v>
      </c>
      <c r="AS7" s="231">
        <v>3.1288</v>
      </c>
      <c r="AT7" s="233">
        <v>4.3879999999999999</v>
      </c>
      <c r="AU7" s="233">
        <v>11.9337</v>
      </c>
      <c r="AV7" s="233">
        <v>54.439900000000002</v>
      </c>
      <c r="AW7" s="234">
        <f t="shared" si="13"/>
        <v>3.6148038534714462</v>
      </c>
      <c r="AX7" s="234">
        <v>4.9256000000000002</v>
      </c>
      <c r="AY7" s="130">
        <v>6.9279999999999999</v>
      </c>
      <c r="AZ7" s="130">
        <v>4.1299000000000001</v>
      </c>
      <c r="BA7" s="130">
        <v>20.944500000000001</v>
      </c>
      <c r="BB7" s="130">
        <v>12.048</v>
      </c>
      <c r="BC7" s="130">
        <v>5.9980000000000002</v>
      </c>
      <c r="BD7" s="130">
        <v>18.879200000000001</v>
      </c>
      <c r="BE7" s="130">
        <v>19.864000000000001</v>
      </c>
      <c r="BF7" s="130">
        <v>1.8197000000000001</v>
      </c>
      <c r="BG7" s="130">
        <v>3.2254999999999998</v>
      </c>
      <c r="BK7" s="12">
        <f t="shared" si="4"/>
        <v>3.6272460966991811</v>
      </c>
      <c r="BL7" s="12">
        <f t="shared" si="5"/>
        <v>3.4679733035363749</v>
      </c>
      <c r="BM7" s="12">
        <f t="shared" si="6"/>
        <v>3.6148038534714462</v>
      </c>
      <c r="BN7" s="12">
        <f t="shared" si="7"/>
        <v>3.5700077512356674</v>
      </c>
      <c r="BO7">
        <f t="shared" si="8"/>
        <v>8.8583145925786963E-2</v>
      </c>
      <c r="BP7">
        <v>3</v>
      </c>
      <c r="BQ7">
        <v>3.18</v>
      </c>
      <c r="BR7" s="12">
        <f t="shared" si="9"/>
        <v>0.16263634000401608</v>
      </c>
      <c r="BT7" s="12">
        <f t="shared" si="3"/>
        <v>4.8573333333333331</v>
      </c>
      <c r="BU7" s="12">
        <f>'0 Set 2&amp;3'!$H7</f>
        <v>4.0465</v>
      </c>
      <c r="BV7" s="12">
        <f>'0 Set 2&amp;3'!$G7</f>
        <v>2.9098680924821525</v>
      </c>
      <c r="BW7" s="12">
        <f>'0 Set 2&amp;3'!$C7</f>
        <v>214.66666666666666</v>
      </c>
      <c r="CV7">
        <v>2.9098680924821525</v>
      </c>
      <c r="CW7">
        <v>214.66666666666666</v>
      </c>
    </row>
    <row r="8" spans="1:102">
      <c r="A8" s="226" t="s">
        <v>87</v>
      </c>
      <c r="B8" s="14">
        <v>44449</v>
      </c>
      <c r="C8" s="12">
        <f>11505/60</f>
        <v>191.75</v>
      </c>
      <c r="D8" s="131">
        <v>4.3440000000000003</v>
      </c>
      <c r="E8" s="131">
        <v>0.96120000000000005</v>
      </c>
      <c r="F8" s="131">
        <v>4.4562999999999997</v>
      </c>
      <c r="G8" s="23">
        <f>(E8+0.0699)/3.3142</f>
        <v>0.31111580471908762</v>
      </c>
      <c r="H8" s="227">
        <v>0.80179999999999996</v>
      </c>
      <c r="I8" s="228">
        <v>6.9039999999999999</v>
      </c>
      <c r="J8" s="228">
        <v>4.1632999999999996</v>
      </c>
      <c r="K8" s="228">
        <v>21.962299999999999</v>
      </c>
      <c r="L8" s="228">
        <v>12.000999999999999</v>
      </c>
      <c r="M8" s="228">
        <v>5.6863999999999999</v>
      </c>
      <c r="N8" s="228">
        <v>18.124500000000001</v>
      </c>
      <c r="O8" s="228">
        <v>19.803999999999998</v>
      </c>
      <c r="P8" s="228">
        <v>0.49530000000000002</v>
      </c>
      <c r="Q8" s="228">
        <v>0.87939999999999996</v>
      </c>
      <c r="R8" s="229">
        <v>4.3710000000000004</v>
      </c>
      <c r="S8" s="229">
        <v>11.7979</v>
      </c>
      <c r="T8" s="229">
        <v>53.790100000000002</v>
      </c>
      <c r="U8" s="230">
        <f>(S8+0.0699)/3.3142</f>
        <v>3.5808943334741419</v>
      </c>
      <c r="V8" s="230">
        <v>4.8746</v>
      </c>
      <c r="W8" s="229">
        <v>6.9009999999999998</v>
      </c>
      <c r="X8" s="229">
        <v>4.2901999999999996</v>
      </c>
      <c r="Y8" s="229">
        <v>22.181699999999999</v>
      </c>
      <c r="Z8" s="229">
        <v>11.997</v>
      </c>
      <c r="AA8" s="229">
        <v>5.9665999999999997</v>
      </c>
      <c r="AB8" s="229">
        <v>19.063600000000001</v>
      </c>
      <c r="AC8" s="229">
        <v>19.794</v>
      </c>
      <c r="AD8" s="229">
        <v>1.8781000000000001</v>
      </c>
      <c r="AE8" s="229">
        <v>3.3673999999999999</v>
      </c>
      <c r="AF8" s="231">
        <v>4.3710000000000004</v>
      </c>
      <c r="AG8" s="231">
        <v>11.4337</v>
      </c>
      <c r="AH8" s="231">
        <v>52.3155</v>
      </c>
      <c r="AI8" s="232">
        <f>(AG8+0.0699)/3.3142</f>
        <v>3.4710035604369081</v>
      </c>
      <c r="AJ8" s="232">
        <v>4.7377000000000002</v>
      </c>
      <c r="AK8" s="231">
        <v>6.9009999999999998</v>
      </c>
      <c r="AL8" s="231">
        <v>4.2992999999999997</v>
      </c>
      <c r="AM8" s="231">
        <v>22.2315</v>
      </c>
      <c r="AN8" s="231">
        <v>11.997999999999999</v>
      </c>
      <c r="AO8" s="231">
        <v>5.9901999999999997</v>
      </c>
      <c r="AP8" s="231">
        <v>19.1373</v>
      </c>
      <c r="AQ8" s="231">
        <v>19.794</v>
      </c>
      <c r="AR8" s="231">
        <v>1.8083</v>
      </c>
      <c r="AS8" s="231">
        <v>3.2469999999999999</v>
      </c>
      <c r="AT8" s="233">
        <v>4.3710000000000004</v>
      </c>
      <c r="AU8" s="233">
        <v>11.8184</v>
      </c>
      <c r="AV8" s="233">
        <v>53.8705</v>
      </c>
      <c r="AW8" s="234">
        <f>(AU8+0.0699)/3.3142</f>
        <v>3.5870798382716798</v>
      </c>
      <c r="AX8" s="234">
        <v>4.8822999999999999</v>
      </c>
      <c r="AY8" s="130">
        <v>6.9009999999999998</v>
      </c>
      <c r="AZ8" s="130">
        <v>4.1965000000000003</v>
      </c>
      <c r="BA8" s="130">
        <v>21.593599999999999</v>
      </c>
      <c r="BB8" s="130">
        <v>11.994</v>
      </c>
      <c r="BC8" s="130">
        <v>5.87</v>
      </c>
      <c r="BD8" s="130">
        <v>18.744199999999999</v>
      </c>
      <c r="BE8" s="130">
        <v>19.791</v>
      </c>
      <c r="BF8" s="130">
        <v>1.8045</v>
      </c>
      <c r="BG8" s="130">
        <v>3.2361</v>
      </c>
      <c r="BK8" s="12">
        <f t="shared" si="4"/>
        <v>3.5808943334741419</v>
      </c>
      <c r="BL8" s="12">
        <f t="shared" si="5"/>
        <v>3.4710035604369081</v>
      </c>
      <c r="BM8" s="12">
        <f t="shared" si="6"/>
        <v>3.5870798382716798</v>
      </c>
      <c r="BN8" s="12">
        <f t="shared" si="7"/>
        <v>3.5463259107275769</v>
      </c>
      <c r="BO8">
        <f t="shared" si="8"/>
        <v>6.5304344858383795E-2</v>
      </c>
      <c r="BP8">
        <v>3</v>
      </c>
      <c r="BQ8">
        <v>3.18</v>
      </c>
      <c r="BR8" s="12">
        <f t="shared" si="9"/>
        <v>0.11989706984470333</v>
      </c>
      <c r="BT8" s="12">
        <f t="shared" si="3"/>
        <v>4.8315333333333337</v>
      </c>
      <c r="BU8" s="12">
        <f>'0 Set 2&amp;3'!$H8</f>
        <v>4.0567000000000002</v>
      </c>
      <c r="BV8" s="12">
        <f>'0 Set 2&amp;3'!$G8</f>
        <v>2.9178589265254562</v>
      </c>
      <c r="BW8" s="12">
        <f>'0 Set 2&amp;3'!$C8</f>
        <v>286.59999999999997</v>
      </c>
      <c r="CV8">
        <v>2.9178589265254562</v>
      </c>
      <c r="CW8">
        <v>286.59999999999997</v>
      </c>
    </row>
    <row r="9" spans="1:102">
      <c r="A9" s="226" t="s">
        <v>87</v>
      </c>
      <c r="B9" s="14">
        <v>44452</v>
      </c>
      <c r="C9" s="12">
        <f>15757/60</f>
        <v>262.61666666666667</v>
      </c>
      <c r="D9" s="131">
        <v>4.3410000000000002</v>
      </c>
      <c r="E9" s="131">
        <v>0.83960000000000001</v>
      </c>
      <c r="F9" s="131">
        <v>3.8235000000000001</v>
      </c>
      <c r="G9" s="23">
        <f t="shared" ref="G9:G11" si="14">(E9+0.0699)/3.3142</f>
        <v>0.27442520065174097</v>
      </c>
      <c r="H9" s="227">
        <v>0.75609999999999999</v>
      </c>
      <c r="I9" s="228">
        <v>6.9039999999999999</v>
      </c>
      <c r="J9" s="228">
        <v>4.5349000000000004</v>
      </c>
      <c r="K9" s="228">
        <v>24.120899999999999</v>
      </c>
      <c r="L9" s="228">
        <v>11.991</v>
      </c>
      <c r="M9" s="228">
        <v>6.3215000000000003</v>
      </c>
      <c r="N9" s="228">
        <v>20.161300000000001</v>
      </c>
      <c r="O9" s="228">
        <v>19.794</v>
      </c>
      <c r="P9" s="228">
        <v>0.42699999999999999</v>
      </c>
      <c r="Q9" s="228">
        <v>0.75819999999999999</v>
      </c>
      <c r="R9" s="229">
        <v>4.3680000000000003</v>
      </c>
      <c r="S9" s="229">
        <v>11.5924</v>
      </c>
      <c r="T9" s="229">
        <v>52.540700000000001</v>
      </c>
      <c r="U9" s="230">
        <f t="shared" ref="U9:U11" si="15">(S9+0.0699)/3.3142</f>
        <v>3.5188884195280914</v>
      </c>
      <c r="V9" s="230">
        <v>4.7972999999999999</v>
      </c>
      <c r="W9" s="229">
        <v>6.9009999999999998</v>
      </c>
      <c r="X9" s="229">
        <v>4.5388999999999999</v>
      </c>
      <c r="Y9" s="229">
        <v>23.6358</v>
      </c>
      <c r="Z9" s="229">
        <v>11.991</v>
      </c>
      <c r="AA9" s="229">
        <v>6.3528000000000002</v>
      </c>
      <c r="AB9" s="229">
        <v>20.253799999999998</v>
      </c>
      <c r="AC9" s="229">
        <v>19.785</v>
      </c>
      <c r="AD9" s="229">
        <v>1.6436999999999999</v>
      </c>
      <c r="AE9" s="229">
        <v>2.9358</v>
      </c>
      <c r="AF9" s="231">
        <v>4.3650000000000002</v>
      </c>
      <c r="AG9" s="231">
        <v>11.1776</v>
      </c>
      <c r="AH9" s="231">
        <v>51.064500000000002</v>
      </c>
      <c r="AI9" s="232">
        <f t="shared" ref="AI9:AI11" si="16">(AG9+0.0699)/3.3142</f>
        <v>3.3937300102588863</v>
      </c>
      <c r="AJ9" s="232">
        <v>4.6414</v>
      </c>
      <c r="AK9" s="231">
        <v>6.8979999999999997</v>
      </c>
      <c r="AL9" s="231">
        <v>4.4550999999999998</v>
      </c>
      <c r="AM9" s="231">
        <v>23.899899999999999</v>
      </c>
      <c r="AN9" s="231">
        <v>11.988</v>
      </c>
      <c r="AO9" s="231">
        <v>6.4184999999999999</v>
      </c>
      <c r="AP9" s="231">
        <v>20.471499999999999</v>
      </c>
      <c r="AQ9" s="231">
        <v>19.780999999999999</v>
      </c>
      <c r="AR9" s="231">
        <v>1.615</v>
      </c>
      <c r="AS9" s="231">
        <v>2.8839000000000001</v>
      </c>
      <c r="AT9" s="233">
        <v>4.3680000000000003</v>
      </c>
      <c r="AU9" s="233">
        <v>11.627800000000001</v>
      </c>
      <c r="AV9" s="233">
        <v>52.6541</v>
      </c>
      <c r="AW9" s="234">
        <f t="shared" ref="AW9:AW11" si="17">(AU9+0.0699)/3.3142</f>
        <v>3.5295697302516449</v>
      </c>
      <c r="AX9" s="234">
        <v>4.8106</v>
      </c>
      <c r="AY9" s="130">
        <v>6.9009999999999998</v>
      </c>
      <c r="AZ9" s="130">
        <v>4.5854999999999997</v>
      </c>
      <c r="BA9" s="130">
        <v>23.878900000000002</v>
      </c>
      <c r="BB9" s="130">
        <v>11.991</v>
      </c>
      <c r="BC9" s="130">
        <v>6.2224000000000004</v>
      </c>
      <c r="BD9" s="130">
        <v>19.818200000000001</v>
      </c>
      <c r="BE9" s="130">
        <v>19.783999999999999</v>
      </c>
      <c r="BF9" s="130">
        <v>1.6534</v>
      </c>
      <c r="BG9" s="130">
        <v>2.9588999999999999</v>
      </c>
      <c r="BK9" s="12">
        <f t="shared" si="4"/>
        <v>3.5188884195280914</v>
      </c>
      <c r="BL9" s="12">
        <f t="shared" si="5"/>
        <v>3.3937300102588863</v>
      </c>
      <c r="BM9" s="12">
        <f t="shared" si="6"/>
        <v>3.5295697302516449</v>
      </c>
      <c r="BN9" s="12">
        <f t="shared" si="7"/>
        <v>3.4807293866795406</v>
      </c>
      <c r="BO9">
        <f t="shared" si="8"/>
        <v>7.5532716241906273E-2</v>
      </c>
      <c r="BP9">
        <v>3</v>
      </c>
      <c r="BQ9">
        <v>3.18</v>
      </c>
      <c r="BR9" s="12">
        <f t="shared" si="9"/>
        <v>0.1386760922945445</v>
      </c>
      <c r="BT9" s="12">
        <f t="shared" si="3"/>
        <v>4.7497666666666669</v>
      </c>
      <c r="BU9" s="12">
        <f>'0 Set 2&amp;3'!$H9</f>
        <v>4.0205000000000002</v>
      </c>
      <c r="BV9" s="12">
        <f>'0 Set 2&amp;3'!$G9</f>
        <v>2.8596852300242133</v>
      </c>
      <c r="BW9" s="12">
        <f>'0 Set 2&amp;3'!$C9</f>
        <v>334.76666666666659</v>
      </c>
      <c r="CV9">
        <v>2.8596852300242133</v>
      </c>
      <c r="CW9">
        <v>334.76666666666659</v>
      </c>
    </row>
    <row r="10" spans="1:102">
      <c r="A10" s="226" t="s">
        <v>87</v>
      </c>
      <c r="B10" s="14">
        <v>44454</v>
      </c>
      <c r="C10" s="12">
        <v>311.38333333333333</v>
      </c>
      <c r="D10" s="131">
        <v>4.3380000000000001</v>
      </c>
      <c r="E10" s="131">
        <v>0.86280000000000001</v>
      </c>
      <c r="F10" s="131">
        <v>3.9969999999999999</v>
      </c>
      <c r="G10" s="23">
        <f t="shared" si="14"/>
        <v>0.28142538169090581</v>
      </c>
      <c r="H10" s="227">
        <v>0.76480000000000004</v>
      </c>
      <c r="I10" s="228">
        <v>6.9009999999999998</v>
      </c>
      <c r="J10" s="228">
        <v>4.6611000000000002</v>
      </c>
      <c r="K10" s="228">
        <v>24.873100000000001</v>
      </c>
      <c r="L10" s="228">
        <v>11.994999999999999</v>
      </c>
      <c r="M10" s="228">
        <v>5.1858000000000004</v>
      </c>
      <c r="N10" s="228">
        <v>16.403099999999998</v>
      </c>
      <c r="O10" s="228">
        <v>19.788</v>
      </c>
      <c r="P10" s="228">
        <v>0.4012</v>
      </c>
      <c r="Q10" s="228">
        <v>0.70860000000000001</v>
      </c>
      <c r="R10" s="229">
        <v>4.3680000000000003</v>
      </c>
      <c r="S10" s="229">
        <v>11.3406</v>
      </c>
      <c r="T10" s="229">
        <v>52.183</v>
      </c>
      <c r="U10" s="230">
        <f t="shared" si="15"/>
        <v>3.4429123166978459</v>
      </c>
      <c r="V10" s="230">
        <v>4.7027000000000001</v>
      </c>
      <c r="W10" s="229">
        <v>6.9009999999999998</v>
      </c>
      <c r="X10" s="229">
        <v>5.0609999999999999</v>
      </c>
      <c r="Y10" s="229">
        <v>27.364899999999999</v>
      </c>
      <c r="Z10" s="229">
        <v>11.994</v>
      </c>
      <c r="AA10" s="229">
        <v>5.3807999999999998</v>
      </c>
      <c r="AB10" s="229">
        <v>17.026</v>
      </c>
      <c r="AC10" s="229">
        <v>19.783999999999999</v>
      </c>
      <c r="AD10" s="229">
        <v>1.7145999999999999</v>
      </c>
      <c r="AE10" s="229">
        <v>3.0630999999999999</v>
      </c>
      <c r="AF10" s="231">
        <v>4.3680000000000003</v>
      </c>
      <c r="AG10" s="231">
        <v>11.0905</v>
      </c>
      <c r="AH10" s="231">
        <v>51.132300000000001</v>
      </c>
      <c r="AI10" s="232">
        <f t="shared" si="16"/>
        <v>3.3674491581678838</v>
      </c>
      <c r="AJ10" s="232">
        <v>4.6086999999999998</v>
      </c>
      <c r="AK10" s="231">
        <v>6.9009999999999998</v>
      </c>
      <c r="AL10" s="231">
        <v>4.8127000000000004</v>
      </c>
      <c r="AM10" s="231">
        <v>25.907399999999999</v>
      </c>
      <c r="AN10" s="231">
        <v>11.994999999999999</v>
      </c>
      <c r="AO10" s="231">
        <v>5.3475000000000001</v>
      </c>
      <c r="AP10" s="231">
        <v>16.927800000000001</v>
      </c>
      <c r="AQ10" s="231">
        <v>19.785</v>
      </c>
      <c r="AR10" s="231">
        <v>1.6113999999999999</v>
      </c>
      <c r="AS10" s="231">
        <v>2.8763000000000001</v>
      </c>
      <c r="AT10" s="233">
        <v>4.3650000000000002</v>
      </c>
      <c r="AU10" s="233">
        <v>11.2829</v>
      </c>
      <c r="AV10" s="233">
        <v>51.999400000000001</v>
      </c>
      <c r="AW10" s="234">
        <f t="shared" si="17"/>
        <v>3.4255023836823368</v>
      </c>
      <c r="AX10" s="234">
        <v>4.681</v>
      </c>
      <c r="AY10" s="130">
        <v>6.8979999999999997</v>
      </c>
      <c r="AZ10" s="130">
        <v>4.4516999999999998</v>
      </c>
      <c r="BA10" s="130">
        <v>23.829499999999999</v>
      </c>
      <c r="BB10" s="130">
        <v>11.991</v>
      </c>
      <c r="BC10" s="130">
        <v>5.0735999999999999</v>
      </c>
      <c r="BD10" s="130">
        <v>16.0564</v>
      </c>
      <c r="BE10" s="130">
        <v>19.777999999999999</v>
      </c>
      <c r="BF10" s="130">
        <v>1.5674999999999999</v>
      </c>
      <c r="BG10" s="130">
        <v>2.7988</v>
      </c>
      <c r="BK10" s="12">
        <f t="shared" si="4"/>
        <v>3.4429123166978459</v>
      </c>
      <c r="BL10" s="12">
        <f t="shared" si="5"/>
        <v>3.3674491581678838</v>
      </c>
      <c r="BM10" s="12">
        <f t="shared" si="6"/>
        <v>3.4255023836823368</v>
      </c>
      <c r="BN10" s="12">
        <f t="shared" si="7"/>
        <v>3.4119546195160222</v>
      </c>
      <c r="BO10">
        <f t="shared" si="8"/>
        <v>3.9513649657543753E-2</v>
      </c>
      <c r="BP10">
        <v>3</v>
      </c>
      <c r="BQ10">
        <v>3.18</v>
      </c>
      <c r="BR10" s="12">
        <f t="shared" si="9"/>
        <v>7.2546027727302898E-2</v>
      </c>
      <c r="BT10" s="12">
        <f t="shared" si="3"/>
        <v>4.664133333333333</v>
      </c>
      <c r="BU10" s="12">
        <f>'0 Set 2&amp;3'!$H10</f>
        <v>4.2522000000000002</v>
      </c>
      <c r="BV10" s="12">
        <f>'0 Set 2&amp;3'!$G10</f>
        <v>3.0462469733656174</v>
      </c>
      <c r="BW10" s="12">
        <f>'0 Set 2&amp;3'!$C10</f>
        <v>380.89999999999992</v>
      </c>
      <c r="CV10">
        <v>3.0462469733656174</v>
      </c>
      <c r="CW10">
        <v>380.89999999999992</v>
      </c>
    </row>
    <row r="11" spans="1:102">
      <c r="A11" s="226" t="s">
        <v>87</v>
      </c>
      <c r="B11" s="14">
        <v>44455</v>
      </c>
      <c r="C11" s="12">
        <v>334.28333333333336</v>
      </c>
      <c r="D11" s="131">
        <v>4.3380000000000001</v>
      </c>
      <c r="E11" s="131">
        <v>0.99360000000000004</v>
      </c>
      <c r="F11" s="131">
        <v>3.9752999999999998</v>
      </c>
      <c r="G11" s="23">
        <f t="shared" si="14"/>
        <v>0.32089191961861085</v>
      </c>
      <c r="H11" s="227">
        <v>0.81399999999999995</v>
      </c>
      <c r="I11" s="228">
        <v>6.8979999999999997</v>
      </c>
      <c r="J11" s="228">
        <v>3.9331999999999998</v>
      </c>
      <c r="K11" s="228">
        <v>20.661000000000001</v>
      </c>
      <c r="L11" s="228">
        <v>11.991</v>
      </c>
      <c r="M11" s="228">
        <v>4.7466999999999997</v>
      </c>
      <c r="N11" s="228">
        <v>15.0518</v>
      </c>
      <c r="O11" s="228">
        <v>19.783999999999999</v>
      </c>
      <c r="P11" s="228">
        <v>0.40179999999999999</v>
      </c>
      <c r="Q11" s="228">
        <v>0.71209999999999996</v>
      </c>
      <c r="R11" s="229">
        <v>4.3639999999999999</v>
      </c>
      <c r="S11" s="229">
        <v>11.066800000000001</v>
      </c>
      <c r="T11" s="229">
        <v>51.569499999999998</v>
      </c>
      <c r="U11" s="230">
        <f t="shared" si="15"/>
        <v>3.3602981111580474</v>
      </c>
      <c r="V11" s="230">
        <v>4.5998000000000001</v>
      </c>
      <c r="W11" s="229">
        <v>6.8979999999999997</v>
      </c>
      <c r="X11" s="229">
        <v>3.8654999999999999</v>
      </c>
      <c r="Y11" s="229">
        <v>20.495200000000001</v>
      </c>
      <c r="Z11" s="229">
        <v>11.991</v>
      </c>
      <c r="AA11" s="229">
        <v>4.7834000000000003</v>
      </c>
      <c r="AB11" s="229">
        <v>15.182</v>
      </c>
      <c r="AC11" s="229">
        <v>19.777999999999999</v>
      </c>
      <c r="AD11" s="229">
        <v>1.5746</v>
      </c>
      <c r="AE11" s="229">
        <v>2.8214000000000001</v>
      </c>
      <c r="AF11" s="231">
        <v>4.3650000000000002</v>
      </c>
      <c r="AG11" s="231">
        <v>10.9034</v>
      </c>
      <c r="AH11" s="231">
        <v>50.958100000000002</v>
      </c>
      <c r="AI11" s="232">
        <f t="shared" si="16"/>
        <v>3.31099511194255</v>
      </c>
      <c r="AJ11" s="232">
        <v>4.5384000000000002</v>
      </c>
      <c r="AK11" s="231">
        <v>6.8979999999999997</v>
      </c>
      <c r="AL11" s="231">
        <v>3.8489</v>
      </c>
      <c r="AM11" s="231">
        <v>20.3658</v>
      </c>
      <c r="AN11" s="231">
        <v>11.991</v>
      </c>
      <c r="AO11" s="231">
        <v>4.8311000000000002</v>
      </c>
      <c r="AP11" s="231">
        <v>15.338800000000001</v>
      </c>
      <c r="AQ11" s="231">
        <v>19.780999999999999</v>
      </c>
      <c r="AR11" s="231">
        <v>1.5470999999999999</v>
      </c>
      <c r="AS11" s="231">
        <v>2.7677</v>
      </c>
      <c r="AT11" s="233">
        <v>4.3639999999999999</v>
      </c>
      <c r="AU11" s="233">
        <v>11.0702</v>
      </c>
      <c r="AV11" s="233">
        <v>51.707799999999999</v>
      </c>
      <c r="AW11" s="234">
        <f t="shared" si="17"/>
        <v>3.3613239997586146</v>
      </c>
      <c r="AX11" s="234">
        <v>4.6010999999999997</v>
      </c>
      <c r="AY11" s="130">
        <v>6.8970000000000002</v>
      </c>
      <c r="AZ11" s="130">
        <v>3.7925</v>
      </c>
      <c r="BA11" s="130">
        <v>20.043199999999999</v>
      </c>
      <c r="BB11" s="130">
        <v>11.991</v>
      </c>
      <c r="BC11" s="130">
        <v>4.7271999999999998</v>
      </c>
      <c r="BD11" s="130">
        <v>15.004200000000001</v>
      </c>
      <c r="BE11" s="130">
        <v>19.780999999999999</v>
      </c>
      <c r="BF11" s="130">
        <v>1.5513999999999999</v>
      </c>
      <c r="BG11" s="130">
        <v>2.7738999999999998</v>
      </c>
      <c r="BK11" s="12">
        <f t="shared" si="4"/>
        <v>3.3602981111580474</v>
      </c>
      <c r="BL11" s="12">
        <f t="shared" si="5"/>
        <v>3.31099511194255</v>
      </c>
      <c r="BM11" s="12">
        <f t="shared" si="6"/>
        <v>3.3613239997586146</v>
      </c>
      <c r="BN11" s="12">
        <f t="shared" si="7"/>
        <v>3.3442057409530705</v>
      </c>
      <c r="BO11">
        <f t="shared" si="8"/>
        <v>2.8765822103861749E-2</v>
      </c>
      <c r="BP11">
        <v>3</v>
      </c>
      <c r="BQ11">
        <v>3.18</v>
      </c>
      <c r="BR11" s="12">
        <f t="shared" si="9"/>
        <v>5.2813297329698992E-2</v>
      </c>
      <c r="BT11" s="12">
        <f t="shared" si="3"/>
        <v>4.579766666666667</v>
      </c>
      <c r="BU11" s="12">
        <f>'0 Set 2&amp;3'!$H11</f>
        <v>4.3506999999999998</v>
      </c>
      <c r="BV11" s="12">
        <f>'0 Set 2&amp;3'!$G11</f>
        <v>3.1256053268765136</v>
      </c>
      <c r="BW11" s="12">
        <f>'0 Set 2&amp;3'!$C11</f>
        <v>459.88333333333327</v>
      </c>
      <c r="CV11">
        <v>3.1256053268765136</v>
      </c>
      <c r="CW11">
        <v>459.88333333333327</v>
      </c>
    </row>
    <row r="12" spans="1:102">
      <c r="A12" s="226" t="s">
        <v>88</v>
      </c>
      <c r="B12" s="14">
        <v>44456</v>
      </c>
      <c r="C12" s="12">
        <v>358.4</v>
      </c>
      <c r="D12" s="131">
        <v>4.3449999999999998</v>
      </c>
      <c r="E12" s="131">
        <v>1.0649999999999999</v>
      </c>
      <c r="F12" s="131">
        <v>4.2388000000000003</v>
      </c>
      <c r="G12" s="23">
        <f>(E12-0.3254)/3.2261</f>
        <v>0.22925513778246176</v>
      </c>
      <c r="H12" s="23">
        <v>0.84079999999999999</v>
      </c>
      <c r="I12" s="131">
        <v>6.891</v>
      </c>
      <c r="J12" s="131">
        <v>3.7122000000000002</v>
      </c>
      <c r="K12" s="131">
        <v>20.077500000000001</v>
      </c>
      <c r="L12" s="131">
        <v>11.951000000000001</v>
      </c>
      <c r="M12" s="131">
        <v>4.2736000000000001</v>
      </c>
      <c r="N12" s="131">
        <v>13.8218</v>
      </c>
      <c r="O12" s="131">
        <v>19.725000000000001</v>
      </c>
      <c r="P12" s="131">
        <v>0.42930000000000001</v>
      </c>
      <c r="Q12" s="131">
        <v>0.7762</v>
      </c>
      <c r="R12" s="128">
        <v>4.3739999999999997</v>
      </c>
      <c r="S12" s="128">
        <v>11.185</v>
      </c>
      <c r="T12" s="128">
        <v>50.976300000000002</v>
      </c>
      <c r="U12" s="19">
        <f>(S12-0.3254)/3.2261</f>
        <v>3.3661696785592512</v>
      </c>
      <c r="V12" s="19">
        <v>4.6441999999999997</v>
      </c>
      <c r="W12" s="128">
        <v>6.891</v>
      </c>
      <c r="X12" s="128">
        <v>3.8441000000000001</v>
      </c>
      <c r="Y12" s="128">
        <v>19.879799999999999</v>
      </c>
      <c r="Z12" s="128">
        <v>11.951000000000001</v>
      </c>
      <c r="AA12" s="128">
        <v>4.3723000000000001</v>
      </c>
      <c r="AB12" s="128">
        <v>14.1317</v>
      </c>
      <c r="AC12" s="128">
        <v>19.713999999999999</v>
      </c>
      <c r="AD12" s="128">
        <v>1.6729000000000001</v>
      </c>
      <c r="AE12" s="128">
        <v>3.0445000000000002</v>
      </c>
      <c r="AF12" s="129">
        <v>4.3739999999999997</v>
      </c>
      <c r="AG12" s="129">
        <v>10.9825</v>
      </c>
      <c r="AH12" s="129">
        <v>50.027500000000003</v>
      </c>
      <c r="AI12" s="16">
        <f>(AG12-0.3254)/3.2261</f>
        <v>3.3034003905644584</v>
      </c>
      <c r="AJ12" s="16">
        <v>4.5681000000000003</v>
      </c>
      <c r="AK12" s="129">
        <v>6.891</v>
      </c>
      <c r="AL12" s="129">
        <v>3.8229000000000002</v>
      </c>
      <c r="AM12" s="129">
        <v>19.7837</v>
      </c>
      <c r="AN12" s="129">
        <v>11.951000000000001</v>
      </c>
      <c r="AO12" s="129">
        <v>4.3914</v>
      </c>
      <c r="AP12" s="129">
        <v>14.1953</v>
      </c>
      <c r="AQ12" s="129">
        <v>19.713999999999999</v>
      </c>
      <c r="AR12" s="129">
        <v>1.6374</v>
      </c>
      <c r="AS12" s="129">
        <v>2.9790999999999999</v>
      </c>
      <c r="AT12" s="130">
        <v>4.375</v>
      </c>
      <c r="AU12" s="130">
        <v>11.0335</v>
      </c>
      <c r="AV12" s="130">
        <v>50.221499999999999</v>
      </c>
      <c r="AW12" s="18">
        <f>(AU12-0.3254)/3.2261</f>
        <v>3.3192089519853689</v>
      </c>
      <c r="AX12" s="18">
        <v>4.5872999999999999</v>
      </c>
      <c r="AY12" s="130">
        <v>6.891</v>
      </c>
      <c r="AZ12" s="130">
        <v>3.7155999999999998</v>
      </c>
      <c r="BA12" s="130">
        <v>19.144400000000001</v>
      </c>
      <c r="BB12" s="130">
        <v>11.951000000000001</v>
      </c>
      <c r="BC12" s="130">
        <v>4.2990000000000004</v>
      </c>
      <c r="BD12" s="130">
        <v>13.8849</v>
      </c>
      <c r="BE12" s="130">
        <v>19.710999999999999</v>
      </c>
      <c r="BF12" s="130">
        <v>1.6026</v>
      </c>
      <c r="BG12" s="130">
        <v>2.9136000000000002</v>
      </c>
      <c r="BK12" s="12">
        <f t="shared" si="4"/>
        <v>3.3661696785592512</v>
      </c>
      <c r="BL12" s="12">
        <f t="shared" si="5"/>
        <v>3.3034003905644584</v>
      </c>
      <c r="BM12" s="12">
        <f t="shared" si="6"/>
        <v>3.3192089519853689</v>
      </c>
      <c r="BN12" s="12">
        <f t="shared" si="7"/>
        <v>3.3295930070363595</v>
      </c>
      <c r="BO12">
        <f t="shared" si="8"/>
        <v>3.2647623624389742E-2</v>
      </c>
      <c r="BP12">
        <v>3</v>
      </c>
      <c r="BQ12">
        <v>3.18</v>
      </c>
      <c r="BR12" s="12">
        <f t="shared" si="9"/>
        <v>5.9940183435658753E-2</v>
      </c>
      <c r="BT12" s="12">
        <f t="shared" si="3"/>
        <v>4.5998666666666663</v>
      </c>
      <c r="BU12" s="12">
        <f>'0 Set 2&amp;3'!$H12</f>
        <v>4.2941000000000003</v>
      </c>
      <c r="BV12" s="12">
        <f>'0 Set 2&amp;3'!$G12</f>
        <v>3.1033568372205145</v>
      </c>
      <c r="BW12" s="12">
        <f>'0 Set 2&amp;3'!$C12</f>
        <v>507.81666666666661</v>
      </c>
    </row>
    <row r="13" spans="1:102">
      <c r="A13" s="226" t="s">
        <v>88</v>
      </c>
      <c r="B13" s="14">
        <v>44459</v>
      </c>
      <c r="C13" s="12">
        <v>430.51666666666665</v>
      </c>
      <c r="D13" s="131">
        <v>4.3410000000000002</v>
      </c>
      <c r="E13" s="131">
        <v>0.95720000000000005</v>
      </c>
      <c r="F13" s="131">
        <v>3.6164999999999998</v>
      </c>
      <c r="G13" s="23">
        <f t="shared" ref="G13:G14" si="18">(E13-0.3254)/3.2261</f>
        <v>0.19584017854375252</v>
      </c>
      <c r="H13" s="23">
        <v>0.80030000000000001</v>
      </c>
      <c r="I13" s="131">
        <v>6.8879999999999999</v>
      </c>
      <c r="J13" s="131">
        <v>3.1621999999999999</v>
      </c>
      <c r="K13" s="131">
        <v>16.683199999999999</v>
      </c>
      <c r="L13" s="131">
        <v>11.948</v>
      </c>
      <c r="M13" s="131">
        <v>4.2706999999999997</v>
      </c>
      <c r="N13" s="131">
        <v>13.329700000000001</v>
      </c>
      <c r="O13" s="131">
        <v>19.713999999999999</v>
      </c>
      <c r="P13" s="131">
        <v>0.376</v>
      </c>
      <c r="Q13" s="131">
        <v>0.67649999999999999</v>
      </c>
      <c r="R13" s="128">
        <v>4.375</v>
      </c>
      <c r="S13" s="128">
        <v>11.3505</v>
      </c>
      <c r="T13" s="128">
        <v>51.601300000000002</v>
      </c>
      <c r="U13" s="19">
        <f t="shared" ref="U13:U14" si="19">(S13-0.3254)/3.2261</f>
        <v>3.4174700102290689</v>
      </c>
      <c r="V13" s="19">
        <v>4.7064000000000004</v>
      </c>
      <c r="W13" s="128">
        <v>6.891</v>
      </c>
      <c r="X13" s="128">
        <v>3.0979999999999999</v>
      </c>
      <c r="Y13" s="128">
        <v>16.2058</v>
      </c>
      <c r="Z13" s="128">
        <v>11.951000000000001</v>
      </c>
      <c r="AA13" s="128">
        <v>4.1813000000000002</v>
      </c>
      <c r="AB13" s="128">
        <v>12.437799999999999</v>
      </c>
      <c r="AC13" s="128">
        <v>19.710999999999999</v>
      </c>
      <c r="AD13" s="128">
        <v>1.5226999999999999</v>
      </c>
      <c r="AE13" s="128">
        <v>2.7658</v>
      </c>
      <c r="AF13" s="129">
        <v>4.3739999999999997</v>
      </c>
      <c r="AG13" s="129">
        <v>11.140599999999999</v>
      </c>
      <c r="AH13" s="129">
        <v>50.625</v>
      </c>
      <c r="AI13" s="16">
        <f t="shared" ref="AI13:AI14" si="20">(AG13-0.3254)/3.2261</f>
        <v>3.3524069309692814</v>
      </c>
      <c r="AJ13" s="16">
        <v>4.6275000000000004</v>
      </c>
      <c r="AK13" s="129">
        <v>6.8879999999999999</v>
      </c>
      <c r="AL13" s="129">
        <v>3.1101999999999999</v>
      </c>
      <c r="AM13" s="129">
        <v>16.248100000000001</v>
      </c>
      <c r="AN13" s="129">
        <v>11.948</v>
      </c>
      <c r="AO13" s="129">
        <v>4.1882000000000001</v>
      </c>
      <c r="AP13" s="129">
        <v>12.4587</v>
      </c>
      <c r="AQ13" s="129">
        <v>19.704000000000001</v>
      </c>
      <c r="AR13" s="129">
        <v>1.5136000000000001</v>
      </c>
      <c r="AS13" s="129">
        <v>2.7464</v>
      </c>
      <c r="AT13" s="130">
        <v>4.375</v>
      </c>
      <c r="AU13" s="130">
        <v>11.307700000000001</v>
      </c>
      <c r="AV13" s="130">
        <v>51.1006</v>
      </c>
      <c r="AW13" s="18">
        <f t="shared" ref="AW13:AW14" si="21">(AU13-0.3254)/3.2261</f>
        <v>3.4042032175072068</v>
      </c>
      <c r="AX13" s="18">
        <v>4.6902999999999997</v>
      </c>
      <c r="AY13" s="130">
        <v>6.8879999999999999</v>
      </c>
      <c r="AZ13" s="130">
        <v>3.3132999999999999</v>
      </c>
      <c r="BA13" s="130">
        <v>16.640899999999998</v>
      </c>
      <c r="BB13" s="130">
        <v>11.948</v>
      </c>
      <c r="BC13" s="130">
        <v>4.2230999999999996</v>
      </c>
      <c r="BD13" s="130">
        <v>13.5586</v>
      </c>
      <c r="BE13" s="130">
        <v>19.704999999999998</v>
      </c>
      <c r="BF13" s="130">
        <v>1.5595000000000001</v>
      </c>
      <c r="BG13" s="130">
        <v>2.8273999999999999</v>
      </c>
      <c r="BK13" s="12">
        <f t="shared" si="4"/>
        <v>3.4174700102290689</v>
      </c>
      <c r="BL13" s="12">
        <f t="shared" si="5"/>
        <v>3.3524069309692814</v>
      </c>
      <c r="BM13" s="12">
        <f t="shared" si="6"/>
        <v>3.4042032175072068</v>
      </c>
      <c r="BN13" s="12">
        <f t="shared" si="7"/>
        <v>3.3913600529018524</v>
      </c>
      <c r="BO13">
        <f t="shared" si="8"/>
        <v>3.4380390173782471E-2</v>
      </c>
      <c r="BP13">
        <v>3</v>
      </c>
      <c r="BQ13">
        <v>3.18</v>
      </c>
      <c r="BR13" s="12">
        <f t="shared" si="9"/>
        <v>6.3121497518935019E-2</v>
      </c>
      <c r="BT13" s="12">
        <f t="shared" si="3"/>
        <v>4.6747333333333332</v>
      </c>
      <c r="BU13" s="12">
        <f>'0 Set 2&amp;3'!$H13</f>
        <v>4.0742000000000003</v>
      </c>
      <c r="BV13" s="12">
        <f>'0 Set 2&amp;3'!$G13</f>
        <v>2.9270475501717597</v>
      </c>
      <c r="BW13" s="12">
        <f>'0 Set 2&amp;3'!$C13</f>
        <v>625.1</v>
      </c>
    </row>
    <row r="14" spans="1:102">
      <c r="A14" s="226" t="s">
        <v>88</v>
      </c>
      <c r="B14" s="14">
        <v>44460</v>
      </c>
      <c r="C14" s="12">
        <v>453.28333333333336</v>
      </c>
      <c r="D14" s="131">
        <v>4.3410000000000002</v>
      </c>
      <c r="E14" s="131">
        <v>0.78569999999999995</v>
      </c>
      <c r="F14" s="131">
        <v>3.6217000000000001</v>
      </c>
      <c r="G14" s="23">
        <f t="shared" si="18"/>
        <v>0.14268001611853318</v>
      </c>
      <c r="H14" s="23">
        <v>0.7359</v>
      </c>
      <c r="I14" s="131">
        <v>6.8849999999999998</v>
      </c>
      <c r="J14" s="131">
        <v>3.3864000000000001</v>
      </c>
      <c r="K14" s="131">
        <v>17.7654</v>
      </c>
      <c r="L14" s="131">
        <v>11.941000000000001</v>
      </c>
      <c r="M14" s="131">
        <v>4.3653000000000004</v>
      </c>
      <c r="N14" s="131">
        <v>14.019299999999999</v>
      </c>
      <c r="O14" s="131">
        <v>19.704999999999998</v>
      </c>
      <c r="P14" s="131">
        <v>0.31380000000000002</v>
      </c>
      <c r="Q14" s="131">
        <v>0.56330000000000002</v>
      </c>
      <c r="R14" s="128">
        <v>4.3710000000000004</v>
      </c>
      <c r="S14" s="128">
        <v>10.680899999999999</v>
      </c>
      <c r="T14" s="128">
        <v>49.042999999999999</v>
      </c>
      <c r="U14" s="19">
        <f t="shared" si="19"/>
        <v>3.2099128979262881</v>
      </c>
      <c r="V14" s="19">
        <v>4.4546999999999999</v>
      </c>
      <c r="W14" s="128">
        <v>6.8849999999999998</v>
      </c>
      <c r="X14" s="128">
        <v>3.6332</v>
      </c>
      <c r="Y14" s="128">
        <v>18.5184</v>
      </c>
      <c r="Z14" s="128">
        <v>11.945</v>
      </c>
      <c r="AA14" s="128">
        <v>4.4821999999999997</v>
      </c>
      <c r="AB14" s="128">
        <v>14.3992</v>
      </c>
      <c r="AC14" s="128">
        <v>19.698</v>
      </c>
      <c r="AD14" s="128">
        <v>1.4726999999999999</v>
      </c>
      <c r="AE14" s="128">
        <v>2.6674000000000002</v>
      </c>
      <c r="AF14" s="129">
        <v>4.3710000000000004</v>
      </c>
      <c r="AG14" s="129">
        <v>10.6721</v>
      </c>
      <c r="AH14" s="129">
        <v>48.880600000000001</v>
      </c>
      <c r="AI14" s="16">
        <f t="shared" si="20"/>
        <v>3.2071851461517</v>
      </c>
      <c r="AJ14" s="16">
        <v>4.4515000000000002</v>
      </c>
      <c r="AK14" s="129">
        <v>6.8840000000000003</v>
      </c>
      <c r="AL14" s="129">
        <v>3.5074999999999998</v>
      </c>
      <c r="AM14" s="129">
        <v>17.769200000000001</v>
      </c>
      <c r="AN14" s="129">
        <v>11.941000000000001</v>
      </c>
      <c r="AO14" s="129">
        <v>4.4752999999999998</v>
      </c>
      <c r="AP14" s="129">
        <v>14.3766</v>
      </c>
      <c r="AQ14" s="129">
        <v>19.698</v>
      </c>
      <c r="AR14" s="129">
        <v>1.4422999999999999</v>
      </c>
      <c r="AS14" s="129">
        <v>2.6118999999999999</v>
      </c>
      <c r="AT14" s="130">
        <v>4.3710000000000004</v>
      </c>
      <c r="AU14" s="130">
        <v>10.628500000000001</v>
      </c>
      <c r="AV14" s="130">
        <v>48.770699999999998</v>
      </c>
      <c r="AW14" s="18">
        <f t="shared" si="21"/>
        <v>3.1936703759957843</v>
      </c>
      <c r="AX14" s="18">
        <v>4.4349999999999996</v>
      </c>
      <c r="AY14" s="130">
        <v>6.8869999999999996</v>
      </c>
      <c r="AZ14" s="130">
        <v>3.6179999999999999</v>
      </c>
      <c r="BA14" s="130">
        <v>18.428000000000001</v>
      </c>
      <c r="BB14" s="130">
        <v>11.944000000000001</v>
      </c>
      <c r="BC14" s="130">
        <v>4.4981999999999998</v>
      </c>
      <c r="BD14" s="130">
        <v>14.4537</v>
      </c>
      <c r="BE14" s="130">
        <v>19.696999999999999</v>
      </c>
      <c r="BF14" s="130">
        <v>1.4755</v>
      </c>
      <c r="BG14" s="130">
        <v>2.6722999999999999</v>
      </c>
      <c r="BK14" s="12">
        <f t="shared" si="4"/>
        <v>3.2099128979262881</v>
      </c>
      <c r="BL14" s="12">
        <f t="shared" si="5"/>
        <v>3.2071851461517</v>
      </c>
      <c r="BM14" s="12">
        <f t="shared" si="6"/>
        <v>3.1936703759957843</v>
      </c>
      <c r="BN14" s="12">
        <f t="shared" si="7"/>
        <v>3.2035894733579244</v>
      </c>
      <c r="BO14">
        <f t="shared" si="8"/>
        <v>8.6977886152544131E-3</v>
      </c>
      <c r="BP14">
        <v>3</v>
      </c>
      <c r="BQ14">
        <v>3.18</v>
      </c>
      <c r="BR14" s="12">
        <f t="shared" si="9"/>
        <v>1.5968912502821682E-2</v>
      </c>
      <c r="BT14" s="12">
        <f t="shared" si="3"/>
        <v>4.4470666666666672</v>
      </c>
      <c r="BU14" s="12">
        <f>'0 Set 2&amp;3'!$H14</f>
        <v>4.2914000000000003</v>
      </c>
      <c r="BV14" s="12">
        <f>'0 Set 2&amp;3'!$G14</f>
        <v>3.1012173808232388</v>
      </c>
      <c r="BW14" s="12">
        <f>'0 Set 2&amp;3'!$C14</f>
        <v>717.73333333333335</v>
      </c>
    </row>
    <row r="15" spans="1:102">
      <c r="A15" s="226" t="s">
        <v>107</v>
      </c>
      <c r="B15" s="14">
        <v>44461</v>
      </c>
      <c r="C15" s="12">
        <v>478.11666666666667</v>
      </c>
      <c r="D15" s="131">
        <v>4.3380000000000001</v>
      </c>
      <c r="E15" s="131">
        <v>0.73089999999999999</v>
      </c>
      <c r="F15" s="131">
        <v>3.4104000000000001</v>
      </c>
      <c r="G15" s="23">
        <f>(E15+0.0373)/3.2894</f>
        <v>0.23353803125190004</v>
      </c>
      <c r="H15" s="23">
        <v>0.71530000000000005</v>
      </c>
      <c r="I15" s="131">
        <v>6.8609999999999998</v>
      </c>
      <c r="J15" s="131">
        <v>3.5310999999999999</v>
      </c>
      <c r="K15" s="131">
        <v>18.632000000000001</v>
      </c>
      <c r="L15" s="131">
        <v>11.845000000000001</v>
      </c>
      <c r="M15" s="131">
        <v>4.4805000000000001</v>
      </c>
      <c r="N15" s="131">
        <v>14.526999999999999</v>
      </c>
      <c r="O15" s="131">
        <v>19.478000000000002</v>
      </c>
      <c r="P15" s="131">
        <v>0.33229999999999998</v>
      </c>
      <c r="Q15" s="131">
        <v>0.60399999999999998</v>
      </c>
      <c r="R15" s="128">
        <v>4.3710000000000004</v>
      </c>
      <c r="S15" s="128">
        <v>10.6999</v>
      </c>
      <c r="T15" s="128">
        <v>49.3352</v>
      </c>
      <c r="U15" s="19">
        <f>(S15+0.0373)/3.2894</f>
        <v>3.2641819176749558</v>
      </c>
      <c r="V15" s="19">
        <v>4.4619</v>
      </c>
      <c r="W15" s="128">
        <v>6.8609999999999998</v>
      </c>
      <c r="X15" s="128">
        <v>4.0088999999999997</v>
      </c>
      <c r="Y15" s="128">
        <v>20.963000000000001</v>
      </c>
      <c r="Z15" s="128">
        <v>11.845000000000001</v>
      </c>
      <c r="AA15" s="128">
        <v>4.7169999999999996</v>
      </c>
      <c r="AB15" s="128">
        <v>15.316000000000001</v>
      </c>
      <c r="AC15" s="128">
        <v>19.471</v>
      </c>
      <c r="AD15" s="128">
        <v>1.4555</v>
      </c>
      <c r="AE15" s="128">
        <v>2.66</v>
      </c>
      <c r="AF15" s="129">
        <v>4.3680000000000003</v>
      </c>
      <c r="AG15" s="129">
        <v>10.6591</v>
      </c>
      <c r="AH15" s="129">
        <v>49.140900000000002</v>
      </c>
      <c r="AI15" s="16">
        <f>(AG15+0.0373)/3.2894</f>
        <v>3.2517784398370524</v>
      </c>
      <c r="AJ15" s="16">
        <v>4.4465000000000003</v>
      </c>
      <c r="AK15" s="129">
        <v>6.8579999999999997</v>
      </c>
      <c r="AL15" s="129">
        <v>3.8117999999999999</v>
      </c>
      <c r="AM15" s="129">
        <v>19.755400000000002</v>
      </c>
      <c r="AN15" s="129">
        <v>11.845000000000001</v>
      </c>
      <c r="AO15" s="129">
        <v>4.5929000000000002</v>
      </c>
      <c r="AP15" s="129">
        <v>14.888199999999999</v>
      </c>
      <c r="AQ15" s="129">
        <v>19.465</v>
      </c>
      <c r="AR15" s="129">
        <v>1.4666999999999999</v>
      </c>
      <c r="AS15" s="129">
        <v>2.6810999999999998</v>
      </c>
      <c r="AT15" s="130">
        <v>4.3680000000000003</v>
      </c>
      <c r="AU15" s="130">
        <v>10.6602</v>
      </c>
      <c r="AV15" s="130">
        <v>49.100499999999997</v>
      </c>
      <c r="AW15" s="18">
        <f>(AU15+0.0373)/3.2894</f>
        <v>3.2521128473277798</v>
      </c>
      <c r="AX15" s="18">
        <v>4.4470000000000001</v>
      </c>
      <c r="AY15" s="130">
        <v>6.8579999999999997</v>
      </c>
      <c r="AZ15" s="130">
        <v>3.7599</v>
      </c>
      <c r="BA15" s="130">
        <v>19.41</v>
      </c>
      <c r="BB15" s="130">
        <v>11.845000000000001</v>
      </c>
      <c r="BC15" s="130">
        <v>4.5342000000000002</v>
      </c>
      <c r="BD15" s="130">
        <v>14.672499999999999</v>
      </c>
      <c r="BE15" s="130">
        <v>19.468</v>
      </c>
      <c r="BF15" s="130">
        <v>1.4298999999999999</v>
      </c>
      <c r="BG15" s="130">
        <v>2.7128999999999999</v>
      </c>
      <c r="BK15" s="12">
        <f t="shared" ref="BK15:BK20" si="22">U15</f>
        <v>3.2641819176749558</v>
      </c>
      <c r="BL15" s="12">
        <f t="shared" ref="BL15:BL20" si="23">AI15</f>
        <v>3.2517784398370524</v>
      </c>
      <c r="BM15" s="12">
        <f t="shared" ref="BM15:BM20" si="24">AW15</f>
        <v>3.2521128473277798</v>
      </c>
      <c r="BN15" s="12">
        <f t="shared" ref="BN15:BN20" si="25">AVERAGE(BK15:BM15)</f>
        <v>3.2560244016132622</v>
      </c>
      <c r="BO15">
        <f t="shared" ref="BO15:BO20" si="26">STDEV(BK15:BM15)</f>
        <v>7.0665945345017248E-3</v>
      </c>
      <c r="BP15">
        <v>3</v>
      </c>
      <c r="BQ15">
        <v>3.18</v>
      </c>
      <c r="BR15" s="12">
        <f t="shared" ref="BR15:BR20" si="27">(BQ15*BO15)/SQRT(BP15)</f>
        <v>1.297408281646026E-2</v>
      </c>
      <c r="BT15" s="12">
        <f t="shared" si="3"/>
        <v>4.4517999999999995</v>
      </c>
      <c r="BU15" s="12">
        <f>'0 Set 2&amp;3'!$H15</f>
        <v>4.2865000000000002</v>
      </c>
      <c r="BV15" s="12">
        <f>'0 Set 2&amp;3'!$G15</f>
        <v>3.0620745012932185</v>
      </c>
      <c r="BW15" s="12">
        <f>'0 Set 2&amp;3'!$C15</f>
        <v>790.18333333333328</v>
      </c>
    </row>
    <row r="16" spans="1:102">
      <c r="A16" s="226" t="s">
        <v>107</v>
      </c>
      <c r="B16" s="14">
        <v>44462</v>
      </c>
      <c r="C16" s="12">
        <v>509.06666666666666</v>
      </c>
      <c r="D16" s="131">
        <v>4.335</v>
      </c>
      <c r="E16" s="131">
        <v>0.95009999999999994</v>
      </c>
      <c r="F16" s="131">
        <v>3.8801000000000001</v>
      </c>
      <c r="G16" s="23">
        <f t="shared" ref="G16:G17" si="28">(E16+0.0373)/3.2894</f>
        <v>0.30017632394965643</v>
      </c>
      <c r="H16" s="23">
        <v>0.79759999999999998</v>
      </c>
      <c r="I16" s="131">
        <v>6.8550000000000004</v>
      </c>
      <c r="J16" s="131">
        <v>4.2487000000000004</v>
      </c>
      <c r="K16" s="131">
        <v>22.857600000000001</v>
      </c>
      <c r="L16" s="131">
        <v>11.835000000000001</v>
      </c>
      <c r="M16" s="131">
        <v>5.1087999999999996</v>
      </c>
      <c r="N16" s="131">
        <v>16.558399999999999</v>
      </c>
      <c r="O16" s="131">
        <v>19.460999999999999</v>
      </c>
      <c r="P16" s="131">
        <v>0.39200000000000002</v>
      </c>
      <c r="Q16" s="131">
        <v>0.71120000000000005</v>
      </c>
      <c r="R16" s="128">
        <v>4.3710000000000004</v>
      </c>
      <c r="S16" s="128">
        <v>11.044700000000001</v>
      </c>
      <c r="T16" s="128">
        <v>52.329000000000001</v>
      </c>
      <c r="U16" s="19">
        <f t="shared" ref="U16:U17" si="29">(S16+0.0373)/3.2894</f>
        <v>3.3690034656776313</v>
      </c>
      <c r="V16" s="19">
        <v>4.5914999999999999</v>
      </c>
      <c r="W16" s="128">
        <v>6.8579999999999997</v>
      </c>
      <c r="X16" s="128">
        <v>4.5152999999999999</v>
      </c>
      <c r="Y16" s="128">
        <v>23.2437</v>
      </c>
      <c r="Z16" s="128">
        <v>11.837999999999999</v>
      </c>
      <c r="AA16" s="128">
        <v>5.0762999999999998</v>
      </c>
      <c r="AB16" s="128">
        <v>16.438500000000001</v>
      </c>
      <c r="AC16" s="128">
        <v>19.457999999999998</v>
      </c>
      <c r="AD16" s="128">
        <v>1.5914999999999999</v>
      </c>
      <c r="AE16" s="128">
        <v>2.9102000000000001</v>
      </c>
      <c r="AF16" s="129">
        <v>4.3680000000000003</v>
      </c>
      <c r="AG16" s="129">
        <v>10.674099999999999</v>
      </c>
      <c r="AH16" s="129">
        <v>50.605600000000003</v>
      </c>
      <c r="AI16" s="16">
        <f t="shared" ref="AI16:AI17" si="30">(AG16+0.0373)/3.2894</f>
        <v>3.2563385419833399</v>
      </c>
      <c r="AJ16" s="16">
        <v>4.4522000000000004</v>
      </c>
      <c r="AK16" s="129">
        <v>6.8579999999999997</v>
      </c>
      <c r="AL16" s="129">
        <v>4.5693000000000001</v>
      </c>
      <c r="AM16" s="129">
        <v>23.6035</v>
      </c>
      <c r="AN16" s="129">
        <v>11.837999999999999</v>
      </c>
      <c r="AO16" s="129">
        <v>5.2676999999999996</v>
      </c>
      <c r="AP16" s="129">
        <v>17.079699999999999</v>
      </c>
      <c r="AQ16" s="129">
        <v>19.454000000000001</v>
      </c>
      <c r="AR16" s="129">
        <v>1.5609</v>
      </c>
      <c r="AS16" s="129">
        <v>2.8523999999999998</v>
      </c>
      <c r="AT16" s="130">
        <v>4.3680000000000003</v>
      </c>
      <c r="AU16" s="130">
        <v>10.6173</v>
      </c>
      <c r="AV16" s="130">
        <v>50.0747</v>
      </c>
      <c r="AW16" s="18">
        <f t="shared" ref="AW16:AW17" si="31">(AU16+0.0373)/3.2894</f>
        <v>3.2390709551893964</v>
      </c>
      <c r="AX16" s="18">
        <v>4.4309000000000003</v>
      </c>
      <c r="AY16" s="130">
        <v>6.8579999999999997</v>
      </c>
      <c r="AZ16" s="130">
        <v>4.6092000000000004</v>
      </c>
      <c r="BA16" s="130">
        <v>22.843900000000001</v>
      </c>
      <c r="BB16" s="130">
        <v>11.840999999999999</v>
      </c>
      <c r="BC16" s="130">
        <v>5.1071</v>
      </c>
      <c r="BD16" s="130">
        <v>16.5304</v>
      </c>
      <c r="BE16" s="130">
        <v>19.457999999999998</v>
      </c>
      <c r="BF16" s="130">
        <v>1.53</v>
      </c>
      <c r="BG16" s="130">
        <v>2.794</v>
      </c>
      <c r="BK16" s="12">
        <f t="shared" si="22"/>
        <v>3.3690034656776313</v>
      </c>
      <c r="BL16" s="12">
        <f t="shared" si="23"/>
        <v>3.2563385419833399</v>
      </c>
      <c r="BM16" s="12">
        <f t="shared" si="24"/>
        <v>3.2390709551893964</v>
      </c>
      <c r="BN16" s="12">
        <f t="shared" si="25"/>
        <v>3.2881376542834562</v>
      </c>
      <c r="BO16">
        <f t="shared" si="26"/>
        <v>7.0562043463538948E-2</v>
      </c>
      <c r="BP16">
        <v>3</v>
      </c>
      <c r="BQ16">
        <v>3.18</v>
      </c>
      <c r="BR16" s="12">
        <f t="shared" si="27"/>
        <v>0.12955006702661684</v>
      </c>
      <c r="BT16" s="12">
        <f t="shared" si="3"/>
        <v>4.4915333333333338</v>
      </c>
      <c r="BU16" s="12">
        <f>'0 Set 2&amp;3'!$H16</f>
        <v>4.3593999999999999</v>
      </c>
      <c r="BV16" s="12">
        <f>'0 Set 2&amp;3'!$G16</f>
        <v>3.1197490858281056</v>
      </c>
      <c r="BW16" s="12">
        <f>'0 Set 2&amp;3'!$C16</f>
        <v>838.58333333333337</v>
      </c>
      <c r="CV16">
        <v>3.1033568372205145</v>
      </c>
      <c r="CW16">
        <v>507.81666666666661</v>
      </c>
    </row>
    <row r="17" spans="1:101" s="54" customFormat="1" ht="16" thickBot="1">
      <c r="A17" s="235" t="s">
        <v>107</v>
      </c>
      <c r="B17" s="55">
        <v>44463</v>
      </c>
      <c r="C17" s="56">
        <v>527.65</v>
      </c>
      <c r="D17" s="57">
        <v>4.351</v>
      </c>
      <c r="E17" s="57">
        <v>0.76149999999999995</v>
      </c>
      <c r="F17" s="57">
        <v>3.6398999999999999</v>
      </c>
      <c r="G17" s="58">
        <f t="shared" si="28"/>
        <v>0.2428406396303277</v>
      </c>
      <c r="H17" s="58">
        <v>0.7268</v>
      </c>
      <c r="I17" s="57">
        <v>6.8810000000000002</v>
      </c>
      <c r="J17" s="57">
        <v>4.0594000000000001</v>
      </c>
      <c r="K17" s="57">
        <v>22.118600000000001</v>
      </c>
      <c r="L17" s="57">
        <v>11.881</v>
      </c>
      <c r="M17" s="57">
        <v>4.8380999999999998</v>
      </c>
      <c r="N17" s="57">
        <v>15.596299999999999</v>
      </c>
      <c r="O17" s="57">
        <v>19.527999999999999</v>
      </c>
      <c r="P17" s="57">
        <v>0.40889999999999999</v>
      </c>
      <c r="Q17" s="57">
        <v>0.73909999999999998</v>
      </c>
      <c r="R17" s="59">
        <v>4.3810000000000002</v>
      </c>
      <c r="S17" s="59">
        <v>10.7254</v>
      </c>
      <c r="T17" s="59">
        <v>51.088000000000001</v>
      </c>
      <c r="U17" s="60">
        <f t="shared" si="29"/>
        <v>3.2719340913236459</v>
      </c>
      <c r="V17" s="60">
        <v>4.4714999999999998</v>
      </c>
      <c r="W17" s="59">
        <v>6.8810000000000002</v>
      </c>
      <c r="X17" s="59">
        <v>5.2632000000000003</v>
      </c>
      <c r="Y17" s="59">
        <v>26.849799999999998</v>
      </c>
      <c r="Z17" s="59">
        <v>11.881</v>
      </c>
      <c r="AA17" s="59">
        <v>4.7873999999999999</v>
      </c>
      <c r="AB17" s="59">
        <v>15.443</v>
      </c>
      <c r="AC17" s="59">
        <v>19.510999999999999</v>
      </c>
      <c r="AD17" s="59">
        <v>1.6595</v>
      </c>
      <c r="AE17" s="59">
        <v>3.0301999999999998</v>
      </c>
      <c r="AF17" s="61">
        <v>4.3810000000000002</v>
      </c>
      <c r="AG17" s="61">
        <v>10.9473</v>
      </c>
      <c r="AH17" s="61">
        <v>51.649000000000001</v>
      </c>
      <c r="AI17" s="62">
        <f t="shared" si="30"/>
        <v>3.339393202407734</v>
      </c>
      <c r="AJ17" s="62">
        <v>4.5548999999999999</v>
      </c>
      <c r="AK17" s="61">
        <v>6.8780000000000001</v>
      </c>
      <c r="AL17" s="61">
        <v>3.9333</v>
      </c>
      <c r="AM17" s="61">
        <v>20.382100000000001</v>
      </c>
      <c r="AN17" s="61">
        <v>11.878</v>
      </c>
      <c r="AO17" s="61">
        <v>4.9276999999999997</v>
      </c>
      <c r="AP17" s="61">
        <v>15.901300000000001</v>
      </c>
      <c r="AQ17" s="61">
        <v>19.510999999999999</v>
      </c>
      <c r="AR17" s="61">
        <v>1.5664</v>
      </c>
      <c r="AS17" s="61">
        <v>2.8557000000000001</v>
      </c>
      <c r="AT17" s="63">
        <v>4.3810000000000002</v>
      </c>
      <c r="AU17" s="63">
        <v>10.5259</v>
      </c>
      <c r="AV17" s="63">
        <v>50.061700000000002</v>
      </c>
      <c r="AW17" s="64">
        <f t="shared" si="31"/>
        <v>3.2112847327780143</v>
      </c>
      <c r="AX17" s="64">
        <v>4.3964999999999996</v>
      </c>
      <c r="AY17" s="63">
        <v>6.8780000000000001</v>
      </c>
      <c r="AZ17" s="63">
        <v>4.2061999999999999</v>
      </c>
      <c r="BA17" s="63">
        <v>20.4236</v>
      </c>
      <c r="BB17" s="63">
        <v>11.878</v>
      </c>
      <c r="BC17" s="63">
        <v>5.0522999999999998</v>
      </c>
      <c r="BD17" s="63">
        <v>16.308299999999999</v>
      </c>
      <c r="BE17" s="63">
        <v>19.513999999999999</v>
      </c>
      <c r="BF17" s="63">
        <v>1.5253000000000001</v>
      </c>
      <c r="BG17" s="63">
        <v>2.7850000000000001</v>
      </c>
      <c r="BK17" s="56">
        <f t="shared" si="22"/>
        <v>3.2719340913236459</v>
      </c>
      <c r="BL17" s="56">
        <f t="shared" si="23"/>
        <v>3.339393202407734</v>
      </c>
      <c r="BM17" s="56">
        <f t="shared" si="24"/>
        <v>3.2112847327780143</v>
      </c>
      <c r="BN17" s="56">
        <f t="shared" si="25"/>
        <v>3.2742040088364646</v>
      </c>
      <c r="BO17" s="54">
        <f t="shared" si="26"/>
        <v>6.4084392732189119E-2</v>
      </c>
      <c r="BP17" s="54">
        <v>3</v>
      </c>
      <c r="BQ17" s="54">
        <v>3.18</v>
      </c>
      <c r="BR17" s="56">
        <f t="shared" si="27"/>
        <v>0.11765726963541022</v>
      </c>
      <c r="BT17" s="12">
        <f t="shared" si="3"/>
        <v>4.4742999999999995</v>
      </c>
      <c r="BU17" s="12">
        <f>'0 Set 2&amp;3'!$H17</f>
        <v>4.6185999999999998</v>
      </c>
      <c r="BV17" s="12">
        <f>'0 Set 2&amp;3'!$G17</f>
        <v>3.2353437000435981</v>
      </c>
      <c r="BW17" s="12">
        <f>'0 Set 2&amp;3'!$C17</f>
        <v>958.73333333333335</v>
      </c>
      <c r="CV17">
        <v>2.9270475501717597</v>
      </c>
      <c r="CW17">
        <v>625.1</v>
      </c>
    </row>
    <row r="18" spans="1:101">
      <c r="A18" s="226" t="s">
        <v>108</v>
      </c>
      <c r="B18" s="14">
        <v>44466</v>
      </c>
      <c r="C18" s="12">
        <v>599</v>
      </c>
      <c r="D18" s="131">
        <v>4.3250000000000002</v>
      </c>
      <c r="E18" s="131">
        <v>1.0597000000000001</v>
      </c>
      <c r="F18" s="131">
        <v>4.2187000000000001</v>
      </c>
      <c r="G18" s="23">
        <f>(E18+0.006)/3.3476</f>
        <v>0.31834747281634607</v>
      </c>
      <c r="H18" s="23">
        <v>0.83889999999999998</v>
      </c>
      <c r="I18" s="131">
        <v>6.8179999999999996</v>
      </c>
      <c r="J18" s="131">
        <v>3.7704</v>
      </c>
      <c r="K18" s="131">
        <v>20.763400000000001</v>
      </c>
      <c r="L18" s="131">
        <v>11.744999999999999</v>
      </c>
      <c r="M18" s="131">
        <v>4.0593000000000004</v>
      </c>
      <c r="N18" s="131">
        <v>13.392300000000001</v>
      </c>
      <c r="O18" s="131">
        <v>19.108000000000001</v>
      </c>
      <c r="P18" s="131">
        <v>0.41189999999999999</v>
      </c>
      <c r="Q18" s="131">
        <v>0.7762</v>
      </c>
      <c r="R18" s="128">
        <v>4.3579999999999997</v>
      </c>
      <c r="S18" s="128">
        <v>11.914899999999999</v>
      </c>
      <c r="T18" s="128">
        <v>55.417999999999999</v>
      </c>
      <c r="U18" s="19">
        <f>(S18+0.006)/3.3476</f>
        <v>3.5610287967499104</v>
      </c>
      <c r="V18" s="19">
        <v>4.9184999999999999</v>
      </c>
      <c r="W18" s="128">
        <v>6.8209999999999997</v>
      </c>
      <c r="X18" s="128">
        <v>3.4904999999999999</v>
      </c>
      <c r="Y18" s="128">
        <v>18.911300000000001</v>
      </c>
      <c r="Z18" s="128">
        <v>11.48</v>
      </c>
      <c r="AA18" s="128">
        <v>4.0948000000000002</v>
      </c>
      <c r="AB18" s="128">
        <v>13.5101</v>
      </c>
      <c r="AC18" s="128">
        <v>19.103999999999999</v>
      </c>
      <c r="AD18" s="128">
        <v>1.3787</v>
      </c>
      <c r="AE18" s="128">
        <v>2.5966999999999998</v>
      </c>
      <c r="AF18" s="129">
        <v>4.3540000000000001</v>
      </c>
      <c r="AG18" s="129">
        <v>11.0342</v>
      </c>
      <c r="AH18" s="129">
        <v>51.625999999999998</v>
      </c>
      <c r="AI18" s="16">
        <f>(AG18+0.006)/3.3476</f>
        <v>3.2979447962719561</v>
      </c>
      <c r="AJ18" s="16">
        <v>4.5875000000000004</v>
      </c>
      <c r="AK18" s="129">
        <v>6.8209999999999997</v>
      </c>
      <c r="AL18" s="129">
        <v>3.4049</v>
      </c>
      <c r="AM18" s="129">
        <v>18.382200000000001</v>
      </c>
      <c r="AN18" s="129">
        <v>11.747999999999999</v>
      </c>
      <c r="AO18" s="129">
        <v>4.1485000000000003</v>
      </c>
      <c r="AP18" s="129">
        <v>13.6867</v>
      </c>
      <c r="AQ18" s="129">
        <v>19.100999999999999</v>
      </c>
      <c r="AR18" s="129">
        <v>1.1081000000000001</v>
      </c>
      <c r="AS18" s="129">
        <v>2.0811999999999999</v>
      </c>
      <c r="AT18" s="130">
        <v>4.351</v>
      </c>
      <c r="AU18" s="130">
        <v>10.5761</v>
      </c>
      <c r="AV18" s="130">
        <v>49.555799999999998</v>
      </c>
      <c r="AW18" s="18">
        <f>(AU18+0.006)/3.3476</f>
        <v>3.1611004899032147</v>
      </c>
      <c r="AX18" s="18">
        <v>4.4154</v>
      </c>
      <c r="AY18" s="130">
        <v>6.8179999999999996</v>
      </c>
      <c r="AZ18" s="130">
        <v>3.4350999999999998</v>
      </c>
      <c r="BA18" s="130">
        <v>18.5746</v>
      </c>
      <c r="BB18" s="130">
        <v>11.744999999999999</v>
      </c>
      <c r="BC18" s="130">
        <v>4.2720000000000002</v>
      </c>
      <c r="BD18" s="130">
        <v>14.1044</v>
      </c>
      <c r="BE18" s="130">
        <v>19.097999999999999</v>
      </c>
      <c r="BF18" s="130">
        <v>1.2052</v>
      </c>
      <c r="BG18" s="130">
        <v>2.266</v>
      </c>
      <c r="BK18" s="12">
        <f t="shared" si="22"/>
        <v>3.5610287967499104</v>
      </c>
      <c r="BL18" s="12">
        <f t="shared" si="23"/>
        <v>3.2979447962719561</v>
      </c>
      <c r="BM18" s="12">
        <f t="shared" si="24"/>
        <v>3.1611004899032147</v>
      </c>
      <c r="BN18" s="12">
        <f t="shared" si="25"/>
        <v>3.3400246943083602</v>
      </c>
      <c r="BO18">
        <f t="shared" si="26"/>
        <v>0.20325772068578804</v>
      </c>
      <c r="BP18">
        <v>3</v>
      </c>
      <c r="BQ18">
        <v>3.18</v>
      </c>
      <c r="BR18" s="12">
        <f t="shared" si="27"/>
        <v>0.3731758612139342</v>
      </c>
      <c r="BT18" s="12">
        <f t="shared" si="3"/>
        <v>4.6404666666666667</v>
      </c>
      <c r="BU18" s="12">
        <f>'0 Set 2&amp;3'!$H18</f>
        <v>5.0079000000000002</v>
      </c>
      <c r="BV18" s="12">
        <f>'0 Set 2&amp;3'!$G18</f>
        <v>3.5364045923557619</v>
      </c>
      <c r="BW18" s="12">
        <f>'0 Set 2&amp;3'!$C18</f>
        <v>1029.5999999999999</v>
      </c>
      <c r="CV18">
        <v>3.1012173808232388</v>
      </c>
      <c r="CW18">
        <v>717.73333333333335</v>
      </c>
    </row>
    <row r="19" spans="1:101">
      <c r="A19" s="226" t="s">
        <v>108</v>
      </c>
      <c r="B19" s="14">
        <v>44467</v>
      </c>
      <c r="C19" s="12">
        <v>623</v>
      </c>
      <c r="D19" s="131">
        <v>4.3209999999999997</v>
      </c>
      <c r="E19" s="131">
        <v>1.4259999999999999</v>
      </c>
      <c r="F19" s="131">
        <v>6.4832999999999998</v>
      </c>
      <c r="G19" s="23">
        <f>(E19+0.006)/3.3476</f>
        <v>0.42776914804636157</v>
      </c>
      <c r="H19" s="23">
        <v>0.97650000000000003</v>
      </c>
      <c r="I19" s="131">
        <v>6.8179999999999996</v>
      </c>
      <c r="J19" s="131">
        <v>3.5529999999999999</v>
      </c>
      <c r="K19" s="131">
        <v>19.0732</v>
      </c>
      <c r="L19" s="131">
        <v>11.741</v>
      </c>
      <c r="M19" s="131">
        <v>4.2752999999999997</v>
      </c>
      <c r="N19" s="131">
        <v>14.0587</v>
      </c>
      <c r="O19" s="131">
        <v>19.097999999999999</v>
      </c>
      <c r="P19" s="131">
        <v>0.4173</v>
      </c>
      <c r="Q19" s="131">
        <v>0.77839999999999998</v>
      </c>
      <c r="R19" s="128">
        <v>4.3479999999999999</v>
      </c>
      <c r="S19" s="128">
        <v>10.068</v>
      </c>
      <c r="T19" s="128">
        <v>46.9251</v>
      </c>
      <c r="U19" s="19">
        <f>(S19+0.006)/3.3476</f>
        <v>3.0093201099295017</v>
      </c>
      <c r="V19" s="19">
        <v>4.2244000000000002</v>
      </c>
      <c r="W19" s="128">
        <v>6.8140000000000001</v>
      </c>
      <c r="X19" s="128">
        <v>3.6113</v>
      </c>
      <c r="Y19" s="128">
        <v>18.8063</v>
      </c>
      <c r="Z19" s="128">
        <v>11.738</v>
      </c>
      <c r="AA19" s="128">
        <v>4.6218000000000004</v>
      </c>
      <c r="AB19" s="128">
        <v>15.231999999999999</v>
      </c>
      <c r="AC19" s="128">
        <v>19.091000000000001</v>
      </c>
      <c r="AD19" s="128">
        <v>0.81610000000000005</v>
      </c>
      <c r="AE19" s="128">
        <v>1.5273000000000001</v>
      </c>
      <c r="AF19" s="129">
        <v>4.3479999999999999</v>
      </c>
      <c r="AG19" s="129">
        <v>9.7150999999999996</v>
      </c>
      <c r="AH19" s="129">
        <v>46.0685</v>
      </c>
      <c r="AI19" s="16">
        <f>(AG19+0.006)/3.3476</f>
        <v>2.9039013024256182</v>
      </c>
      <c r="AJ19" s="16">
        <v>4.0918000000000001</v>
      </c>
      <c r="AK19" s="129">
        <v>6.8150000000000004</v>
      </c>
      <c r="AL19" s="129">
        <v>3.6736</v>
      </c>
      <c r="AM19" s="129">
        <v>19.1435</v>
      </c>
      <c r="AN19" s="129">
        <v>11.734999999999999</v>
      </c>
      <c r="AO19" s="129">
        <v>4.6700999999999997</v>
      </c>
      <c r="AP19" s="129">
        <v>15.392899999999999</v>
      </c>
      <c r="AQ19" s="129">
        <v>19.088000000000001</v>
      </c>
      <c r="AR19" s="129">
        <v>0.90110000000000001</v>
      </c>
      <c r="AS19" s="129">
        <v>1.6913</v>
      </c>
      <c r="AT19" s="130">
        <v>4.3479999999999999</v>
      </c>
      <c r="AU19" s="130">
        <v>9.5494000000000003</v>
      </c>
      <c r="AV19" s="130">
        <v>45.256700000000002</v>
      </c>
      <c r="AW19" s="18">
        <f>(AU19+0.006)/3.3476</f>
        <v>2.8544031544987458</v>
      </c>
      <c r="AX19" s="18">
        <v>4.0294999999999996</v>
      </c>
      <c r="AY19" s="130">
        <v>6.8109999999999999</v>
      </c>
      <c r="AZ19" s="130">
        <v>3.5682</v>
      </c>
      <c r="BA19" s="130">
        <v>18.488600000000002</v>
      </c>
      <c r="BB19" s="130">
        <v>11.731</v>
      </c>
      <c r="BC19" s="130">
        <v>4.6120999999999999</v>
      </c>
      <c r="BD19" s="130">
        <v>15.1952</v>
      </c>
      <c r="BE19" s="130">
        <v>19.081</v>
      </c>
      <c r="BF19" s="130">
        <v>0.74629999999999996</v>
      </c>
      <c r="BG19" s="130">
        <v>1.3956</v>
      </c>
      <c r="BK19" s="12">
        <f t="shared" si="22"/>
        <v>3.0093201099295017</v>
      </c>
      <c r="BL19" s="12">
        <f t="shared" si="23"/>
        <v>2.9039013024256182</v>
      </c>
      <c r="BM19" s="12">
        <f t="shared" si="24"/>
        <v>2.8544031544987458</v>
      </c>
      <c r="BN19" s="12">
        <f t="shared" si="25"/>
        <v>2.9225415222846216</v>
      </c>
      <c r="BO19">
        <f t="shared" si="26"/>
        <v>7.9122747154517448E-2</v>
      </c>
      <c r="BP19">
        <v>3</v>
      </c>
      <c r="BQ19">
        <v>3.18</v>
      </c>
      <c r="BR19" s="12">
        <f t="shared" si="27"/>
        <v>0.14526729519241305</v>
      </c>
      <c r="BT19" s="12">
        <f t="shared" si="3"/>
        <v>4.1152333333333333</v>
      </c>
      <c r="BU19" s="12">
        <f>'0 Set 2&amp;3'!$H19</f>
        <v>4.2789000000000001</v>
      </c>
      <c r="BV19" s="12">
        <f>'0 Set 2&amp;3'!$G19</f>
        <v>3.0949967004619356</v>
      </c>
      <c r="BW19" s="12">
        <f>'0 Set 2&amp;3'!$C19</f>
        <v>1080.9166666666665</v>
      </c>
      <c r="CV19">
        <v>3.0620745012932185</v>
      </c>
      <c r="CW19">
        <v>790.18333333333328</v>
      </c>
    </row>
    <row r="20" spans="1:101">
      <c r="A20" s="226" t="s">
        <v>189</v>
      </c>
      <c r="B20" s="14">
        <v>44468</v>
      </c>
      <c r="C20" s="12">
        <v>646.56666666666672</v>
      </c>
      <c r="D20" s="131">
        <v>4.3380000000000001</v>
      </c>
      <c r="E20" s="131">
        <v>0.61890000000000001</v>
      </c>
      <c r="F20" s="131">
        <v>2.9097</v>
      </c>
      <c r="G20" s="23">
        <f>(E20+0.0847)/3.2319</f>
        <v>0.21770475571645162</v>
      </c>
      <c r="H20" s="23">
        <v>0.67320000000000002</v>
      </c>
      <c r="I20" s="131">
        <v>6.8440000000000003</v>
      </c>
      <c r="J20" s="131">
        <v>4.1551999999999998</v>
      </c>
      <c r="K20" s="131">
        <v>23.375299999999999</v>
      </c>
      <c r="L20" s="131">
        <v>11.754</v>
      </c>
      <c r="M20" s="131">
        <v>4.3909000000000002</v>
      </c>
      <c r="N20" s="131">
        <v>14.6534</v>
      </c>
      <c r="O20" s="131">
        <v>19.350999999999999</v>
      </c>
      <c r="P20" s="131">
        <v>0.49020000000000002</v>
      </c>
      <c r="Q20" s="131">
        <v>0.91169999999999995</v>
      </c>
      <c r="R20" s="128">
        <v>4.3680000000000003</v>
      </c>
      <c r="S20" s="128">
        <v>9.2382000000000009</v>
      </c>
      <c r="T20" s="128">
        <v>42.802900000000001</v>
      </c>
      <c r="U20" s="19">
        <f>(S20+0.0847)/3.2319</f>
        <v>2.8846498963458029</v>
      </c>
      <c r="V20" s="19">
        <v>3.9125000000000001</v>
      </c>
      <c r="W20" s="128">
        <v>6.8410000000000002</v>
      </c>
      <c r="X20" s="128">
        <v>3.7256999999999998</v>
      </c>
      <c r="Y20" s="128">
        <v>19.816199999999998</v>
      </c>
      <c r="Z20" s="128">
        <v>11.757999999999999</v>
      </c>
      <c r="AA20" s="128">
        <v>4.3912000000000004</v>
      </c>
      <c r="AB20" s="128">
        <v>14.6393</v>
      </c>
      <c r="AC20" s="128">
        <v>19.344000000000001</v>
      </c>
      <c r="AD20" s="128">
        <v>0.88349999999999995</v>
      </c>
      <c r="AE20" s="128">
        <v>1.6487000000000001</v>
      </c>
      <c r="AF20" s="129">
        <v>4.3650000000000002</v>
      </c>
      <c r="AG20" s="129">
        <v>8.7813999999999997</v>
      </c>
      <c r="AH20" s="129">
        <v>40.712200000000003</v>
      </c>
      <c r="AI20" s="16">
        <f>(AG20+0.0847)/3.2319</f>
        <v>2.7433088895077198</v>
      </c>
      <c r="AJ20" s="16">
        <v>3.7408999999999999</v>
      </c>
      <c r="AK20" s="129">
        <v>6.8380000000000001</v>
      </c>
      <c r="AL20" s="129">
        <v>3.6652999999999998</v>
      </c>
      <c r="AM20" s="129">
        <v>19.452400000000001</v>
      </c>
      <c r="AN20" s="129">
        <v>11.750999999999999</v>
      </c>
      <c r="AO20" s="129">
        <v>4.4717000000000002</v>
      </c>
      <c r="AP20" s="129">
        <v>14.8987</v>
      </c>
      <c r="AQ20" s="129">
        <v>19.341000000000001</v>
      </c>
      <c r="AR20" s="129">
        <v>0.87</v>
      </c>
      <c r="AS20" s="129">
        <v>1.6183000000000001</v>
      </c>
      <c r="AT20" s="130">
        <v>4.3650000000000002</v>
      </c>
      <c r="AU20" s="130">
        <v>8.8329000000000004</v>
      </c>
      <c r="AV20" s="130">
        <v>41.164900000000003</v>
      </c>
      <c r="AW20" s="18">
        <f>(AU20+0.0847)/3.2319</f>
        <v>2.7592437884835546</v>
      </c>
      <c r="AX20" s="18">
        <v>3.7602000000000002</v>
      </c>
      <c r="AY20" s="130">
        <v>6.8410000000000002</v>
      </c>
      <c r="AZ20" s="130">
        <v>3.5105</v>
      </c>
      <c r="BA20" s="130">
        <v>19.0442</v>
      </c>
      <c r="BB20" s="130">
        <v>11.750999999999999</v>
      </c>
      <c r="BC20" s="130">
        <v>4.3871000000000002</v>
      </c>
      <c r="BD20" s="130">
        <v>14.604100000000001</v>
      </c>
      <c r="BE20" s="130">
        <v>19.341000000000001</v>
      </c>
      <c r="BF20" s="130">
        <v>0.7923</v>
      </c>
      <c r="BG20" s="130">
        <v>1.4748000000000001</v>
      </c>
      <c r="BK20" s="12">
        <f t="shared" si="22"/>
        <v>2.8846498963458029</v>
      </c>
      <c r="BL20" s="12">
        <f t="shared" si="23"/>
        <v>2.7433088895077198</v>
      </c>
      <c r="BM20" s="12">
        <f t="shared" si="24"/>
        <v>2.7592437884835546</v>
      </c>
      <c r="BN20" s="12">
        <f t="shared" si="25"/>
        <v>2.7957341914456926</v>
      </c>
      <c r="BO20">
        <f t="shared" si="26"/>
        <v>7.7414353867710908E-2</v>
      </c>
      <c r="BP20">
        <v>3</v>
      </c>
      <c r="BQ20">
        <v>3.18</v>
      </c>
      <c r="BR20" s="12">
        <f t="shared" si="27"/>
        <v>0.14213072978203103</v>
      </c>
      <c r="BT20" s="12">
        <f t="shared" si="3"/>
        <v>3.8045333333333331</v>
      </c>
      <c r="BU20" s="12">
        <f>'0 Set 2&amp;3'!$H20</f>
        <v>4.1913</v>
      </c>
      <c r="BV20" s="12">
        <f>'0 Set 2&amp;3'!$G20</f>
        <v>3.0745418288861455</v>
      </c>
      <c r="BW20" s="12">
        <f>'0 Set 2&amp;3'!$C20</f>
        <v>1129.2166666666665</v>
      </c>
      <c r="CV20">
        <v>3.1197490858281056</v>
      </c>
      <c r="CW20">
        <v>838.58333333333337</v>
      </c>
    </row>
    <row r="21" spans="1:101" ht="16" thickBot="1">
      <c r="A21" s="226" t="s">
        <v>189</v>
      </c>
      <c r="B21" s="14">
        <v>44470</v>
      </c>
      <c r="C21" s="12">
        <v>699.03</v>
      </c>
      <c r="D21" s="131">
        <v>4.335</v>
      </c>
      <c r="E21" s="131">
        <v>0.54320000000000002</v>
      </c>
      <c r="F21" s="131">
        <v>2.2109999999999999</v>
      </c>
      <c r="G21" s="23">
        <f>(E21+0.0847)/3.2319</f>
        <v>0.19428200129954518</v>
      </c>
      <c r="H21" s="23">
        <v>0.64470000000000005</v>
      </c>
      <c r="I21" s="131">
        <v>6.8380000000000001</v>
      </c>
      <c r="J21" s="131">
        <v>4.1319999999999997</v>
      </c>
      <c r="K21" s="131">
        <v>22.4101</v>
      </c>
      <c r="L21" s="131">
        <v>11.744999999999999</v>
      </c>
      <c r="M21" s="131">
        <v>5.1333000000000002</v>
      </c>
      <c r="N21" s="131">
        <v>17.138100000000001</v>
      </c>
      <c r="O21" s="131">
        <v>19.338000000000001</v>
      </c>
      <c r="P21" s="131">
        <v>0.36049999999999999</v>
      </c>
      <c r="Q21" s="131">
        <v>0.6653</v>
      </c>
      <c r="R21" s="128">
        <v>4.3609999999999998</v>
      </c>
      <c r="S21" s="128">
        <v>8.8397000000000006</v>
      </c>
      <c r="T21" s="128">
        <v>40.892899999999997</v>
      </c>
      <c r="U21" s="19">
        <f>(S21+0.0847)/3.2319</f>
        <v>2.761347813979393</v>
      </c>
      <c r="V21" s="19">
        <v>3.7627999999999999</v>
      </c>
      <c r="W21" s="128">
        <v>6.8380000000000001</v>
      </c>
      <c r="X21" s="128">
        <v>3.9748000000000001</v>
      </c>
      <c r="Y21" s="128">
        <v>22.113900000000001</v>
      </c>
      <c r="Z21" s="128">
        <v>11.741</v>
      </c>
      <c r="AA21" s="128">
        <v>5.3243</v>
      </c>
      <c r="AB21" s="128">
        <v>17.782599999999999</v>
      </c>
      <c r="AC21" s="128">
        <v>19.335000000000001</v>
      </c>
      <c r="AD21" s="128">
        <v>0.71560000000000001</v>
      </c>
      <c r="AE21" s="128">
        <v>1.3301000000000001</v>
      </c>
      <c r="AF21" s="129">
        <v>4.3650000000000002</v>
      </c>
      <c r="AG21" s="129">
        <v>9.0733999999999995</v>
      </c>
      <c r="AH21" s="129">
        <v>41.927199999999999</v>
      </c>
      <c r="AI21" s="16">
        <f>(AG21+0.0847)/3.2319</f>
        <v>2.8336582196231315</v>
      </c>
      <c r="AJ21" s="16">
        <v>3.8506</v>
      </c>
      <c r="AK21" s="129">
        <v>6.8410000000000002</v>
      </c>
      <c r="AL21" s="129">
        <v>3.9882</v>
      </c>
      <c r="AM21" s="129">
        <v>22.130400000000002</v>
      </c>
      <c r="AN21" s="129">
        <v>11.744999999999999</v>
      </c>
      <c r="AO21" s="129">
        <v>5.3468</v>
      </c>
      <c r="AP21" s="129">
        <v>17.836600000000001</v>
      </c>
      <c r="AQ21" s="129">
        <v>19.338000000000001</v>
      </c>
      <c r="AR21" s="129">
        <v>0.79730000000000001</v>
      </c>
      <c r="AS21" s="129">
        <v>1.4791000000000001</v>
      </c>
      <c r="AT21" s="130">
        <v>4.3639999999999999</v>
      </c>
      <c r="AU21" s="130">
        <v>9.1532999999999998</v>
      </c>
      <c r="AV21" s="130">
        <v>42.206099999999999</v>
      </c>
      <c r="AW21" s="18">
        <f>(AU21+0.0847)/3.2319</f>
        <v>2.8583805191992324</v>
      </c>
      <c r="AX21" s="18">
        <v>3.8807</v>
      </c>
      <c r="AY21" s="130">
        <v>6.8410000000000002</v>
      </c>
      <c r="AZ21" s="130">
        <v>3.9889999999999999</v>
      </c>
      <c r="BA21" s="130">
        <v>22.1648</v>
      </c>
      <c r="BB21" s="130">
        <v>11.747999999999999</v>
      </c>
      <c r="BC21" s="130">
        <v>5.3583999999999996</v>
      </c>
      <c r="BD21" s="130">
        <v>17.8842</v>
      </c>
      <c r="BE21" s="130">
        <v>19.341000000000001</v>
      </c>
      <c r="BF21" s="130">
        <v>0.7712</v>
      </c>
      <c r="BG21" s="130">
        <v>1.4343999999999999</v>
      </c>
      <c r="BK21" s="12">
        <f t="shared" ref="BK21:BK22" si="32">U21</f>
        <v>2.761347813979393</v>
      </c>
      <c r="BL21" s="12">
        <f t="shared" ref="BL21:BL22" si="33">AI21</f>
        <v>2.8336582196231315</v>
      </c>
      <c r="BM21" s="12">
        <f>AW21</f>
        <v>2.8583805191992324</v>
      </c>
      <c r="BN21" s="12">
        <f t="shared" ref="BN21:BN22" si="34">AVERAGE(BK21:BM21)</f>
        <v>2.8177955176005853</v>
      </c>
      <c r="BO21">
        <f t="shared" ref="BO21:BO22" si="35">STDEV(BK21:BM21)</f>
        <v>5.0423758855941345E-2</v>
      </c>
      <c r="BP21">
        <v>3</v>
      </c>
      <c r="BQ21">
        <v>3.18</v>
      </c>
      <c r="BR21" s="12">
        <f t="shared" ref="BR21:BR22" si="36">(BQ21*BO21)/SQRT(BP21)</f>
        <v>9.2576702981917031E-2</v>
      </c>
      <c r="BT21" s="12">
        <f t="shared" si="3"/>
        <v>3.8313666666666664</v>
      </c>
      <c r="BU21" s="12">
        <f>'0 Set 2&amp;3'!$H21</f>
        <v>4.2115999999999998</v>
      </c>
      <c r="BV21" s="12">
        <f>'0 Set 2&amp;3'!$G21</f>
        <v>3.0916342227708671</v>
      </c>
      <c r="BW21" s="12">
        <f>'0 Set 2&amp;3'!$C21</f>
        <v>1197.6666666666665</v>
      </c>
      <c r="CV21" s="54">
        <v>3.2353437000435981</v>
      </c>
      <c r="CW21" s="54">
        <v>958.73333333333335</v>
      </c>
    </row>
    <row r="22" spans="1:101">
      <c r="A22" s="226" t="s">
        <v>189</v>
      </c>
      <c r="B22" s="14">
        <v>44473</v>
      </c>
      <c r="C22" s="12">
        <v>766.58</v>
      </c>
      <c r="D22" s="131">
        <v>4.335</v>
      </c>
      <c r="E22" s="131">
        <v>0.41170000000000001</v>
      </c>
      <c r="F22" s="131">
        <v>1.8775999999999999</v>
      </c>
      <c r="G22" s="23">
        <f>(E22+0.0847)/3.2319</f>
        <v>0.15359386119620039</v>
      </c>
      <c r="H22" s="23">
        <v>0.59530000000000005</v>
      </c>
      <c r="I22" s="131">
        <v>6.8479999999999999</v>
      </c>
      <c r="J22" s="131">
        <v>9.1517999999999997</v>
      </c>
      <c r="K22" s="131">
        <v>53.838500000000003</v>
      </c>
      <c r="L22" s="131">
        <v>11.731</v>
      </c>
      <c r="M22" s="131">
        <v>7.6852</v>
      </c>
      <c r="N22" s="131">
        <v>25.903400000000001</v>
      </c>
      <c r="O22" s="131">
        <v>19.315000000000001</v>
      </c>
      <c r="P22" s="131">
        <v>1.9751000000000001</v>
      </c>
      <c r="Q22" s="131">
        <v>3.7063000000000001</v>
      </c>
      <c r="R22" s="128">
        <v>4.3609999999999998</v>
      </c>
      <c r="S22" s="128">
        <v>9.1408000000000005</v>
      </c>
      <c r="T22" s="128">
        <v>42.039900000000003</v>
      </c>
      <c r="U22" s="19">
        <f>(S22+0.0847)/3.2319</f>
        <v>2.8545128252730594</v>
      </c>
      <c r="V22" s="19">
        <v>3.8759000000000001</v>
      </c>
      <c r="W22" s="128">
        <v>6.8479999999999999</v>
      </c>
      <c r="X22" s="128">
        <v>8.2103999999999999</v>
      </c>
      <c r="Y22" s="128">
        <v>48.105699999999999</v>
      </c>
      <c r="Z22" s="128">
        <v>11.734999999999999</v>
      </c>
      <c r="AA22" s="128">
        <v>7.2329999999999997</v>
      </c>
      <c r="AB22" s="128">
        <v>24.329499999999999</v>
      </c>
      <c r="AC22" s="128">
        <v>19.318000000000001</v>
      </c>
      <c r="AD22" s="128">
        <v>2.4039000000000001</v>
      </c>
      <c r="AE22" s="128">
        <v>4.5248999999999997</v>
      </c>
      <c r="AF22" s="129">
        <v>4.3609999999999998</v>
      </c>
      <c r="AG22" s="129">
        <v>9.2042000000000002</v>
      </c>
      <c r="AH22" s="129">
        <v>42.262300000000003</v>
      </c>
      <c r="AI22" s="16">
        <f>(AG22+0.0847)/3.2319</f>
        <v>2.8741297688666108</v>
      </c>
      <c r="AJ22" s="16">
        <v>3.8997999999999999</v>
      </c>
      <c r="AK22" s="129">
        <v>6.8440000000000003</v>
      </c>
      <c r="AL22" s="129">
        <v>7.5277000000000003</v>
      </c>
      <c r="AM22" s="129">
        <v>43.846299999999999</v>
      </c>
      <c r="AN22" s="129">
        <v>11.734</v>
      </c>
      <c r="AO22" s="129">
        <v>6.8399000000000001</v>
      </c>
      <c r="AP22" s="129">
        <v>22.9831</v>
      </c>
      <c r="AQ22" s="129">
        <v>19.321000000000002</v>
      </c>
      <c r="AR22" s="129">
        <v>1.5767</v>
      </c>
      <c r="AS22" s="129">
        <v>2.9519000000000002</v>
      </c>
      <c r="AT22" s="130">
        <v>4.3609999999999998</v>
      </c>
      <c r="AU22" s="130">
        <v>9.2722999999999995</v>
      </c>
      <c r="AV22" s="130">
        <v>42.654800000000002</v>
      </c>
      <c r="AW22" s="18">
        <f>(AU22+0.0847)/3.2319</f>
        <v>2.8952009653764037</v>
      </c>
      <c r="AX22" s="18">
        <v>3.9253999999999998</v>
      </c>
      <c r="AY22" s="130">
        <v>6.8440000000000003</v>
      </c>
      <c r="AZ22" s="130">
        <v>6.8571999999999997</v>
      </c>
      <c r="BA22" s="130">
        <v>39.847799999999999</v>
      </c>
      <c r="BB22" s="130">
        <v>11.738</v>
      </c>
      <c r="BC22" s="130">
        <v>6.3762999999999996</v>
      </c>
      <c r="BD22" s="130">
        <v>21.3809</v>
      </c>
      <c r="BE22" s="130">
        <v>19.324000000000002</v>
      </c>
      <c r="BF22" s="130">
        <v>1.4112</v>
      </c>
      <c r="BG22" s="130">
        <v>2.6372</v>
      </c>
      <c r="BK22" s="12">
        <f t="shared" si="32"/>
        <v>2.8545128252730594</v>
      </c>
      <c r="BL22" s="12">
        <f t="shared" si="33"/>
        <v>2.8741297688666108</v>
      </c>
      <c r="BM22" s="12">
        <f>AW22</f>
        <v>2.8952009653764037</v>
      </c>
      <c r="BN22" s="12">
        <f t="shared" si="34"/>
        <v>2.874614519838691</v>
      </c>
      <c r="BO22">
        <f t="shared" si="35"/>
        <v>2.0348401015707444E-2</v>
      </c>
      <c r="BP22">
        <v>3</v>
      </c>
      <c r="BQ22">
        <v>3.18</v>
      </c>
      <c r="BR22" s="12">
        <f t="shared" si="36"/>
        <v>3.7359132276710935E-2</v>
      </c>
      <c r="BT22" s="12">
        <f t="shared" si="3"/>
        <v>3.9003666666666668</v>
      </c>
      <c r="BU22" s="12">
        <f>'0 Set 2&amp;3'!$H22</f>
        <v>4.3299000000000003</v>
      </c>
      <c r="BV22" s="12">
        <f>'0 Set 2&amp;3'!$G22</f>
        <v>3.1912132434400022</v>
      </c>
      <c r="BW22" s="12">
        <f>'0 Set 2&amp;3'!$C22</f>
        <v>1246.0333333333331</v>
      </c>
      <c r="CH22" t="s">
        <v>198</v>
      </c>
      <c r="CV22">
        <v>3.5364045923557619</v>
      </c>
      <c r="CW22">
        <v>1029.5999999999999</v>
      </c>
    </row>
    <row r="23" spans="1:101">
      <c r="A23" s="226" t="s">
        <v>195</v>
      </c>
      <c r="B23" s="14">
        <v>44475</v>
      </c>
      <c r="C23" s="12">
        <v>815.1</v>
      </c>
      <c r="D23" s="83">
        <v>4.3579999999999997</v>
      </c>
      <c r="E23" s="83">
        <v>0.434</v>
      </c>
      <c r="F23" s="83">
        <v>1.4508000000000001</v>
      </c>
      <c r="G23" s="23">
        <f>(E23+0.0883)/3.2883</f>
        <v>0.15883587263935772</v>
      </c>
      <c r="H23" s="23">
        <v>0.60370000000000001</v>
      </c>
      <c r="I23" s="83">
        <v>6.891</v>
      </c>
      <c r="J23" s="83">
        <v>7.7492999999999999</v>
      </c>
      <c r="K23" s="83">
        <v>45.454599999999999</v>
      </c>
      <c r="L23" s="83">
        <v>11.798</v>
      </c>
      <c r="M23" s="83">
        <v>10.233599999999999</v>
      </c>
      <c r="N23" s="83">
        <v>35.052999999999997</v>
      </c>
      <c r="O23" s="83">
        <v>19.667999999999999</v>
      </c>
      <c r="P23" s="83">
        <v>0.59609999999999996</v>
      </c>
      <c r="Q23" s="83">
        <v>1.0947</v>
      </c>
      <c r="R23" s="80">
        <v>4.3849999999999998</v>
      </c>
      <c r="S23" s="80">
        <v>8.2951999999999995</v>
      </c>
      <c r="T23" s="80">
        <v>39.003799999999998</v>
      </c>
      <c r="U23" s="19">
        <f t="shared" ref="U23:U25" si="37">(S23+0.0883)/3.2883</f>
        <v>2.5494936593376516</v>
      </c>
      <c r="V23" s="19">
        <v>3.5581999999999998</v>
      </c>
      <c r="W23" s="80">
        <v>6.8949999999999996</v>
      </c>
      <c r="X23" s="80">
        <v>7.9317000000000002</v>
      </c>
      <c r="Y23" s="80">
        <v>46.64</v>
      </c>
      <c r="Z23" s="80">
        <v>11.798</v>
      </c>
      <c r="AA23" s="80">
        <v>10.2089</v>
      </c>
      <c r="AB23" s="80">
        <v>35.003500000000003</v>
      </c>
      <c r="AC23" s="80">
        <v>19.667999999999999</v>
      </c>
      <c r="AD23" s="80">
        <v>0.87309999999999999</v>
      </c>
      <c r="AE23" s="80">
        <v>1.6128</v>
      </c>
      <c r="AF23" s="81">
        <v>4.3849999999999998</v>
      </c>
      <c r="AG23" s="81">
        <v>8.6538000000000004</v>
      </c>
      <c r="AH23" s="81">
        <v>39.188000000000002</v>
      </c>
      <c r="AI23" s="16">
        <f t="shared" ref="AI23:AI25" si="38">(AG23+0.0883)/3.2883</f>
        <v>2.6585469695587389</v>
      </c>
      <c r="AJ23" s="16">
        <v>3.6928999999999998</v>
      </c>
      <c r="AK23" s="81">
        <v>6.891</v>
      </c>
      <c r="AL23" s="81">
        <v>7.6106999999999996</v>
      </c>
      <c r="AM23" s="81">
        <v>44.675699999999999</v>
      </c>
      <c r="AN23" s="81">
        <v>11.795</v>
      </c>
      <c r="AO23" s="81">
        <v>10.202</v>
      </c>
      <c r="AP23" s="81">
        <v>34.944600000000001</v>
      </c>
      <c r="AQ23" s="81">
        <v>19.661000000000001</v>
      </c>
      <c r="AR23" s="81">
        <v>0.91920000000000002</v>
      </c>
      <c r="AS23" s="81">
        <v>1.6966000000000001</v>
      </c>
      <c r="AT23" s="82">
        <v>4.3840000000000003</v>
      </c>
      <c r="AU23" s="82">
        <v>8.2918000000000003</v>
      </c>
      <c r="AV23" s="82">
        <v>37.566499999999998</v>
      </c>
      <c r="AW23" s="18">
        <f t="shared" ref="AW23:AW25" si="39">(AU23+0.0883)/3.2883</f>
        <v>2.5484596904175412</v>
      </c>
      <c r="AX23" s="18">
        <v>3.5569000000000002</v>
      </c>
      <c r="AY23" s="82">
        <v>6.8940000000000001</v>
      </c>
      <c r="AZ23" s="82">
        <v>7.3791000000000002</v>
      </c>
      <c r="BA23" s="82">
        <v>43.1554</v>
      </c>
      <c r="BB23" s="82">
        <v>11.797000000000001</v>
      </c>
      <c r="BC23" s="82">
        <v>10.0853</v>
      </c>
      <c r="BD23" s="82">
        <v>34.530099999999997</v>
      </c>
      <c r="BE23" s="82">
        <v>19.664000000000001</v>
      </c>
      <c r="BF23" s="82">
        <v>0.8599</v>
      </c>
      <c r="BG23" s="82">
        <v>1.5901000000000001</v>
      </c>
      <c r="BK23" s="12">
        <f t="shared" ref="BK23:BK25" si="40">U23</f>
        <v>2.5494936593376516</v>
      </c>
      <c r="BL23" s="12">
        <f t="shared" ref="BL23:BL25" si="41">AI23</f>
        <v>2.6585469695587389</v>
      </c>
      <c r="BM23" s="12">
        <f t="shared" ref="BM23:BM25" si="42">AW23</f>
        <v>2.5484596904175412</v>
      </c>
      <c r="BN23" s="12">
        <f t="shared" ref="BN23:BN25" si="43">AVERAGE(BK23:BM23)</f>
        <v>2.5855001064379772</v>
      </c>
      <c r="BO23">
        <f t="shared" ref="BO23:BO25" si="44">STDEV(BK23:BM23)</f>
        <v>6.3262551574919973E-2</v>
      </c>
      <c r="BP23">
        <v>3</v>
      </c>
      <c r="BQ23">
        <v>3.18</v>
      </c>
      <c r="BR23" s="12">
        <f t="shared" ref="BR23:BR25" si="45">(BQ23*BO23)/SQRT(BP23)</f>
        <v>0.11614839075686037</v>
      </c>
      <c r="BT23" s="12">
        <f t="shared" si="3"/>
        <v>3.6026666666666665</v>
      </c>
      <c r="BU23" s="12">
        <f>'0 Set 2&amp;3'!$H23</f>
        <v>4.4310999999999998</v>
      </c>
      <c r="BV23" s="12">
        <f>'0 Set 2&amp;3'!$G23</f>
        <v>3.2861904761904763</v>
      </c>
      <c r="BW23" s="12">
        <f>'0 Set 2&amp;3'!$C23</f>
        <v>1295.8499999999997</v>
      </c>
      <c r="CH23" s="12">
        <f>C20</f>
        <v>646.56666666666672</v>
      </c>
      <c r="CV23">
        <v>3.0949967004619356</v>
      </c>
      <c r="CW23">
        <v>1080.9166666666665</v>
      </c>
    </row>
    <row r="24" spans="1:101">
      <c r="A24" s="226" t="s">
        <v>195</v>
      </c>
      <c r="B24" s="14">
        <v>44477</v>
      </c>
      <c r="C24" s="12">
        <v>862.92</v>
      </c>
      <c r="D24" s="83">
        <v>4.3650000000000002</v>
      </c>
      <c r="E24" s="83">
        <v>0.52090000000000003</v>
      </c>
      <c r="F24" s="83">
        <v>1.7663</v>
      </c>
      <c r="G24" s="23">
        <f t="shared" ref="G24:G25" si="46">(E24+0.0883)/3.2883</f>
        <v>0.18526290180336347</v>
      </c>
      <c r="H24" s="23">
        <v>0.63639999999999997</v>
      </c>
      <c r="I24" s="83">
        <v>6.8879999999999999</v>
      </c>
      <c r="J24" s="83">
        <v>6.3392999999999997</v>
      </c>
      <c r="K24" s="83">
        <v>37.075800000000001</v>
      </c>
      <c r="L24" s="83">
        <v>11.801</v>
      </c>
      <c r="M24" s="83">
        <v>7.7356999999999996</v>
      </c>
      <c r="N24" s="83">
        <v>26.350899999999999</v>
      </c>
      <c r="O24" s="83">
        <v>19.664999999999999</v>
      </c>
      <c r="P24" s="83">
        <v>0.56399999999999995</v>
      </c>
      <c r="Q24" s="83">
        <v>1.0370999999999999</v>
      </c>
      <c r="R24" s="80">
        <v>4.391</v>
      </c>
      <c r="S24" s="80">
        <v>8.6853999999999996</v>
      </c>
      <c r="T24" s="80">
        <v>41.723999999999997</v>
      </c>
      <c r="U24" s="19">
        <f t="shared" si="37"/>
        <v>2.6681567983456498</v>
      </c>
      <c r="V24" s="19">
        <v>3.7048000000000001</v>
      </c>
      <c r="W24" s="80">
        <v>6.8879999999999999</v>
      </c>
      <c r="X24" s="80">
        <v>6.0758999999999999</v>
      </c>
      <c r="Y24" s="80">
        <v>34.982300000000002</v>
      </c>
      <c r="Z24" s="80">
        <v>11.798</v>
      </c>
      <c r="AA24" s="80">
        <v>7.4165000000000001</v>
      </c>
      <c r="AB24" s="80">
        <v>25.247299999999999</v>
      </c>
      <c r="AC24" s="80">
        <v>19.654</v>
      </c>
      <c r="AD24" s="80">
        <v>0.83560000000000001</v>
      </c>
      <c r="AE24" s="80">
        <v>1.5403</v>
      </c>
      <c r="AF24" s="81">
        <v>4.391</v>
      </c>
      <c r="AG24" s="81">
        <v>8.5760000000000005</v>
      </c>
      <c r="AH24" s="81">
        <v>41.231999999999999</v>
      </c>
      <c r="AI24" s="16">
        <f t="shared" si="38"/>
        <v>2.6348873277985589</v>
      </c>
      <c r="AJ24" s="16">
        <v>3.6637</v>
      </c>
      <c r="AK24" s="81">
        <v>6.8840000000000003</v>
      </c>
      <c r="AL24" s="81">
        <v>6.0064000000000002</v>
      </c>
      <c r="AM24" s="81">
        <v>34.498699999999999</v>
      </c>
      <c r="AN24" s="81">
        <v>11.798</v>
      </c>
      <c r="AO24" s="81">
        <v>7.4015000000000004</v>
      </c>
      <c r="AP24" s="81">
        <v>25.190799999999999</v>
      </c>
      <c r="AQ24" s="81">
        <v>19.654</v>
      </c>
      <c r="AR24" s="81">
        <v>0.86499999999999999</v>
      </c>
      <c r="AS24" s="81">
        <v>1.5959000000000001</v>
      </c>
      <c r="AT24" s="82">
        <v>4.391</v>
      </c>
      <c r="AU24" s="82">
        <v>8.2512000000000008</v>
      </c>
      <c r="AV24" s="82">
        <v>39.641199999999998</v>
      </c>
      <c r="AW24" s="18">
        <f t="shared" si="39"/>
        <v>2.536112885077396</v>
      </c>
      <c r="AX24" s="18">
        <v>3.5415999999999999</v>
      </c>
      <c r="AY24" s="82">
        <v>6.8879999999999999</v>
      </c>
      <c r="AZ24" s="82">
        <v>6.1021999999999998</v>
      </c>
      <c r="BA24" s="82">
        <v>35.090200000000003</v>
      </c>
      <c r="BB24" s="82">
        <v>11.801</v>
      </c>
      <c r="BC24" s="82">
        <v>7.5266000000000002</v>
      </c>
      <c r="BD24" s="82">
        <v>25.619299999999999</v>
      </c>
      <c r="BE24" s="82">
        <v>19.658000000000001</v>
      </c>
      <c r="BF24" s="82">
        <v>0.82720000000000005</v>
      </c>
      <c r="BG24" s="82">
        <v>1.5244</v>
      </c>
      <c r="BK24" s="12">
        <f t="shared" si="40"/>
        <v>2.6681567983456498</v>
      </c>
      <c r="BL24" s="12">
        <f t="shared" si="41"/>
        <v>2.6348873277985589</v>
      </c>
      <c r="BM24" s="12">
        <f t="shared" si="42"/>
        <v>2.536112885077396</v>
      </c>
      <c r="BN24" s="12">
        <f t="shared" si="43"/>
        <v>2.6130523370738685</v>
      </c>
      <c r="BO24">
        <f t="shared" si="44"/>
        <v>6.8676588971490357E-2</v>
      </c>
      <c r="BP24">
        <v>3</v>
      </c>
      <c r="BQ24">
        <v>3.18</v>
      </c>
      <c r="BR24" s="12">
        <f t="shared" si="45"/>
        <v>0.12608842187249447</v>
      </c>
      <c r="BT24" s="12">
        <f t="shared" si="3"/>
        <v>3.6366999999999998</v>
      </c>
      <c r="BU24" s="12">
        <f>'0 Set 2&amp;3'!$H24</f>
        <v>4.2904999999999998</v>
      </c>
      <c r="BV24" s="12">
        <f>'0 Set 2&amp;3'!$G24</f>
        <v>3.1673650793650796</v>
      </c>
      <c r="BW24" s="12">
        <f>'0 Set 2&amp;3'!$C24</f>
        <v>1413.5999999999997</v>
      </c>
      <c r="CV24">
        <v>3.0745418288861455</v>
      </c>
      <c r="CW24">
        <v>1129.2166666666665</v>
      </c>
    </row>
    <row r="25" spans="1:101">
      <c r="A25" s="226" t="s">
        <v>195</v>
      </c>
      <c r="B25" s="14">
        <v>44480</v>
      </c>
      <c r="C25" s="12">
        <v>935.88</v>
      </c>
      <c r="D25" s="83">
        <v>4.3680000000000003</v>
      </c>
      <c r="E25" s="83">
        <v>0.33860000000000001</v>
      </c>
      <c r="F25" s="83">
        <v>1.6644000000000001</v>
      </c>
      <c r="G25" s="23">
        <f t="shared" si="46"/>
        <v>0.12982392117507527</v>
      </c>
      <c r="H25" s="23">
        <v>0.56779999999999997</v>
      </c>
      <c r="I25" s="83">
        <v>6.8840000000000003</v>
      </c>
      <c r="J25" s="83">
        <v>4.4901</v>
      </c>
      <c r="K25" s="83">
        <v>26.200900000000001</v>
      </c>
      <c r="L25" s="83">
        <v>11.798</v>
      </c>
      <c r="M25" s="83">
        <v>5.0909000000000004</v>
      </c>
      <c r="N25" s="83">
        <v>17.189499999999999</v>
      </c>
      <c r="O25" s="83">
        <v>19.648</v>
      </c>
      <c r="P25" s="83">
        <v>0.31009999999999999</v>
      </c>
      <c r="Q25" s="83">
        <v>0.57199999999999995</v>
      </c>
      <c r="R25" s="80">
        <v>4.3979999999999997</v>
      </c>
      <c r="S25" s="80">
        <v>8.3125</v>
      </c>
      <c r="T25" s="80">
        <v>42.323700000000002</v>
      </c>
      <c r="U25" s="19">
        <f t="shared" si="37"/>
        <v>2.5547547364899796</v>
      </c>
      <c r="V25" s="19">
        <v>3.5646</v>
      </c>
      <c r="W25" s="80">
        <v>6.8840000000000003</v>
      </c>
      <c r="X25" s="80">
        <v>4.5270999999999999</v>
      </c>
      <c r="Y25" s="80">
        <v>26.439499999999999</v>
      </c>
      <c r="Z25" s="80">
        <v>11.798</v>
      </c>
      <c r="AA25" s="80">
        <v>5.1787999999999998</v>
      </c>
      <c r="AB25" s="80">
        <v>17.497299999999999</v>
      </c>
      <c r="AC25" s="80">
        <v>19.643999999999998</v>
      </c>
      <c r="AD25" s="80">
        <v>0.66810000000000003</v>
      </c>
      <c r="AE25" s="80">
        <v>1.2310000000000001</v>
      </c>
      <c r="AF25" s="81">
        <v>4.3979999999999997</v>
      </c>
      <c r="AG25" s="81">
        <v>8.1290999999999993</v>
      </c>
      <c r="AH25" s="81">
        <v>41.408499999999997</v>
      </c>
      <c r="AI25" s="16">
        <f t="shared" si="38"/>
        <v>2.4989812365051849</v>
      </c>
      <c r="AJ25" s="16">
        <v>3.4956999999999998</v>
      </c>
      <c r="AK25" s="81">
        <v>6.8840000000000003</v>
      </c>
      <c r="AL25" s="81">
        <v>4.5759999999999996</v>
      </c>
      <c r="AM25" s="81">
        <v>26.728899999999999</v>
      </c>
      <c r="AN25" s="81">
        <v>11.801</v>
      </c>
      <c r="AO25" s="81">
        <v>5.2363999999999997</v>
      </c>
      <c r="AP25" s="81">
        <v>17.688800000000001</v>
      </c>
      <c r="AQ25" s="81">
        <v>19.648</v>
      </c>
      <c r="AR25" s="81">
        <v>0.75029999999999997</v>
      </c>
      <c r="AS25" s="81">
        <v>1.3813</v>
      </c>
      <c r="AT25" s="82">
        <v>4.3949999999999996</v>
      </c>
      <c r="AU25" s="82">
        <v>8.0847999999999995</v>
      </c>
      <c r="AV25" s="82">
        <v>41.291899999999998</v>
      </c>
      <c r="AW25" s="18">
        <f t="shared" si="39"/>
        <v>2.4855092296931542</v>
      </c>
      <c r="AX25" s="18">
        <v>3.4790999999999999</v>
      </c>
      <c r="AY25" s="82">
        <v>6.8849999999999998</v>
      </c>
      <c r="AZ25" s="82">
        <v>4.53</v>
      </c>
      <c r="BA25" s="82">
        <v>26.457100000000001</v>
      </c>
      <c r="BB25" s="82">
        <v>11.798</v>
      </c>
      <c r="BC25" s="82">
        <v>5.1447000000000003</v>
      </c>
      <c r="BD25" s="82">
        <v>17.3809</v>
      </c>
      <c r="BE25" s="82">
        <v>19.640999999999998</v>
      </c>
      <c r="BF25" s="82">
        <v>0.69479999999999997</v>
      </c>
      <c r="BG25" s="82">
        <v>1.2817000000000001</v>
      </c>
      <c r="BK25" s="12">
        <f t="shared" si="40"/>
        <v>2.5547547364899796</v>
      </c>
      <c r="BL25" s="12">
        <f t="shared" si="41"/>
        <v>2.4989812365051849</v>
      </c>
      <c r="BM25" s="12">
        <f t="shared" si="42"/>
        <v>2.4855092296931542</v>
      </c>
      <c r="BN25" s="12">
        <f t="shared" si="43"/>
        <v>2.5130817342294396</v>
      </c>
      <c r="BO25">
        <f t="shared" si="44"/>
        <v>3.6713118635456211E-2</v>
      </c>
      <c r="BP25">
        <v>3</v>
      </c>
      <c r="BQ25">
        <v>3.18</v>
      </c>
      <c r="BR25" s="12">
        <f t="shared" si="45"/>
        <v>6.7404325987768771E-2</v>
      </c>
      <c r="BT25" s="12">
        <f t="shared" si="3"/>
        <v>3.5131333333333337</v>
      </c>
      <c r="BU25" s="12">
        <f>'0 Set 2&amp;3'!$H25</f>
        <v>4.2285000000000004</v>
      </c>
      <c r="BV25" s="12">
        <f>'0 Set 2&amp;3'!$G25</f>
        <v>3.1867111069962659</v>
      </c>
      <c r="BW25" s="12">
        <f>'0 Set 2&amp;3'!$C25</f>
        <v>1461.333333333333</v>
      </c>
      <c r="CF25" t="s">
        <v>160</v>
      </c>
      <c r="CG25" t="s">
        <v>1</v>
      </c>
      <c r="CH25" t="s">
        <v>140</v>
      </c>
      <c r="CI25" t="s">
        <v>191</v>
      </c>
      <c r="CJ25" t="s">
        <v>192</v>
      </c>
      <c r="CK25" t="s">
        <v>194</v>
      </c>
      <c r="CL25" t="s">
        <v>196</v>
      </c>
      <c r="CM25" t="s">
        <v>197</v>
      </c>
      <c r="CV25">
        <v>3.0916342227708671</v>
      </c>
      <c r="CW25">
        <v>1197.6666666666665</v>
      </c>
    </row>
    <row r="26" spans="1:101">
      <c r="A26" s="226" t="s">
        <v>221</v>
      </c>
      <c r="B26" s="14">
        <v>44482</v>
      </c>
      <c r="C26" s="12">
        <v>982.4</v>
      </c>
      <c r="D26" s="131">
        <v>4.351</v>
      </c>
      <c r="E26" s="131">
        <v>0.51080000000000003</v>
      </c>
      <c r="F26" s="131">
        <v>1.8798999999999999</v>
      </c>
      <c r="G26" s="23">
        <f>(E26-0.0995)/3.2569</f>
        <v>0.12628573183088213</v>
      </c>
      <c r="H26" s="23">
        <v>0.63249999999999995</v>
      </c>
      <c r="I26" s="131">
        <v>6.8109999999999999</v>
      </c>
      <c r="J26" s="131">
        <v>7.0537999999999998</v>
      </c>
      <c r="K26" s="131">
        <v>39.028700000000001</v>
      </c>
      <c r="L26" s="131">
        <v>11.593999999999999</v>
      </c>
      <c r="M26" s="131">
        <v>6.6619999999999999</v>
      </c>
      <c r="N26" s="131">
        <v>22.317499999999999</v>
      </c>
      <c r="O26" s="131">
        <v>19.224</v>
      </c>
      <c r="P26" s="131">
        <v>0.37869999999999998</v>
      </c>
      <c r="Q26" s="131">
        <v>0.70430000000000004</v>
      </c>
      <c r="R26" s="128">
        <v>4.3780000000000001</v>
      </c>
      <c r="S26" s="128">
        <v>8.3613999999999997</v>
      </c>
      <c r="T26" s="128">
        <v>41.101599999999998</v>
      </c>
      <c r="U26" s="19">
        <f>(S26-0.0995)/3.2569</f>
        <v>2.5367373883140405</v>
      </c>
      <c r="V26" s="19">
        <v>3.5830000000000002</v>
      </c>
      <c r="W26" s="50">
        <v>6.8079999999999998</v>
      </c>
      <c r="X26" s="128">
        <v>6.9589999999999996</v>
      </c>
      <c r="Y26" s="128">
        <v>38.776499999999999</v>
      </c>
      <c r="Z26" s="128">
        <v>11.595000000000001</v>
      </c>
      <c r="AA26" s="128">
        <v>6.7416999999999998</v>
      </c>
      <c r="AB26" s="128">
        <v>22.590299999999999</v>
      </c>
      <c r="AC26" s="128">
        <v>19.218</v>
      </c>
      <c r="AD26" s="128">
        <v>0.75839999999999996</v>
      </c>
      <c r="AE26" s="128">
        <v>1.4116</v>
      </c>
      <c r="AF26" s="129">
        <v>4.375</v>
      </c>
      <c r="AG26" s="129">
        <v>8.2380999999999993</v>
      </c>
      <c r="AH26" s="129">
        <v>41.117400000000004</v>
      </c>
      <c r="AI26" s="16">
        <f>(AG26-0.0995)/3.2569</f>
        <v>2.4988793024041263</v>
      </c>
      <c r="AJ26" s="16">
        <v>3.5367000000000002</v>
      </c>
      <c r="AK26" s="129">
        <v>6.8079999999999998</v>
      </c>
      <c r="AL26" s="129">
        <v>6.9184999999999999</v>
      </c>
      <c r="AM26" s="129">
        <v>38.536000000000001</v>
      </c>
      <c r="AN26" s="129">
        <v>11.595000000000001</v>
      </c>
      <c r="AO26" s="129">
        <v>6.7019000000000002</v>
      </c>
      <c r="AP26" s="129">
        <v>22.435600000000001</v>
      </c>
      <c r="AQ26" s="129">
        <v>19.221</v>
      </c>
      <c r="AR26" s="129">
        <v>0.95099999999999996</v>
      </c>
      <c r="AS26" s="129">
        <v>1.7750999999999999</v>
      </c>
      <c r="AT26" s="130">
        <v>4.375</v>
      </c>
      <c r="AU26" s="130">
        <v>8.3668999999999993</v>
      </c>
      <c r="AV26" s="130">
        <v>40.557499999999997</v>
      </c>
      <c r="AW26" s="18">
        <f>(AU26-0.0995)/3.2569</f>
        <v>2.5384261107187811</v>
      </c>
      <c r="AX26" s="18">
        <v>3.5851000000000002</v>
      </c>
      <c r="AY26" s="130">
        <v>6.8079999999999998</v>
      </c>
      <c r="AZ26" s="130">
        <v>7.0551000000000004</v>
      </c>
      <c r="BA26" s="130">
        <v>38.293100000000003</v>
      </c>
      <c r="BB26" s="130">
        <v>11.590999999999999</v>
      </c>
      <c r="BC26" s="130">
        <v>6.8346999999999998</v>
      </c>
      <c r="BD26" s="130">
        <v>22.890799999999999</v>
      </c>
      <c r="BE26" s="130">
        <v>19.218</v>
      </c>
      <c r="BF26" s="130">
        <v>0.87039999999999995</v>
      </c>
      <c r="BG26" s="130">
        <v>1.6153</v>
      </c>
      <c r="BK26" s="12">
        <f t="shared" ref="BK26:BK28" si="47">U26</f>
        <v>2.5367373883140405</v>
      </c>
      <c r="BL26" s="12">
        <f t="shared" ref="BL26:BL28" si="48">AI26</f>
        <v>2.4988793024041263</v>
      </c>
      <c r="BM26" s="12">
        <f t="shared" ref="BM26:BM28" si="49">AW26</f>
        <v>2.5384261107187811</v>
      </c>
      <c r="BN26" s="12">
        <f t="shared" ref="BN26:BN28" si="50">AVERAGE(BK26:BM26)</f>
        <v>2.524680933812316</v>
      </c>
      <c r="BO26">
        <f t="shared" ref="BO26:BO28" si="51">STDEV(BK26:BM26)</f>
        <v>2.2360815802048208E-2</v>
      </c>
      <c r="BP26">
        <v>3</v>
      </c>
      <c r="BQ26">
        <v>3.18</v>
      </c>
      <c r="BR26" s="12">
        <f t="shared" ref="BR26:BR28" si="52">(BQ26*BO26)/SQRT(BP26)</f>
        <v>4.1053873211906712E-2</v>
      </c>
      <c r="BT26" s="12">
        <f t="shared" si="3"/>
        <v>3.5682666666666667</v>
      </c>
      <c r="BU26" s="12">
        <f>'0 Set 2&amp;3'!$H26</f>
        <v>4.9458000000000002</v>
      </c>
      <c r="BV26" s="12">
        <f>'0 Set 2&amp;3'!$G26</f>
        <v>3.7757306422244854</v>
      </c>
      <c r="BW26" s="12">
        <f>'0 Set 2&amp;3'!$C26</f>
        <v>1581.3499999999997</v>
      </c>
      <c r="CF26" s="37">
        <v>44470</v>
      </c>
      <c r="CG26" s="32">
        <v>0.10555555555555556</v>
      </c>
      <c r="CH26">
        <f>CH23+(24*2)+4</f>
        <v>698.56666666666672</v>
      </c>
      <c r="CI26">
        <f>32-4</f>
        <v>28</v>
      </c>
      <c r="CJ26">
        <f>(CH26*60)+CI26</f>
        <v>41942</v>
      </c>
      <c r="CK26">
        <f>CJ26/60</f>
        <v>699.0333333333333</v>
      </c>
      <c r="CL26">
        <f>(CK26-699)*60</f>
        <v>1.999999999998181</v>
      </c>
      <c r="CM26">
        <v>699</v>
      </c>
      <c r="CV26">
        <v>3.1912132434400022</v>
      </c>
      <c r="CW26">
        <v>1246.0333333333331</v>
      </c>
    </row>
    <row r="27" spans="1:101">
      <c r="A27" s="226" t="s">
        <v>221</v>
      </c>
      <c r="B27" s="14">
        <v>44483</v>
      </c>
      <c r="C27" s="12">
        <v>1006.7833333333333</v>
      </c>
      <c r="D27" s="131">
        <v>4.3410000000000002</v>
      </c>
      <c r="E27" s="131">
        <v>0.40360000000000001</v>
      </c>
      <c r="F27" s="131">
        <v>1.9495</v>
      </c>
      <c r="G27" s="23">
        <f>(E27-0.0995)/3.2569</f>
        <v>9.3370996960299685E-2</v>
      </c>
      <c r="H27" s="23">
        <v>0.59230000000000005</v>
      </c>
      <c r="I27" s="131">
        <v>6.8049999999999997</v>
      </c>
      <c r="J27" s="131">
        <v>7.6595000000000004</v>
      </c>
      <c r="K27" s="131">
        <v>42.323099999999997</v>
      </c>
      <c r="L27" s="131">
        <v>11.581</v>
      </c>
      <c r="M27" s="131">
        <v>7.1517999999999997</v>
      </c>
      <c r="N27" s="131">
        <v>23.9009</v>
      </c>
      <c r="O27" s="131">
        <v>19.201000000000001</v>
      </c>
      <c r="P27" s="131">
        <v>0.46450000000000002</v>
      </c>
      <c r="Q27" s="131">
        <v>0.86270000000000002</v>
      </c>
      <c r="R27" s="128">
        <v>4.3650000000000002</v>
      </c>
      <c r="S27" s="128">
        <v>8.4768000000000008</v>
      </c>
      <c r="T27" s="128">
        <v>39.438499999999998</v>
      </c>
      <c r="U27" s="19">
        <f>(S27-0.0995)/3.2569</f>
        <v>2.5721698547698733</v>
      </c>
      <c r="V27" s="19">
        <v>3.6263999999999998</v>
      </c>
      <c r="W27" s="128">
        <v>6.8079999999999998</v>
      </c>
      <c r="X27" s="128">
        <v>7.7923</v>
      </c>
      <c r="Y27" s="128">
        <v>42.451099999999997</v>
      </c>
      <c r="Z27" s="128">
        <v>11.585000000000001</v>
      </c>
      <c r="AA27" s="128">
        <v>7.1447000000000003</v>
      </c>
      <c r="AB27" s="128">
        <v>23.891999999999999</v>
      </c>
      <c r="AC27" s="128">
        <v>19.204999999999998</v>
      </c>
      <c r="AD27" s="128">
        <v>0.93779999999999997</v>
      </c>
      <c r="AE27" s="128">
        <v>1.7452000000000001</v>
      </c>
      <c r="AF27" s="129">
        <v>4.3639999999999999</v>
      </c>
      <c r="AG27" s="129">
        <v>7.6803999999999997</v>
      </c>
      <c r="AH27" s="129">
        <v>35.686100000000003</v>
      </c>
      <c r="AI27" s="16">
        <f>(AG27-0.0995)/3.2569</f>
        <v>2.3276428505634192</v>
      </c>
      <c r="AJ27" s="16">
        <v>3.3271000000000002</v>
      </c>
      <c r="AK27" s="129">
        <v>6.8079999999999998</v>
      </c>
      <c r="AL27" s="129">
        <v>7.7807000000000004</v>
      </c>
      <c r="AM27" s="129">
        <v>42.382399999999997</v>
      </c>
      <c r="AN27" s="129">
        <v>11.584</v>
      </c>
      <c r="AO27" s="129">
        <v>7.1715</v>
      </c>
      <c r="AP27" s="129">
        <v>23.972100000000001</v>
      </c>
      <c r="AQ27" s="129">
        <v>19.207999999999998</v>
      </c>
      <c r="AR27" s="129">
        <v>0.90059999999999996</v>
      </c>
      <c r="AS27" s="129">
        <v>1.6738999999999999</v>
      </c>
      <c r="AT27" s="130">
        <v>4.3639999999999999</v>
      </c>
      <c r="AU27" s="130">
        <v>7.8811</v>
      </c>
      <c r="AV27" s="130">
        <v>36.7149</v>
      </c>
      <c r="AW27" s="18">
        <f>(AU27-0.0995)/3.2569</f>
        <v>2.3892658663145938</v>
      </c>
      <c r="AX27" s="18">
        <v>3.4024999999999999</v>
      </c>
      <c r="AY27" s="130">
        <v>6.8079999999999998</v>
      </c>
      <c r="AZ27" s="130">
        <v>7.7259000000000002</v>
      </c>
      <c r="BA27" s="130">
        <v>42.084099999999999</v>
      </c>
      <c r="BB27" s="130">
        <v>11.584</v>
      </c>
      <c r="BC27" s="130">
        <v>7.1177999999999999</v>
      </c>
      <c r="BD27" s="130">
        <v>23.7758</v>
      </c>
      <c r="BE27" s="130">
        <v>19.204000000000001</v>
      </c>
      <c r="BF27" s="130">
        <v>0.93489999999999995</v>
      </c>
      <c r="BG27" s="130">
        <v>1.7391000000000001</v>
      </c>
      <c r="BK27" s="12">
        <f t="shared" si="47"/>
        <v>2.5721698547698733</v>
      </c>
      <c r="BL27" s="12">
        <f t="shared" si="48"/>
        <v>2.3276428505634192</v>
      </c>
      <c r="BM27" s="12">
        <f t="shared" si="49"/>
        <v>2.3892658663145938</v>
      </c>
      <c r="BN27" s="12">
        <f t="shared" si="50"/>
        <v>2.429692857215962</v>
      </c>
      <c r="BO27">
        <f t="shared" si="51"/>
        <v>0.12717751429222968</v>
      </c>
      <c r="BP27">
        <v>3</v>
      </c>
      <c r="BQ27">
        <v>3.18</v>
      </c>
      <c r="BR27" s="12">
        <f t="shared" si="52"/>
        <v>0.23349459131452641</v>
      </c>
      <c r="BT27" s="12">
        <f t="shared" si="3"/>
        <v>3.452</v>
      </c>
      <c r="BU27" s="12">
        <f>'0 Set 2&amp;3'!$H27</f>
        <v>4.78</v>
      </c>
      <c r="BV27" s="12">
        <f>'0 Set 2&amp;3'!$G27</f>
        <v>3.6395395488072095</v>
      </c>
      <c r="BW27" s="12">
        <f>'0 Set 2&amp;3'!$C27</f>
        <v>1701.5999999999997</v>
      </c>
      <c r="CF27" s="37">
        <v>44473</v>
      </c>
      <c r="CG27" s="32">
        <v>0.4201388888888889</v>
      </c>
      <c r="CH27">
        <f>CH23+(24*5)</f>
        <v>766.56666666666672</v>
      </c>
      <c r="CI27">
        <v>1</v>
      </c>
      <c r="CJ27">
        <f t="shared" ref="CJ27:CJ30" si="53">(CH27*60)+CI27</f>
        <v>45995</v>
      </c>
      <c r="CK27">
        <f t="shared" ref="CK27:CK30" si="54">CJ27/60</f>
        <v>766.58333333333337</v>
      </c>
      <c r="CL27">
        <f>(CK27-766)*60</f>
        <v>35.000000000002274</v>
      </c>
      <c r="CM27">
        <v>766</v>
      </c>
      <c r="CV27">
        <v>3.2861904761904763</v>
      </c>
      <c r="CW27">
        <v>1295.8499999999997</v>
      </c>
    </row>
    <row r="28" spans="1:101">
      <c r="A28" s="226" t="s">
        <v>221</v>
      </c>
      <c r="B28" s="14">
        <v>44487</v>
      </c>
      <c r="C28" s="12">
        <v>1106.5999999999999</v>
      </c>
      <c r="D28" s="131">
        <v>4.3380000000000001</v>
      </c>
      <c r="E28" s="131">
        <v>0.4612</v>
      </c>
      <c r="F28" s="131">
        <v>2.1718999999999999</v>
      </c>
      <c r="G28" s="23">
        <f>(E28-0.0995)/3.2569</f>
        <v>0.11105652614449324</v>
      </c>
      <c r="H28" s="23">
        <v>0.6139</v>
      </c>
      <c r="I28" s="131">
        <v>6.8079999999999998</v>
      </c>
      <c r="J28" s="131">
        <v>8.3496000000000006</v>
      </c>
      <c r="K28" s="131">
        <v>46.883099999999999</v>
      </c>
      <c r="L28" s="131">
        <v>11.577999999999999</v>
      </c>
      <c r="M28" s="131">
        <v>7.9812000000000003</v>
      </c>
      <c r="N28" s="131">
        <v>26.713999999999999</v>
      </c>
      <c r="O28" s="131">
        <v>19.201000000000001</v>
      </c>
      <c r="P28" s="131">
        <v>0.43619999999999998</v>
      </c>
      <c r="Q28" s="131">
        <v>0.80579999999999996</v>
      </c>
      <c r="R28" s="128">
        <v>4.3639999999999999</v>
      </c>
      <c r="S28" s="128">
        <v>9.0565999999999995</v>
      </c>
      <c r="T28" s="128">
        <v>41.961199999999998</v>
      </c>
      <c r="U28" s="19">
        <f>(S28-0.0995)/3.2569</f>
        <v>2.7501919002732658</v>
      </c>
      <c r="V28" s="19">
        <v>3.8443000000000001</v>
      </c>
      <c r="W28" s="128">
        <v>6.8079999999999998</v>
      </c>
      <c r="X28" s="128">
        <v>8.1560000000000006</v>
      </c>
      <c r="Y28" s="128">
        <v>45.676000000000002</v>
      </c>
      <c r="Z28" s="128">
        <v>11.577999999999999</v>
      </c>
      <c r="AA28" s="128">
        <v>7.9401999999999999</v>
      </c>
      <c r="AB28" s="128">
        <v>26.554400000000001</v>
      </c>
      <c r="AC28" s="128">
        <v>19.198</v>
      </c>
      <c r="AD28" s="128">
        <v>1.0912999999999999</v>
      </c>
      <c r="AE28" s="128">
        <v>2.0350999999999999</v>
      </c>
      <c r="AF28" s="129">
        <v>4.3639999999999999</v>
      </c>
      <c r="AG28" s="129">
        <v>8.5619999999999994</v>
      </c>
      <c r="AH28" s="129">
        <v>39.697299999999998</v>
      </c>
      <c r="AI28" s="16">
        <f>(AG28-0.0995)/3.2569</f>
        <v>2.5983297000214924</v>
      </c>
      <c r="AJ28" s="16">
        <v>3.6583999999999999</v>
      </c>
      <c r="AK28" s="129">
        <v>6.8079999999999998</v>
      </c>
      <c r="AL28" s="129">
        <v>8.1742000000000008</v>
      </c>
      <c r="AM28" s="129">
        <v>45.708199999999998</v>
      </c>
      <c r="AN28" s="129">
        <v>11.577999999999999</v>
      </c>
      <c r="AO28" s="129">
        <v>7.9962999999999997</v>
      </c>
      <c r="AP28" s="129">
        <v>26.7439</v>
      </c>
      <c r="AQ28" s="129">
        <v>19.198</v>
      </c>
      <c r="AR28" s="129">
        <v>1.24</v>
      </c>
      <c r="AS28" s="129">
        <v>2.3081999999999998</v>
      </c>
      <c r="AT28" s="130">
        <v>4.3650000000000002</v>
      </c>
      <c r="AU28" s="130">
        <v>8.5783000000000005</v>
      </c>
      <c r="AV28" s="130">
        <v>39.7821</v>
      </c>
      <c r="AW28" s="18">
        <f>(AU28-0.0995)/3.2569</f>
        <v>2.6033344591482699</v>
      </c>
      <c r="AX28" s="18">
        <v>3.6644999999999999</v>
      </c>
      <c r="AY28" s="130">
        <v>6.8079999999999998</v>
      </c>
      <c r="AZ28" s="130">
        <v>8.1661999999999999</v>
      </c>
      <c r="BA28" s="130">
        <v>45.697800000000001</v>
      </c>
      <c r="BB28" s="130">
        <v>11.581</v>
      </c>
      <c r="BC28" s="130">
        <v>8.0112000000000005</v>
      </c>
      <c r="BD28" s="130">
        <v>26.807700000000001</v>
      </c>
      <c r="BE28" s="130">
        <v>19.201000000000001</v>
      </c>
      <c r="BF28" s="130">
        <v>1.1702999999999999</v>
      </c>
      <c r="BG28" s="130">
        <v>2.1796000000000002</v>
      </c>
      <c r="BK28" s="12">
        <f t="shared" si="47"/>
        <v>2.7501919002732658</v>
      </c>
      <c r="BL28" s="12">
        <f t="shared" si="48"/>
        <v>2.5983297000214924</v>
      </c>
      <c r="BM28" s="12">
        <f t="shared" si="49"/>
        <v>2.6033344591482699</v>
      </c>
      <c r="BN28" s="12">
        <f t="shared" si="50"/>
        <v>2.6506186864810091</v>
      </c>
      <c r="BO28">
        <f t="shared" si="51"/>
        <v>8.6269233114523891E-2</v>
      </c>
      <c r="BP28">
        <v>3</v>
      </c>
      <c r="BQ28">
        <v>3.18</v>
      </c>
      <c r="BR28" s="12">
        <f t="shared" si="52"/>
        <v>0.15838805657742039</v>
      </c>
      <c r="BT28" s="12">
        <f t="shared" si="3"/>
        <v>3.7223999999999999</v>
      </c>
      <c r="BU28" s="12">
        <f>'0 Set 2&amp;3'!$H28</f>
        <v>4.9932999999999996</v>
      </c>
      <c r="BV28" s="12">
        <f>'0 Set 2&amp;3'!$G28</f>
        <v>3.8806148867313914</v>
      </c>
      <c r="BW28" s="12">
        <f>'0 Set 2&amp;3'!$C28</f>
        <v>1749.133333333333</v>
      </c>
      <c r="CF28" s="37">
        <v>44475</v>
      </c>
      <c r="CG28" s="32">
        <v>0.44166666666666665</v>
      </c>
      <c r="CH28">
        <f>CH23+(24*7)</f>
        <v>814.56666666666672</v>
      </c>
      <c r="CI28">
        <f>36-4</f>
        <v>32</v>
      </c>
      <c r="CJ28">
        <f t="shared" si="53"/>
        <v>48906</v>
      </c>
      <c r="CK28">
        <f t="shared" si="54"/>
        <v>815.1</v>
      </c>
      <c r="CL28">
        <f>(CK28-815)*60</f>
        <v>6.0000000000013642</v>
      </c>
      <c r="CM28">
        <v>815</v>
      </c>
      <c r="CV28">
        <v>3.1673650793650796</v>
      </c>
      <c r="CW28">
        <v>1413.5999999999997</v>
      </c>
    </row>
    <row r="29" spans="1:101">
      <c r="A29" s="226" t="s">
        <v>239</v>
      </c>
      <c r="B29" s="14">
        <v>44489</v>
      </c>
      <c r="C29" s="12">
        <v>1151.2</v>
      </c>
      <c r="D29" s="83">
        <v>4.3550000000000004</v>
      </c>
      <c r="E29" s="83">
        <v>0.43690000000000001</v>
      </c>
      <c r="F29" s="83">
        <v>1.9166000000000001</v>
      </c>
      <c r="G29" s="23">
        <f>(E29-0.1061)/3.191</f>
        <v>0.10366656220620495</v>
      </c>
      <c r="H29" s="23">
        <v>0.6048</v>
      </c>
      <c r="I29" s="83">
        <v>6.8150000000000004</v>
      </c>
      <c r="J29" s="83">
        <v>9.0954999999999995</v>
      </c>
      <c r="K29" s="83">
        <v>50.838099999999997</v>
      </c>
      <c r="L29" s="83">
        <v>11.548</v>
      </c>
      <c r="M29" s="83">
        <v>8.6083999999999996</v>
      </c>
      <c r="N29" s="83">
        <v>29.006799999999998</v>
      </c>
      <c r="O29" s="83">
        <v>19.155000000000001</v>
      </c>
      <c r="P29" s="83">
        <v>0.43130000000000002</v>
      </c>
      <c r="Q29" s="83">
        <v>0.80389999999999995</v>
      </c>
      <c r="R29" s="80">
        <v>4.3810000000000002</v>
      </c>
      <c r="S29" s="80">
        <v>8.6013999999999999</v>
      </c>
      <c r="T29" s="80">
        <v>37.258499999999998</v>
      </c>
      <c r="U29" s="19">
        <f>(S29-0.1061)/3.191</f>
        <v>2.6622688812284552</v>
      </c>
      <c r="V29" s="19">
        <v>3.6732</v>
      </c>
      <c r="W29" s="80">
        <v>6.8150000000000004</v>
      </c>
      <c r="X29" s="80">
        <v>9.3102999999999998</v>
      </c>
      <c r="Y29" s="80">
        <v>51.571199999999997</v>
      </c>
      <c r="Z29" s="80">
        <v>11.551</v>
      </c>
      <c r="AA29" s="80">
        <v>8.6304999999999996</v>
      </c>
      <c r="AB29" s="80">
        <v>29.060600000000001</v>
      </c>
      <c r="AC29" s="80">
        <v>19.151</v>
      </c>
      <c r="AD29" s="80">
        <v>1.0562</v>
      </c>
      <c r="AE29" s="80">
        <v>1.9733000000000001</v>
      </c>
      <c r="AF29" s="81">
        <v>4.3769999999999998</v>
      </c>
      <c r="AG29" s="81">
        <v>8.1396999999999995</v>
      </c>
      <c r="AH29" s="81">
        <v>35.215000000000003</v>
      </c>
      <c r="AI29" s="16">
        <f>(AG29-0.1061)/3.191</f>
        <v>2.5175806957066751</v>
      </c>
      <c r="AJ29" s="16">
        <v>3.4996999999999998</v>
      </c>
      <c r="AK29" s="81">
        <v>6.8140000000000001</v>
      </c>
      <c r="AL29" s="81">
        <v>9.2736999999999998</v>
      </c>
      <c r="AM29" s="81">
        <v>51.308500000000002</v>
      </c>
      <c r="AN29" s="81">
        <v>11.551</v>
      </c>
      <c r="AO29" s="81">
        <v>8.6222999999999992</v>
      </c>
      <c r="AP29" s="81">
        <v>28.992699999999999</v>
      </c>
      <c r="AQ29" s="81">
        <v>19.146999999999998</v>
      </c>
      <c r="AR29" s="81">
        <v>1.2103999999999999</v>
      </c>
      <c r="AS29" s="81">
        <v>2.2635999999999998</v>
      </c>
      <c r="AT29" s="82">
        <v>4.3780000000000001</v>
      </c>
      <c r="AU29" s="82">
        <v>8.0176999999999996</v>
      </c>
      <c r="AV29" s="82">
        <v>35.0642</v>
      </c>
      <c r="AW29" s="18">
        <f>(AU29-0.1061)/3.191</f>
        <v>2.4793481667188968</v>
      </c>
      <c r="AX29" s="18">
        <v>3.4538000000000002</v>
      </c>
      <c r="AY29" s="82">
        <v>6.8109999999999999</v>
      </c>
      <c r="AZ29" s="82">
        <v>9.3241999999999994</v>
      </c>
      <c r="BA29" s="82">
        <v>52.267899999999997</v>
      </c>
      <c r="BB29" s="82">
        <v>11.548</v>
      </c>
      <c r="BC29" s="82">
        <v>8.8254999999999999</v>
      </c>
      <c r="BD29" s="82">
        <v>29.711600000000001</v>
      </c>
      <c r="BE29" s="82">
        <v>19.140999999999998</v>
      </c>
      <c r="BF29" s="82">
        <v>1.1193</v>
      </c>
      <c r="BG29" s="82">
        <v>2.0939999999999999</v>
      </c>
      <c r="BK29" s="12">
        <f t="shared" ref="BK29:BK31" si="55">U29</f>
        <v>2.6622688812284552</v>
      </c>
      <c r="BL29" s="12">
        <f t="shared" ref="BL29:BL31" si="56">AI29</f>
        <v>2.5175806957066751</v>
      </c>
      <c r="BM29" s="12">
        <f t="shared" ref="BM29:BM31" si="57">AW29</f>
        <v>2.4793481667188968</v>
      </c>
      <c r="BN29" s="12">
        <f t="shared" ref="BN29:BN31" si="58">AVERAGE(BK29:BM29)</f>
        <v>2.5530659145513419</v>
      </c>
      <c r="BO29">
        <f t="shared" ref="BO29:BO31" si="59">STDEV(BK29:BM29)</f>
        <v>9.6485219160824254E-2</v>
      </c>
      <c r="BP29">
        <v>3</v>
      </c>
      <c r="BQ29">
        <v>3.18</v>
      </c>
      <c r="BR29" s="12">
        <f t="shared" ref="BR29:BR31" si="60">(BQ29*BO29)/SQRT(BP29)</f>
        <v>0.17714433987192371</v>
      </c>
      <c r="BT29" s="12">
        <f t="shared" si="3"/>
        <v>3.5422333333333333</v>
      </c>
      <c r="BU29" s="12">
        <f>'0 Set 2&amp;3'!$H29</f>
        <v>4.9410999999999996</v>
      </c>
      <c r="BV29" s="12">
        <f>'0 Set 2&amp;3'!$G29</f>
        <v>3.8356634304207122</v>
      </c>
      <c r="BW29" s="12">
        <f>'0 Set 2&amp;3'!$C29</f>
        <v>1796.583333333333</v>
      </c>
      <c r="CF29" s="37">
        <v>44477</v>
      </c>
      <c r="CG29" s="32">
        <v>0.43402777777777773</v>
      </c>
      <c r="CH29">
        <f>CH23+(24*9)</f>
        <v>862.56666666666672</v>
      </c>
      <c r="CI29">
        <f>25-4</f>
        <v>21</v>
      </c>
      <c r="CJ29">
        <f t="shared" si="53"/>
        <v>51775</v>
      </c>
      <c r="CK29">
        <f t="shared" si="54"/>
        <v>862.91666666666663</v>
      </c>
      <c r="CL29">
        <f>(CK29-862)*60</f>
        <v>54.999999999997726</v>
      </c>
      <c r="CM29">
        <v>862</v>
      </c>
    </row>
    <row r="30" spans="1:101">
      <c r="A30" s="226" t="s">
        <v>239</v>
      </c>
      <c r="B30" s="14">
        <v>44490</v>
      </c>
      <c r="C30" s="12">
        <v>1176</v>
      </c>
      <c r="D30" s="83">
        <v>4.3540000000000001</v>
      </c>
      <c r="E30" s="83">
        <v>0.47899999999999998</v>
      </c>
      <c r="F30" s="83">
        <v>1.7161999999999999</v>
      </c>
      <c r="G30" s="23">
        <f>(E30-0.1061)/3.191</f>
        <v>0.11685991852083986</v>
      </c>
      <c r="H30" s="23">
        <v>0.62060000000000004</v>
      </c>
      <c r="I30" s="83">
        <v>6.8079999999999998</v>
      </c>
      <c r="J30" s="83">
        <v>9.6228999999999996</v>
      </c>
      <c r="K30" s="83">
        <v>53.573399999999999</v>
      </c>
      <c r="L30" s="83">
        <v>11.544</v>
      </c>
      <c r="M30" s="83">
        <v>8.0097000000000005</v>
      </c>
      <c r="N30" s="83">
        <v>26.845800000000001</v>
      </c>
      <c r="O30" s="83">
        <v>19.143999999999998</v>
      </c>
      <c r="P30" s="83">
        <v>0.441</v>
      </c>
      <c r="Q30" s="83">
        <v>0.82140000000000002</v>
      </c>
      <c r="R30" s="80">
        <v>4.3780000000000001</v>
      </c>
      <c r="S30" s="80">
        <v>8.2041000000000004</v>
      </c>
      <c r="T30" s="80">
        <v>35.854799999999997</v>
      </c>
      <c r="U30" s="19">
        <f>(S30-0.1061)/3.191</f>
        <v>2.5377624569100599</v>
      </c>
      <c r="V30" s="19">
        <v>3.5238999999999998</v>
      </c>
      <c r="W30" s="80">
        <v>6.8079999999999998</v>
      </c>
      <c r="X30" s="80">
        <v>9.8131000000000004</v>
      </c>
      <c r="Y30" s="80">
        <v>54.509599999999999</v>
      </c>
      <c r="Z30" s="80">
        <v>11.541</v>
      </c>
      <c r="AA30" s="80">
        <v>8.0230999999999995</v>
      </c>
      <c r="AB30" s="80">
        <v>26.886299999999999</v>
      </c>
      <c r="AC30" s="80">
        <v>19.135000000000002</v>
      </c>
      <c r="AD30" s="80">
        <v>0.98929999999999996</v>
      </c>
      <c r="AE30" s="80">
        <v>1.8494999999999999</v>
      </c>
      <c r="AF30" s="81">
        <v>4.3739999999999997</v>
      </c>
      <c r="AG30" s="81">
        <v>7.6988000000000003</v>
      </c>
      <c r="AH30" s="81">
        <v>33.580199999999998</v>
      </c>
      <c r="AI30" s="16">
        <f>(AG30-0.1061)/3.191</f>
        <v>2.3794108429959264</v>
      </c>
      <c r="AJ30" s="16">
        <v>3.3340000000000001</v>
      </c>
      <c r="AK30" s="81">
        <v>6.8079999999999998</v>
      </c>
      <c r="AL30" s="81">
        <v>9.6026000000000007</v>
      </c>
      <c r="AM30" s="81">
        <v>53.284799999999997</v>
      </c>
      <c r="AN30" s="81">
        <v>11.544</v>
      </c>
      <c r="AO30" s="81">
        <v>8.0458999999999996</v>
      </c>
      <c r="AP30" s="81">
        <v>26.973299999999998</v>
      </c>
      <c r="AQ30" s="81">
        <v>19.138000000000002</v>
      </c>
      <c r="AR30" s="81">
        <v>0.97870000000000001</v>
      </c>
      <c r="AS30" s="81">
        <v>1.8290999999999999</v>
      </c>
      <c r="AT30" s="82">
        <v>4.3780000000000001</v>
      </c>
      <c r="AU30" s="82">
        <v>7.7401999999999997</v>
      </c>
      <c r="AV30" s="82">
        <v>33.777000000000001</v>
      </c>
      <c r="AW30" s="18">
        <f>(AU30-0.1061)/3.191</f>
        <v>2.3923848323409591</v>
      </c>
      <c r="AX30" s="18">
        <v>3.3496000000000001</v>
      </c>
      <c r="AY30" s="82">
        <v>6.8109999999999999</v>
      </c>
      <c r="AZ30" s="82">
        <v>9.8792000000000009</v>
      </c>
      <c r="BA30" s="82">
        <v>54.976500000000001</v>
      </c>
      <c r="BB30" s="82">
        <v>11.544</v>
      </c>
      <c r="BC30" s="82">
        <v>8.0761000000000003</v>
      </c>
      <c r="BD30" s="82">
        <v>27.095300000000002</v>
      </c>
      <c r="BE30" s="82">
        <v>19.138000000000002</v>
      </c>
      <c r="BF30" s="82">
        <v>0.98699999999999999</v>
      </c>
      <c r="BG30" s="82">
        <v>1.8440000000000001</v>
      </c>
      <c r="BK30" s="12">
        <f t="shared" si="55"/>
        <v>2.5377624569100599</v>
      </c>
      <c r="BL30" s="12">
        <f t="shared" si="56"/>
        <v>2.3794108429959264</v>
      </c>
      <c r="BM30" s="12">
        <f t="shared" si="57"/>
        <v>2.3923848323409591</v>
      </c>
      <c r="BN30" s="12">
        <f t="shared" si="58"/>
        <v>2.4365193774156482</v>
      </c>
      <c r="BO30">
        <f t="shared" si="59"/>
        <v>8.7918723597508144E-2</v>
      </c>
      <c r="BP30">
        <v>3</v>
      </c>
      <c r="BQ30">
        <v>3.18</v>
      </c>
      <c r="BR30" s="12">
        <f t="shared" si="60"/>
        <v>0.16141647797993824</v>
      </c>
      <c r="BT30" s="12">
        <f t="shared" si="3"/>
        <v>3.4024999999999999</v>
      </c>
      <c r="BU30" s="12">
        <f>'0 Set 2&amp;3'!$H30</f>
        <v>4.3757000000000001</v>
      </c>
      <c r="BV30" s="12">
        <f>'0 Set 2&amp;3'!$G30</f>
        <v>3.3074285714285714</v>
      </c>
      <c r="BW30" s="12">
        <f>'0 Set 2&amp;3'!$C30</f>
        <v>1867.3999999999999</v>
      </c>
      <c r="CF30" s="37">
        <v>44480</v>
      </c>
      <c r="CG30" s="32">
        <v>0.47430555555555554</v>
      </c>
      <c r="CH30">
        <f>CH23+(24*12)+1</f>
        <v>935.56666666666672</v>
      </c>
      <c r="CI30">
        <f>23-4</f>
        <v>19</v>
      </c>
      <c r="CJ30">
        <f t="shared" si="53"/>
        <v>56153</v>
      </c>
      <c r="CK30">
        <f t="shared" si="54"/>
        <v>935.88333333333333</v>
      </c>
      <c r="CL30">
        <f>(CK30-935)*60</f>
        <v>52.999999999999545</v>
      </c>
      <c r="CM30">
        <v>935</v>
      </c>
    </row>
    <row r="31" spans="1:101">
      <c r="A31" s="226" t="s">
        <v>239</v>
      </c>
      <c r="B31" s="14">
        <v>44491</v>
      </c>
      <c r="C31" s="12">
        <v>1200.1166666666666</v>
      </c>
      <c r="D31" s="83">
        <v>4.351</v>
      </c>
      <c r="E31" s="83">
        <v>0.65190000000000003</v>
      </c>
      <c r="F31" s="83">
        <v>2.2884000000000002</v>
      </c>
      <c r="G31" s="23">
        <f>(E31-0.1061)/3.191</f>
        <v>0.17104356001253529</v>
      </c>
      <c r="H31" s="23">
        <v>0.68559999999999999</v>
      </c>
      <c r="I31" s="83">
        <v>6.8140000000000001</v>
      </c>
      <c r="J31" s="83">
        <v>22.219200000000001</v>
      </c>
      <c r="K31" s="83">
        <v>122.1724</v>
      </c>
      <c r="L31" s="83">
        <v>11.521000000000001</v>
      </c>
      <c r="M31" s="83">
        <v>12.882</v>
      </c>
      <c r="N31" s="83">
        <v>43.552599999999998</v>
      </c>
      <c r="O31" s="83">
        <v>19.131</v>
      </c>
      <c r="P31" s="83">
        <v>0.39639999999999997</v>
      </c>
      <c r="Q31" s="83">
        <v>0.73870000000000002</v>
      </c>
      <c r="R31" s="80">
        <v>4.3780000000000001</v>
      </c>
      <c r="S31" s="80">
        <v>7.7538999999999998</v>
      </c>
      <c r="T31" s="80">
        <v>36.480200000000004</v>
      </c>
      <c r="U31" s="19">
        <f>(S31-0.1061)/3.191</f>
        <v>2.3966781573174556</v>
      </c>
      <c r="V31" s="19">
        <v>3.3546999999999998</v>
      </c>
      <c r="W31" s="80">
        <v>6.8179999999999996</v>
      </c>
      <c r="X31" s="80">
        <v>22.402999999999999</v>
      </c>
      <c r="Y31" s="80">
        <v>122.4521</v>
      </c>
      <c r="Z31" s="80">
        <v>11.523999999999999</v>
      </c>
      <c r="AA31" s="80">
        <v>12.8695</v>
      </c>
      <c r="AB31" s="80">
        <v>43.5351</v>
      </c>
      <c r="AC31" s="80">
        <v>19.128</v>
      </c>
      <c r="AD31" s="80">
        <v>0.85309999999999997</v>
      </c>
      <c r="AE31" s="80">
        <v>1.5952</v>
      </c>
      <c r="AF31" s="81">
        <v>4.3780000000000001</v>
      </c>
      <c r="AG31" s="81">
        <v>7.2797000000000001</v>
      </c>
      <c r="AH31" s="81">
        <v>34.151800000000001</v>
      </c>
      <c r="AI31" s="16">
        <f>(AG31-0.1061)/3.191</f>
        <v>2.2480727044813542</v>
      </c>
      <c r="AJ31" s="16">
        <v>3.1764999999999999</v>
      </c>
      <c r="AK31" s="81">
        <v>6.8179999999999996</v>
      </c>
      <c r="AL31" s="81">
        <v>22.5151</v>
      </c>
      <c r="AM31" s="81">
        <v>122.95529999999999</v>
      </c>
      <c r="AN31" s="81">
        <v>11.523999999999999</v>
      </c>
      <c r="AO31" s="81">
        <v>12.993399999999999</v>
      </c>
      <c r="AP31" s="81">
        <v>43.9497</v>
      </c>
      <c r="AQ31" s="81">
        <v>19.128</v>
      </c>
      <c r="AR31" s="81">
        <v>0.90459999999999996</v>
      </c>
      <c r="AS31" s="81">
        <v>1.6927000000000001</v>
      </c>
      <c r="AT31" s="82">
        <v>4.375</v>
      </c>
      <c r="AU31" s="82">
        <v>7.351</v>
      </c>
      <c r="AV31" s="82">
        <v>34.584699999999998</v>
      </c>
      <c r="AW31" s="18">
        <f>(AU31-0.1061)/3.191</f>
        <v>2.2704167972422442</v>
      </c>
      <c r="AX31" s="18">
        <v>3.2033</v>
      </c>
      <c r="AY31" s="82">
        <v>6.8179999999999996</v>
      </c>
      <c r="AZ31" s="82">
        <v>22.515599999999999</v>
      </c>
      <c r="BA31" s="82">
        <v>122.8925</v>
      </c>
      <c r="BB31" s="82">
        <v>11.521000000000001</v>
      </c>
      <c r="BC31" s="82">
        <v>12.973800000000001</v>
      </c>
      <c r="BD31" s="82">
        <v>43.852200000000003</v>
      </c>
      <c r="BE31" s="82">
        <v>19.135000000000002</v>
      </c>
      <c r="BF31" s="82">
        <v>0.87880000000000003</v>
      </c>
      <c r="BG31" s="82">
        <v>1.6436999999999999</v>
      </c>
      <c r="BK31" s="12">
        <f t="shared" si="55"/>
        <v>2.3966781573174556</v>
      </c>
      <c r="BL31" s="12">
        <f t="shared" si="56"/>
        <v>2.2480727044813542</v>
      </c>
      <c r="BM31" s="12">
        <f t="shared" si="57"/>
        <v>2.2704167972422442</v>
      </c>
      <c r="BN31" s="12">
        <f t="shared" si="58"/>
        <v>2.3050558863470183</v>
      </c>
      <c r="BO31">
        <f t="shared" si="59"/>
        <v>8.0129863494592529E-2</v>
      </c>
      <c r="BP31">
        <v>3</v>
      </c>
      <c r="BQ31">
        <v>3.18</v>
      </c>
      <c r="BR31" s="12">
        <f t="shared" si="60"/>
        <v>0.14711633446276448</v>
      </c>
      <c r="BT31" s="12">
        <f t="shared" si="3"/>
        <v>3.2448333333333337</v>
      </c>
      <c r="BU31" s="12">
        <f>'0 Set 2&amp;3'!$H31</f>
        <v>4.5251000000000001</v>
      </c>
      <c r="BV31" s="12">
        <f>'0 Set 2&amp;3'!$G31</f>
        <v>3.4336507936507941</v>
      </c>
      <c r="BW31" s="12">
        <f>'0 Set 2&amp;3'!$C31</f>
        <v>1916.1999999999998</v>
      </c>
      <c r="CF31" s="37">
        <v>44482</v>
      </c>
      <c r="CG31" s="32">
        <v>0.42569444444444443</v>
      </c>
      <c r="CH31">
        <f>CK30+(24*2)-1</f>
        <v>982.88333333333333</v>
      </c>
      <c r="CI31">
        <v>-10</v>
      </c>
      <c r="CJ31">
        <f t="shared" ref="CJ31:CJ33" si="61">(CH31*60)+CI31</f>
        <v>58963</v>
      </c>
      <c r="CK31">
        <f t="shared" ref="CK31:CK33" si="62">CJ31/60</f>
        <v>982.7166666666667</v>
      </c>
      <c r="CL31">
        <f>(CK31-982)*60</f>
        <v>43.000000000001819</v>
      </c>
      <c r="CM31">
        <v>982</v>
      </c>
    </row>
    <row r="32" spans="1:101">
      <c r="A32" s="226" t="s">
        <v>250</v>
      </c>
      <c r="B32" s="14">
        <v>44494</v>
      </c>
      <c r="C32" s="12">
        <v>1223.9833333333333</v>
      </c>
      <c r="D32" s="144">
        <v>4.375</v>
      </c>
      <c r="E32" s="144">
        <v>0.73170000000000002</v>
      </c>
      <c r="F32" s="144">
        <v>2.2248999999999999</v>
      </c>
      <c r="G32" s="23">
        <f>(E32+0.0848)/3.3937</f>
        <v>0.24059286324660401</v>
      </c>
      <c r="H32" s="23">
        <v>0.71560000000000001</v>
      </c>
      <c r="I32" s="144">
        <v>6.8250000000000002</v>
      </c>
      <c r="J32" s="144">
        <v>25.5365</v>
      </c>
      <c r="K32" s="4">
        <v>140.16220000000001</v>
      </c>
      <c r="L32" s="4">
        <v>11.455</v>
      </c>
      <c r="M32" s="4">
        <v>14.478</v>
      </c>
      <c r="N32" s="4">
        <v>49.106699999999996</v>
      </c>
      <c r="O32" s="4">
        <v>19.030999999999999</v>
      </c>
      <c r="P32" s="4">
        <v>0.33779999999999999</v>
      </c>
      <c r="Q32" s="4">
        <v>0.62729999999999997</v>
      </c>
      <c r="R32" s="145">
        <v>4.3979999999999997</v>
      </c>
      <c r="S32" s="145">
        <v>8.4147999999999996</v>
      </c>
      <c r="T32" s="145">
        <v>36.488999999999997</v>
      </c>
      <c r="U32" s="19">
        <f>(S32+0.0848)/3.3937</f>
        <v>2.5045230868963078</v>
      </c>
      <c r="V32" s="19">
        <v>3.6031</v>
      </c>
      <c r="W32" s="145">
        <v>6.8280000000000003</v>
      </c>
      <c r="X32" s="145">
        <v>25.6982</v>
      </c>
      <c r="Y32" s="1">
        <v>141.19210000000001</v>
      </c>
      <c r="Z32" s="1">
        <v>11.461</v>
      </c>
      <c r="AA32" s="1">
        <v>14.617599999999999</v>
      </c>
      <c r="AB32" s="1">
        <v>49.517699999999998</v>
      </c>
      <c r="AC32" s="1">
        <v>19.030999999999999</v>
      </c>
      <c r="AD32" s="1">
        <v>0.83750000000000002</v>
      </c>
      <c r="AE32" s="1">
        <v>1.571</v>
      </c>
      <c r="AF32" s="146">
        <v>4.3940000000000001</v>
      </c>
      <c r="AG32" s="146">
        <v>8.1555</v>
      </c>
      <c r="AH32" s="146">
        <v>35.443600000000004</v>
      </c>
      <c r="AI32" s="16">
        <f>(AG32+0.0848)/3.3937</f>
        <v>2.4281168046674719</v>
      </c>
      <c r="AJ32" s="16">
        <v>3.5055999999999998</v>
      </c>
      <c r="AK32" s="146">
        <v>6.8209999999999997</v>
      </c>
      <c r="AL32" s="146">
        <v>25.510200000000001</v>
      </c>
      <c r="AM32" s="2">
        <v>140.15020000000001</v>
      </c>
      <c r="AN32" s="2">
        <v>11.454000000000001</v>
      </c>
      <c r="AO32" s="2">
        <v>14.537699999999999</v>
      </c>
      <c r="AP32" s="2">
        <v>49.2654</v>
      </c>
      <c r="AQ32" s="2">
        <v>19.021000000000001</v>
      </c>
      <c r="AR32" s="2">
        <v>0.87819999999999998</v>
      </c>
      <c r="AS32" s="2">
        <v>1.6494</v>
      </c>
      <c r="AT32" s="147">
        <v>4.3979999999999997</v>
      </c>
      <c r="AU32" s="147">
        <v>8.2064000000000004</v>
      </c>
      <c r="AV32" s="147">
        <v>35.185899999999997</v>
      </c>
      <c r="AW32" s="18">
        <f>(AU32+0.0848)/3.3937</f>
        <v>2.4431151840174441</v>
      </c>
      <c r="AX32" s="18">
        <v>3.5247999999999999</v>
      </c>
      <c r="AY32" s="147">
        <v>6.8239999999999998</v>
      </c>
      <c r="AZ32" s="147">
        <v>25.722000000000001</v>
      </c>
      <c r="BA32" s="3">
        <v>140.30709999999999</v>
      </c>
      <c r="BB32" s="3">
        <v>11.458</v>
      </c>
      <c r="BC32" s="3">
        <v>14.560600000000001</v>
      </c>
      <c r="BD32" s="3">
        <v>49.273899999999998</v>
      </c>
      <c r="BE32" s="3">
        <v>19.027999999999999</v>
      </c>
      <c r="BF32" s="3">
        <v>0.87</v>
      </c>
      <c r="BG32" s="3">
        <v>1.6323000000000001</v>
      </c>
      <c r="BK32" s="12">
        <f t="shared" ref="BK32:BK34" si="63">U32</f>
        <v>2.5045230868963078</v>
      </c>
      <c r="BL32" s="12">
        <f t="shared" ref="BL32:BL34" si="64">AI32</f>
        <v>2.4281168046674719</v>
      </c>
      <c r="BM32" s="12">
        <f t="shared" ref="BM32:BM34" si="65">AW32</f>
        <v>2.4431151840174441</v>
      </c>
      <c r="BN32" s="12">
        <f t="shared" ref="BN32:BN34" si="66">AVERAGE(BK32:BM32)</f>
        <v>2.4585850251937411</v>
      </c>
      <c r="BO32">
        <f t="shared" ref="BO32:BO34" si="67">STDEV(BK32:BM32)</f>
        <v>4.048415715465771E-2</v>
      </c>
      <c r="BP32">
        <v>3</v>
      </c>
      <c r="BQ32">
        <v>3.18</v>
      </c>
      <c r="BR32" s="12">
        <f t="shared" ref="BR32:BR34" si="68">(BQ32*BO32)/SQRT(BP32)</f>
        <v>7.4327854119078454E-2</v>
      </c>
      <c r="BT32" s="12">
        <f t="shared" si="3"/>
        <v>3.5444999999999998</v>
      </c>
      <c r="BU32" s="12">
        <f>'0 Set 2&amp;3'!$H32</f>
        <v>4.6653000000000002</v>
      </c>
      <c r="BV32" s="12">
        <f>'0 Set 2&amp;3'!$G32</f>
        <v>3.552</v>
      </c>
      <c r="BW32" s="12">
        <f>'0 Set 2&amp;3'!$C32</f>
        <v>1964.883333333333</v>
      </c>
      <c r="CF32" s="37">
        <v>44483</v>
      </c>
      <c r="CG32" s="32">
        <v>0.43472222222222223</v>
      </c>
      <c r="CH32">
        <f>CK31+24</f>
        <v>1006.7166666666667</v>
      </c>
      <c r="CI32">
        <f>26-13</f>
        <v>13</v>
      </c>
      <c r="CJ32">
        <f t="shared" si="61"/>
        <v>60416</v>
      </c>
      <c r="CK32">
        <f t="shared" si="62"/>
        <v>1006.9333333333333</v>
      </c>
      <c r="CL32">
        <f>(CK32-1006)*60</f>
        <v>55.999999999996817</v>
      </c>
      <c r="CM32">
        <v>1006</v>
      </c>
    </row>
    <row r="33" spans="1:102" s="171" customFormat="1" ht="16" thickBot="1">
      <c r="A33" s="237" t="s">
        <v>250</v>
      </c>
      <c r="B33" s="172">
        <v>44503</v>
      </c>
      <c r="C33" s="173">
        <v>1442.9166666666667</v>
      </c>
      <c r="D33" s="174">
        <v>4.3710000000000004</v>
      </c>
      <c r="E33" s="174">
        <v>0.92959999999999998</v>
      </c>
      <c r="F33" s="175">
        <v>3.3611</v>
      </c>
      <c r="G33" s="176">
        <f>(E33+0.0848)/3.3937</f>
        <v>0.2989067978902083</v>
      </c>
      <c r="H33" s="176">
        <v>0.79</v>
      </c>
      <c r="I33" s="174">
        <v>6.851</v>
      </c>
      <c r="J33" s="174">
        <v>39.415999999999997</v>
      </c>
      <c r="K33" s="174">
        <v>206.31559999999999</v>
      </c>
      <c r="L33" s="174">
        <v>11.438000000000001</v>
      </c>
      <c r="M33" s="174">
        <v>24.084</v>
      </c>
      <c r="N33" s="174">
        <v>81.130799999999994</v>
      </c>
      <c r="O33" s="174">
        <v>19.018000000000001</v>
      </c>
      <c r="P33" s="174">
        <v>1.2223999999999999</v>
      </c>
      <c r="Q33" s="174">
        <v>2.2734000000000001</v>
      </c>
      <c r="R33" s="177">
        <v>4.3940000000000001</v>
      </c>
      <c r="S33" s="177">
        <v>9.4627999999999997</v>
      </c>
      <c r="T33" s="178">
        <v>37.997599999999998</v>
      </c>
      <c r="U33" s="179">
        <f>(S33+0.0848)/3.3937</f>
        <v>2.8133305831393463</v>
      </c>
      <c r="V33" s="179">
        <v>3.9969999999999999</v>
      </c>
      <c r="W33" s="177">
        <v>6.8540000000000001</v>
      </c>
      <c r="X33" s="177">
        <v>42.866900000000001</v>
      </c>
      <c r="Y33" s="177">
        <v>221.53030000000001</v>
      </c>
      <c r="Z33" s="177">
        <v>11.444000000000001</v>
      </c>
      <c r="AA33" s="177">
        <v>22.361499999999999</v>
      </c>
      <c r="AB33" s="177">
        <v>75.401300000000006</v>
      </c>
      <c r="AC33" s="177">
        <v>19.004000000000001</v>
      </c>
      <c r="AD33" s="177">
        <v>3.8279000000000001</v>
      </c>
      <c r="AE33" s="177">
        <v>7.2999000000000001</v>
      </c>
      <c r="AF33" s="180">
        <v>4.3940000000000001</v>
      </c>
      <c r="AG33" s="180">
        <v>9.6114999999999995</v>
      </c>
      <c r="AH33" s="181">
        <v>39.739400000000003</v>
      </c>
      <c r="AI33" s="182">
        <f>(AG33+0.0848)/3.3937</f>
        <v>2.8571470666234493</v>
      </c>
      <c r="AJ33" s="182">
        <v>4.0528000000000004</v>
      </c>
      <c r="AK33" s="180">
        <v>6.8540000000000001</v>
      </c>
      <c r="AL33" s="180">
        <v>42.795400000000001</v>
      </c>
      <c r="AM33" s="180">
        <v>222.03579999999999</v>
      </c>
      <c r="AN33" s="180">
        <v>11.444000000000001</v>
      </c>
      <c r="AO33" s="180">
        <v>19.861699999999999</v>
      </c>
      <c r="AP33" s="180">
        <v>67.031400000000005</v>
      </c>
      <c r="AQ33" s="180">
        <v>18.984000000000002</v>
      </c>
      <c r="AR33" s="180">
        <v>6.2225999999999999</v>
      </c>
      <c r="AS33" s="180">
        <v>11.997299999999999</v>
      </c>
      <c r="AT33" s="183">
        <v>4.3879999999999999</v>
      </c>
      <c r="AU33" s="183">
        <v>7.8581000000000003</v>
      </c>
      <c r="AV33" s="184">
        <v>32.585799999999999</v>
      </c>
      <c r="AW33" s="185">
        <f>(AU33+0.0848)/3.3937</f>
        <v>2.3404838376992667</v>
      </c>
      <c r="AX33" s="185">
        <v>3.3938999999999999</v>
      </c>
      <c r="AY33" s="183">
        <v>6.8449999999999998</v>
      </c>
      <c r="AZ33" s="183">
        <v>38.536200000000001</v>
      </c>
      <c r="BA33" s="183">
        <v>202.202</v>
      </c>
      <c r="BB33" s="183">
        <v>11.438000000000001</v>
      </c>
      <c r="BC33" s="183">
        <v>21.392399999999999</v>
      </c>
      <c r="BD33" s="183">
        <v>72.232900000000001</v>
      </c>
      <c r="BE33" s="183">
        <v>19.007999999999999</v>
      </c>
      <c r="BF33" s="183">
        <v>2.0367000000000002</v>
      </c>
      <c r="BG33" s="183">
        <v>3.8489</v>
      </c>
      <c r="BK33" s="173">
        <f t="shared" si="63"/>
        <v>2.8133305831393463</v>
      </c>
      <c r="BL33" s="173">
        <f t="shared" si="64"/>
        <v>2.8571470666234493</v>
      </c>
      <c r="BM33" s="173">
        <f t="shared" si="65"/>
        <v>2.3404838376992667</v>
      </c>
      <c r="BN33" s="173">
        <f t="shared" si="66"/>
        <v>2.6703204958206874</v>
      </c>
      <c r="BO33" s="171">
        <f t="shared" si="67"/>
        <v>0.28648584055195192</v>
      </c>
      <c r="BP33" s="171">
        <v>3</v>
      </c>
      <c r="BQ33" s="171">
        <v>3.18</v>
      </c>
      <c r="BR33" s="173">
        <f t="shared" si="68"/>
        <v>0.52598051337416041</v>
      </c>
      <c r="BT33" s="12">
        <f t="shared" si="3"/>
        <v>3.8145666666666673</v>
      </c>
      <c r="BU33" s="12">
        <f>'0 Set 2&amp;3'!$H33</f>
        <v>4.4809999999999999</v>
      </c>
      <c r="BV33" s="12">
        <f>'0 Set 2&amp;3'!$G33</f>
        <v>3.6269674541870014</v>
      </c>
      <c r="BW33" s="12">
        <f>'0 Set 2&amp;3'!$C33</f>
        <v>2060.8833333333332</v>
      </c>
      <c r="CE33" s="171" t="s">
        <v>280</v>
      </c>
      <c r="CF33" s="186">
        <v>44487</v>
      </c>
      <c r="CG33" s="187">
        <v>0.10277777777777779</v>
      </c>
      <c r="CH33" s="171">
        <f>CK32+(24*4)+4</f>
        <v>1106.9333333333334</v>
      </c>
      <c r="CI33" s="171">
        <v>2</v>
      </c>
      <c r="CJ33" s="171">
        <f t="shared" si="61"/>
        <v>66418</v>
      </c>
      <c r="CK33" s="171">
        <f t="shared" si="62"/>
        <v>1106.9666666666667</v>
      </c>
      <c r="CL33" s="171">
        <f>(CK33-1106)*60</f>
        <v>58.000000000001819</v>
      </c>
      <c r="CM33" s="171">
        <v>1106</v>
      </c>
    </row>
    <row r="34" spans="1:102" ht="16" thickTop="1">
      <c r="A34" s="226" t="s">
        <v>250</v>
      </c>
      <c r="B34" s="14">
        <v>44504</v>
      </c>
      <c r="C34" s="12">
        <v>1462.7833333333333</v>
      </c>
      <c r="D34" s="4">
        <v>4.3639999999999999</v>
      </c>
      <c r="E34" s="4">
        <v>0.34770000000000001</v>
      </c>
      <c r="F34" s="83">
        <v>0.88470000000000004</v>
      </c>
      <c r="G34" s="23">
        <f>(E34+0.0848)/3.3937</f>
        <v>0.12744202492854406</v>
      </c>
      <c r="H34" s="23">
        <v>0.57130000000000003</v>
      </c>
      <c r="I34" s="4">
        <v>6.9080000000000004</v>
      </c>
      <c r="J34" s="4">
        <v>37.688000000000002</v>
      </c>
      <c r="K34" s="4">
        <v>219.88040000000001</v>
      </c>
      <c r="L34" s="4">
        <v>11.414</v>
      </c>
      <c r="M34" s="4">
        <v>23.302700000000002</v>
      </c>
      <c r="N34" s="4">
        <v>78.380200000000002</v>
      </c>
      <c r="O34" s="4">
        <v>18.988</v>
      </c>
      <c r="P34" s="4">
        <v>0.45540000000000003</v>
      </c>
      <c r="Q34" s="4">
        <v>0.84930000000000005</v>
      </c>
      <c r="R34" s="1">
        <v>4.3540000000000001</v>
      </c>
      <c r="S34" s="1">
        <v>11.422599999999999</v>
      </c>
      <c r="T34" s="80">
        <v>27.0306</v>
      </c>
      <c r="U34" s="19">
        <f>(S34+0.0848)/3.3937</f>
        <v>3.3908123876594862</v>
      </c>
      <c r="V34" s="19">
        <v>4.7335000000000003</v>
      </c>
      <c r="W34" s="1">
        <v>6.9379999999999997</v>
      </c>
      <c r="X34" s="1">
        <v>38.026299999999999</v>
      </c>
      <c r="Y34" s="1">
        <v>226.6627</v>
      </c>
      <c r="Z34" s="1">
        <v>11.417999999999999</v>
      </c>
      <c r="AA34" s="1">
        <v>23.207799999999999</v>
      </c>
      <c r="AB34" s="1">
        <v>77.980400000000003</v>
      </c>
      <c r="AC34" s="1">
        <v>18.984000000000002</v>
      </c>
      <c r="AD34" s="1">
        <v>0.67689999999999995</v>
      </c>
      <c r="AE34" s="1">
        <v>1.2607999999999999</v>
      </c>
      <c r="AF34" s="2">
        <v>4.3810000000000002</v>
      </c>
      <c r="AG34" s="2">
        <v>9.6701999999999995</v>
      </c>
      <c r="AH34" s="81">
        <v>33.029899999999998</v>
      </c>
      <c r="AI34" s="16">
        <f>(AG34+0.0848)/3.3937</f>
        <v>2.8744438223767568</v>
      </c>
      <c r="AJ34" s="16">
        <v>4.0749000000000004</v>
      </c>
      <c r="AK34" s="2">
        <v>6.8710000000000004</v>
      </c>
      <c r="AL34" s="2">
        <v>37.027200000000001</v>
      </c>
      <c r="AM34" s="2">
        <v>206.1609</v>
      </c>
      <c r="AN34" s="2">
        <v>11.420999999999999</v>
      </c>
      <c r="AO34" s="2">
        <v>24.0428</v>
      </c>
      <c r="AP34" s="2">
        <v>81.170900000000003</v>
      </c>
      <c r="AQ34" s="2">
        <v>19.001000000000001</v>
      </c>
      <c r="AR34" s="2">
        <v>0.77729999999999999</v>
      </c>
      <c r="AS34" s="2">
        <v>1.4539</v>
      </c>
      <c r="AT34" s="3">
        <v>4.3780000000000001</v>
      </c>
      <c r="AU34" s="3">
        <v>9.6893999999999991</v>
      </c>
      <c r="AV34" s="82">
        <v>33.397599999999997</v>
      </c>
      <c r="AW34" s="18">
        <f>(AU34+0.0848)/3.3937</f>
        <v>2.8801013642926594</v>
      </c>
      <c r="AX34" s="18">
        <v>4.0820999999999996</v>
      </c>
      <c r="AY34" s="3">
        <v>6.8680000000000003</v>
      </c>
      <c r="AZ34" s="3">
        <v>36.6663</v>
      </c>
      <c r="BA34" s="3">
        <v>203.91730000000001</v>
      </c>
      <c r="BB34" s="3">
        <v>11.420999999999999</v>
      </c>
      <c r="BC34" s="3">
        <v>23.851900000000001</v>
      </c>
      <c r="BD34" s="3">
        <v>80.479399999999998</v>
      </c>
      <c r="BE34" s="3">
        <v>18.998000000000001</v>
      </c>
      <c r="BF34" s="3">
        <v>0.70930000000000004</v>
      </c>
      <c r="BG34" s="3">
        <v>1.3278000000000001</v>
      </c>
      <c r="BK34" s="12">
        <f t="shared" si="63"/>
        <v>3.3908123876594862</v>
      </c>
      <c r="BL34" s="12">
        <f t="shared" si="64"/>
        <v>2.8744438223767568</v>
      </c>
      <c r="BM34" s="12">
        <f t="shared" si="65"/>
        <v>2.8801013642926594</v>
      </c>
      <c r="BN34" s="12">
        <f t="shared" si="66"/>
        <v>3.0484525247763012</v>
      </c>
      <c r="BO34">
        <f t="shared" si="67"/>
        <v>0.29650583253989743</v>
      </c>
      <c r="BP34">
        <v>3</v>
      </c>
      <c r="BQ34">
        <v>3.18</v>
      </c>
      <c r="BR34" s="12">
        <f t="shared" si="68"/>
        <v>0.54437695670158837</v>
      </c>
      <c r="BT34" s="12">
        <f t="shared" si="3"/>
        <v>4.2968333333333328</v>
      </c>
      <c r="BU34" s="12">
        <f>'0 Set 2&amp;3'!$H34</f>
        <v>3.8997000000000002</v>
      </c>
      <c r="BV34" s="12">
        <f>'0 Set 2&amp;3'!$G34</f>
        <v>3.1270482531269193</v>
      </c>
      <c r="BW34" s="12">
        <f>'0 Set 2&amp;3'!$C34</f>
        <v>2116.3666666666668</v>
      </c>
      <c r="CE34" t="s">
        <v>279</v>
      </c>
      <c r="CF34" s="14">
        <v>44489</v>
      </c>
      <c r="CG34" s="32">
        <v>0.46249999999999997</v>
      </c>
      <c r="CH34">
        <f>CK33+((24*2)-4)</f>
        <v>1150.9666666666667</v>
      </c>
      <c r="CI34">
        <f>6+(60-28)</f>
        <v>38</v>
      </c>
      <c r="CJ34">
        <f t="shared" ref="CJ34:CJ39" si="69">(CH34*60)+CI34</f>
        <v>69096</v>
      </c>
      <c r="CK34">
        <f t="shared" ref="CK34:CK39" si="70">CJ34/60</f>
        <v>1151.5999999999999</v>
      </c>
      <c r="CL34">
        <f>(CK34-CM34)*60</f>
        <v>35.999999999994543</v>
      </c>
      <c r="CM34">
        <v>1151</v>
      </c>
      <c r="CV34">
        <v>3.1867111069962659</v>
      </c>
      <c r="CW34">
        <v>1461.333333333333</v>
      </c>
      <c r="CX34">
        <f>((CV34-U34)+(CV34-AI34)+(CV34-AW34))/3</f>
        <v>0.13825858221996512</v>
      </c>
    </row>
    <row r="35" spans="1:102">
      <c r="A35" s="226" t="s">
        <v>317</v>
      </c>
      <c r="B35" s="14">
        <v>44505</v>
      </c>
      <c r="C35" s="12">
        <v>1487.9666666666667</v>
      </c>
      <c r="D35" s="83">
        <v>4.3609999999999998</v>
      </c>
      <c r="E35" s="83">
        <v>0.51749999999999996</v>
      </c>
      <c r="F35" s="83">
        <v>1.5325</v>
      </c>
      <c r="G35" s="23">
        <f>(E35-0.0742)/3.3092</f>
        <v>0.13395986945485311</v>
      </c>
      <c r="H35" s="23">
        <v>0.63451000000000002</v>
      </c>
      <c r="I35" s="83">
        <v>6.7880000000000003</v>
      </c>
      <c r="J35" s="83">
        <v>34.528799999999997</v>
      </c>
      <c r="K35" s="83">
        <v>180.1078</v>
      </c>
      <c r="L35" s="83">
        <v>11.335000000000001</v>
      </c>
      <c r="M35" s="83">
        <v>23.212399999999999</v>
      </c>
      <c r="N35" s="83">
        <v>79.7774</v>
      </c>
      <c r="O35" s="83">
        <v>18.861000000000001</v>
      </c>
      <c r="P35" s="83">
        <v>0.54869999999999997</v>
      </c>
      <c r="Q35" s="83">
        <v>1.0366</v>
      </c>
      <c r="R35" s="80">
        <v>4.3810000000000002</v>
      </c>
      <c r="S35" s="80">
        <v>9.5358000000000001</v>
      </c>
      <c r="T35" s="80">
        <v>43.273099999999999</v>
      </c>
      <c r="U35" s="19">
        <f>(S35-0.0742)/3.3092</f>
        <v>2.8591804665780249</v>
      </c>
      <c r="V35" s="19">
        <v>4.0244</v>
      </c>
      <c r="W35" s="80">
        <v>6.7939999999999996</v>
      </c>
      <c r="X35" s="80">
        <v>34.919699999999999</v>
      </c>
      <c r="Y35" s="80">
        <v>182.74719999999999</v>
      </c>
      <c r="Z35" s="80">
        <v>11.331</v>
      </c>
      <c r="AA35" s="80">
        <v>23.239100000000001</v>
      </c>
      <c r="AB35" s="80">
        <v>79.873400000000004</v>
      </c>
      <c r="AC35" s="80">
        <v>18.853999999999999</v>
      </c>
      <c r="AD35" s="80">
        <v>0.98580000000000001</v>
      </c>
      <c r="AE35" s="80">
        <v>1.8746</v>
      </c>
      <c r="AF35" s="81">
        <v>4.3840000000000003</v>
      </c>
      <c r="AG35" s="81">
        <v>7.9683000000000002</v>
      </c>
      <c r="AH35" s="81">
        <v>37.991999999999997</v>
      </c>
      <c r="AI35" s="16">
        <f>(AG35-0.0742)/3.3092</f>
        <v>2.3855010274386559</v>
      </c>
      <c r="AJ35" s="16">
        <v>3.4352999999999998</v>
      </c>
      <c r="AK35" s="81">
        <v>6.7839999999999998</v>
      </c>
      <c r="AL35" s="81">
        <v>35.479300000000002</v>
      </c>
      <c r="AM35" s="81">
        <v>183.10409999999999</v>
      </c>
      <c r="AN35" s="81">
        <v>11.331</v>
      </c>
      <c r="AO35" s="81">
        <v>23.6404</v>
      </c>
      <c r="AP35" s="81">
        <v>81.226100000000002</v>
      </c>
      <c r="AQ35" s="81">
        <v>18.858000000000001</v>
      </c>
      <c r="AR35" s="81">
        <v>1.0106999999999999</v>
      </c>
      <c r="AS35" s="81">
        <v>1.9262999999999999</v>
      </c>
      <c r="AT35" s="82">
        <v>4.3810000000000002</v>
      </c>
      <c r="AU35" s="82">
        <v>8.0645000000000007</v>
      </c>
      <c r="AV35" s="82">
        <v>38.087400000000002</v>
      </c>
      <c r="AW35" s="18">
        <f>(AU35-0.0742)/3.3092</f>
        <v>2.4145714976429349</v>
      </c>
      <c r="AX35" s="18">
        <v>3.4714</v>
      </c>
      <c r="AY35" s="82">
        <v>6.7880000000000003</v>
      </c>
      <c r="AZ35" s="82">
        <v>35.591900000000003</v>
      </c>
      <c r="BA35" s="82">
        <v>183.75120000000001</v>
      </c>
      <c r="BB35" s="82">
        <v>11.331</v>
      </c>
      <c r="BC35" s="82">
        <v>23.924499999999998</v>
      </c>
      <c r="BD35" s="82">
        <v>82.161299999999997</v>
      </c>
      <c r="BE35" s="82">
        <v>18.853999999999999</v>
      </c>
      <c r="BF35" s="82">
        <v>1.0076000000000001</v>
      </c>
      <c r="BG35" s="82">
        <v>1.9161999999999999</v>
      </c>
      <c r="BK35" s="12">
        <f t="shared" ref="BK35:BK38" si="71">U35</f>
        <v>2.8591804665780249</v>
      </c>
      <c r="BL35" s="12">
        <f t="shared" ref="BL35:BL38" si="72">AI35</f>
        <v>2.3855010274386559</v>
      </c>
      <c r="BM35" s="12">
        <f t="shared" ref="BM35:BM38" si="73">AW35</f>
        <v>2.4145714976429349</v>
      </c>
      <c r="BN35" s="12">
        <f t="shared" ref="BN35:BN38" si="74">AVERAGE(BK35:BM35)</f>
        <v>2.5530843305532049</v>
      </c>
      <c r="BO35">
        <f t="shared" ref="BO35:BO38" si="75">STDEV(BK35:BM35)</f>
        <v>0.26548522826415061</v>
      </c>
      <c r="BP35">
        <v>3</v>
      </c>
      <c r="BQ35">
        <v>3.18</v>
      </c>
      <c r="BR35" s="12">
        <f t="shared" ref="BR35:BR38" si="76">(BQ35*BO35)/SQRT(BP35)</f>
        <v>0.48742393825328162</v>
      </c>
      <c r="BT35" s="12">
        <f t="shared" si="3"/>
        <v>3.6437000000000004</v>
      </c>
      <c r="BU35" s="12">
        <f>'0 Set 2&amp;3'!$H35</f>
        <v>3.9104000000000001</v>
      </c>
      <c r="BV35" s="12">
        <f>'0 Set 2&amp;3'!$G35</f>
        <v>3.0443381592554295</v>
      </c>
      <c r="BW35" s="12">
        <f>'0 Set 2&amp;3'!$C35</f>
        <v>2162.9499999999998</v>
      </c>
      <c r="CE35" t="s">
        <v>278</v>
      </c>
      <c r="CF35" s="14">
        <v>44490</v>
      </c>
      <c r="CG35" s="32">
        <v>0.47916666666666669</v>
      </c>
      <c r="CH35">
        <f>CK34+24</f>
        <v>1175.5999999999999</v>
      </c>
      <c r="CI35">
        <f>30-6</f>
        <v>24</v>
      </c>
      <c r="CJ35">
        <f t="shared" si="69"/>
        <v>70560</v>
      </c>
      <c r="CK35">
        <f t="shared" si="70"/>
        <v>1176</v>
      </c>
      <c r="CL35">
        <f t="shared" ref="CL35:CL39" si="77">(CK35-CM35)*60</f>
        <v>0</v>
      </c>
      <c r="CM35">
        <v>1176</v>
      </c>
      <c r="CV35">
        <v>3.7757306422244854</v>
      </c>
      <c r="CW35">
        <v>1581.3499999999997</v>
      </c>
      <c r="CX35">
        <f t="shared" ref="CX35:CX44" si="78">((CV35-U35)+(CV35-AI35)+(CV35-AW35))/3</f>
        <v>1.2226463116712802</v>
      </c>
    </row>
    <row r="36" spans="1:102">
      <c r="A36" s="226" t="s">
        <v>317</v>
      </c>
      <c r="B36" s="14">
        <v>44510</v>
      </c>
      <c r="C36" s="12">
        <v>1607.6666666666667</v>
      </c>
      <c r="D36" s="83">
        <v>4.3550000000000004</v>
      </c>
      <c r="E36" s="83">
        <v>0.86350000000000005</v>
      </c>
      <c r="F36" s="83">
        <v>2.7347999999999999</v>
      </c>
      <c r="G36" s="23">
        <f>(E36-0.0742)/3.3092</f>
        <v>0.23851686208146983</v>
      </c>
      <c r="H36" s="23">
        <v>0.7651</v>
      </c>
      <c r="I36" s="83">
        <v>6.8049999999999997</v>
      </c>
      <c r="J36" s="83">
        <v>35.724200000000003</v>
      </c>
      <c r="K36" s="83">
        <v>188.97219999999999</v>
      </c>
      <c r="L36" s="83">
        <v>11.335000000000001</v>
      </c>
      <c r="M36" s="83">
        <v>20.220800000000001</v>
      </c>
      <c r="N36" s="83">
        <v>69.633200000000002</v>
      </c>
      <c r="O36" s="83">
        <v>18.850999999999999</v>
      </c>
      <c r="P36" s="83">
        <v>0.86860000000000004</v>
      </c>
      <c r="Q36" s="83">
        <v>1.6535</v>
      </c>
      <c r="R36" s="80">
        <v>4.3739999999999997</v>
      </c>
      <c r="S36" s="80">
        <v>9.0114000000000001</v>
      </c>
      <c r="T36" s="80">
        <v>38.814399999999999</v>
      </c>
      <c r="U36" s="19">
        <f>(S36-0.0742)/3.3092</f>
        <v>2.7007131633023089</v>
      </c>
      <c r="V36" s="19">
        <v>3.8273000000000001</v>
      </c>
      <c r="W36" s="80">
        <v>6.798</v>
      </c>
      <c r="X36" s="80">
        <v>36.001100000000001</v>
      </c>
      <c r="Y36" s="80">
        <v>188.5453</v>
      </c>
      <c r="Z36" s="80">
        <v>11.321</v>
      </c>
      <c r="AA36" s="80">
        <v>25.776</v>
      </c>
      <c r="AB36" s="80">
        <v>88.238299999999995</v>
      </c>
      <c r="AC36" s="80">
        <v>18.850999999999999</v>
      </c>
      <c r="AD36" s="80">
        <v>0.85399999999999998</v>
      </c>
      <c r="AE36" s="80">
        <v>1.6208</v>
      </c>
      <c r="AF36" s="81">
        <v>4.3739999999999997</v>
      </c>
      <c r="AG36" s="81">
        <v>7.8798000000000004</v>
      </c>
      <c r="AH36" s="81">
        <v>34.391199999999998</v>
      </c>
      <c r="AI36" s="16">
        <f>(AG36-0.0742)/3.3092</f>
        <v>2.3587574036020791</v>
      </c>
      <c r="AJ36" s="16">
        <v>3.4020000000000001</v>
      </c>
      <c r="AK36" s="81">
        <v>6.8010000000000002</v>
      </c>
      <c r="AL36" s="81">
        <v>37.1768</v>
      </c>
      <c r="AM36" s="81">
        <v>194.23910000000001</v>
      </c>
      <c r="AN36" s="81">
        <v>11.321</v>
      </c>
      <c r="AO36" s="81">
        <v>26.627800000000001</v>
      </c>
      <c r="AP36" s="81">
        <v>91.137</v>
      </c>
      <c r="AQ36" s="81">
        <v>18.853999999999999</v>
      </c>
      <c r="AR36" s="81">
        <v>0.91300000000000003</v>
      </c>
      <c r="AS36" s="81">
        <v>1.7354000000000001</v>
      </c>
      <c r="AT36" s="82">
        <v>4.3710000000000004</v>
      </c>
      <c r="AU36" s="82">
        <v>7.3677000000000001</v>
      </c>
      <c r="AV36" s="82">
        <v>32.1982</v>
      </c>
      <c r="AW36" s="18">
        <f>(AU36-0.0742)/3.3092</f>
        <v>2.2040070107578869</v>
      </c>
      <c r="AX36" s="18">
        <v>3.2096</v>
      </c>
      <c r="AY36" s="82">
        <v>6.798</v>
      </c>
      <c r="AZ36" s="82">
        <v>35.916699999999999</v>
      </c>
      <c r="BA36" s="82">
        <v>187.22550000000001</v>
      </c>
      <c r="BB36" s="82">
        <v>11.321</v>
      </c>
      <c r="BC36" s="82">
        <v>25.9194</v>
      </c>
      <c r="BD36" s="82">
        <v>88.776700000000005</v>
      </c>
      <c r="BE36" s="82">
        <v>18.850999999999999</v>
      </c>
      <c r="BF36" s="82">
        <v>0.68149999999999999</v>
      </c>
      <c r="BG36" s="82">
        <v>1.2934000000000001</v>
      </c>
      <c r="BK36" s="12">
        <f t="shared" si="71"/>
        <v>2.7007131633023089</v>
      </c>
      <c r="BL36" s="12">
        <f t="shared" si="72"/>
        <v>2.3587574036020791</v>
      </c>
      <c r="BM36" s="12">
        <f t="shared" si="73"/>
        <v>2.2040070107578869</v>
      </c>
      <c r="BN36" s="12">
        <f t="shared" si="74"/>
        <v>2.4211591925540916</v>
      </c>
      <c r="BO36">
        <f t="shared" si="75"/>
        <v>0.25416478501590128</v>
      </c>
      <c r="BP36">
        <v>3</v>
      </c>
      <c r="BQ36">
        <v>3.18</v>
      </c>
      <c r="BR36" s="12">
        <f t="shared" si="76"/>
        <v>0.46663990041090364</v>
      </c>
      <c r="BT36" s="12">
        <f t="shared" si="3"/>
        <v>3.4796333333333336</v>
      </c>
      <c r="BU36" s="12">
        <f>'0 Set 2&amp;3'!$H36</f>
        <v>0</v>
      </c>
      <c r="BV36" s="12">
        <f>'0 Set 2&amp;3'!$G36</f>
        <v>0</v>
      </c>
      <c r="BW36" s="12">
        <f>'0 Set 2&amp;3'!$C36</f>
        <v>0</v>
      </c>
      <c r="CE36" t="s">
        <v>277</v>
      </c>
      <c r="CF36" s="14">
        <v>44491</v>
      </c>
      <c r="CG36" s="32">
        <v>0.48402777777777778</v>
      </c>
      <c r="CH36">
        <f>CK35+24</f>
        <v>1200</v>
      </c>
      <c r="CI36">
        <v>7</v>
      </c>
      <c r="CJ36">
        <f t="shared" si="69"/>
        <v>72007</v>
      </c>
      <c r="CK36">
        <f t="shared" si="70"/>
        <v>1200.1166666666666</v>
      </c>
      <c r="CL36">
        <f t="shared" si="77"/>
        <v>6.9999999999936335</v>
      </c>
      <c r="CM36">
        <v>1200</v>
      </c>
      <c r="CV36">
        <v>3.6395395488072095</v>
      </c>
      <c r="CW36">
        <v>1701.5999999999997</v>
      </c>
      <c r="CX36">
        <f t="shared" si="78"/>
        <v>1.2183803562531179</v>
      </c>
    </row>
    <row r="37" spans="1:102">
      <c r="A37" s="226" t="s">
        <v>325</v>
      </c>
      <c r="B37" s="14">
        <v>44512</v>
      </c>
      <c r="C37" s="12">
        <v>1655.8333333333333</v>
      </c>
      <c r="D37" s="4">
        <v>4.3440000000000003</v>
      </c>
      <c r="E37" s="4">
        <v>0.44769999999999999</v>
      </c>
      <c r="F37" s="4">
        <v>1.0255000000000001</v>
      </c>
      <c r="G37" s="17">
        <f>(E37+0.3104)/3.4039</f>
        <v>0.22271512089074297</v>
      </c>
      <c r="H37" s="17">
        <v>0.6089</v>
      </c>
      <c r="I37" s="4">
        <v>6.7380000000000004</v>
      </c>
      <c r="J37" s="4">
        <v>37.386899999999997</v>
      </c>
      <c r="K37" s="4">
        <v>193.94399999999999</v>
      </c>
      <c r="L37" s="4">
        <v>11.111000000000001</v>
      </c>
      <c r="M37" s="4">
        <v>28.966799999999999</v>
      </c>
      <c r="N37" s="4">
        <v>97.193200000000004</v>
      </c>
      <c r="O37" s="4">
        <v>18.404</v>
      </c>
      <c r="P37" s="4">
        <v>0.58250000000000002</v>
      </c>
      <c r="Q37" s="4">
        <v>1.0871999999999999</v>
      </c>
      <c r="R37" s="1">
        <v>4.3639999999999999</v>
      </c>
      <c r="S37" s="1">
        <v>8.9680999999999997</v>
      </c>
      <c r="T37" s="1">
        <v>34.805300000000003</v>
      </c>
      <c r="U37" s="17">
        <f>(S37+0.3104)/3.4039</f>
        <v>2.7258438849554918</v>
      </c>
      <c r="V37" s="17">
        <v>3.8109999999999999</v>
      </c>
      <c r="W37" s="1">
        <v>6.7279999999999998</v>
      </c>
      <c r="X37" s="1">
        <v>38.262300000000003</v>
      </c>
      <c r="Y37" s="1">
        <v>194.83699999999999</v>
      </c>
      <c r="Z37" s="1">
        <v>11.103999999999999</v>
      </c>
      <c r="AA37" s="1">
        <v>30.255099999999999</v>
      </c>
      <c r="AB37" s="1">
        <v>101.32989999999999</v>
      </c>
      <c r="AC37" s="1">
        <v>18.398</v>
      </c>
      <c r="AD37" s="1">
        <v>0.91869999999999996</v>
      </c>
      <c r="AE37" s="1">
        <v>1.7210000000000001</v>
      </c>
      <c r="AF37" s="2">
        <v>4.3650000000000002</v>
      </c>
      <c r="AG37" s="2">
        <v>7.8521000000000001</v>
      </c>
      <c r="AH37" s="2">
        <v>30.359200000000001</v>
      </c>
      <c r="AI37" s="17">
        <f>(AG37+0.3104)/3.4039</f>
        <v>2.3979846646493725</v>
      </c>
      <c r="AJ37" s="17">
        <v>3.3915999999999999</v>
      </c>
      <c r="AK37" s="2">
        <v>6.7279999999999998</v>
      </c>
      <c r="AL37" s="2">
        <v>37.546500000000002</v>
      </c>
      <c r="AM37" s="2">
        <v>191.50460000000001</v>
      </c>
      <c r="AN37" s="2">
        <v>11.105</v>
      </c>
      <c r="AO37" s="2">
        <v>29.4451</v>
      </c>
      <c r="AP37" s="2">
        <v>98.617400000000004</v>
      </c>
      <c r="AQ37" s="2">
        <v>18.401</v>
      </c>
      <c r="AR37" s="2">
        <v>0.85819999999999996</v>
      </c>
      <c r="AS37" s="2">
        <v>1.6114999999999999</v>
      </c>
      <c r="AT37" s="3">
        <v>4.3609999999999998</v>
      </c>
      <c r="AU37" s="3">
        <v>8.5042000000000009</v>
      </c>
      <c r="AV37" s="3">
        <v>31.6492</v>
      </c>
      <c r="AW37" s="17">
        <f>(AU37+0.3104)/3.4039</f>
        <v>2.5895590352243016</v>
      </c>
      <c r="AX37" s="17">
        <v>3.6366999999999998</v>
      </c>
      <c r="AY37" s="3">
        <v>6.734</v>
      </c>
      <c r="AZ37" s="3">
        <v>37.918500000000002</v>
      </c>
      <c r="BA37" s="3">
        <v>194.8253</v>
      </c>
      <c r="BB37" s="3">
        <v>11.103999999999999</v>
      </c>
      <c r="BC37" s="3">
        <v>29.8552</v>
      </c>
      <c r="BD37" s="3">
        <v>100.02370000000001</v>
      </c>
      <c r="BE37" s="3">
        <v>18.404</v>
      </c>
      <c r="BF37" s="3">
        <v>0.76329999999999998</v>
      </c>
      <c r="BG37" s="3">
        <v>1.4302999999999999</v>
      </c>
      <c r="BK37" s="12">
        <f t="shared" si="71"/>
        <v>2.7258438849554918</v>
      </c>
      <c r="BL37" s="12">
        <f t="shared" si="72"/>
        <v>2.3979846646493725</v>
      </c>
      <c r="BM37" s="12">
        <f t="shared" si="73"/>
        <v>2.5895590352243016</v>
      </c>
      <c r="BN37" s="12">
        <f t="shared" si="74"/>
        <v>2.571129194943055</v>
      </c>
      <c r="BO37">
        <f t="shared" si="75"/>
        <v>0.16470477025431987</v>
      </c>
      <c r="BP37">
        <v>3</v>
      </c>
      <c r="BQ37">
        <v>3.18</v>
      </c>
      <c r="BR37" s="12">
        <f t="shared" si="76"/>
        <v>0.3023936521492076</v>
      </c>
      <c r="BT37" s="12">
        <f t="shared" si="3"/>
        <v>3.6130999999999998</v>
      </c>
      <c r="BU37" s="12">
        <f>'0 Set 2&amp;3'!$H37</f>
        <v>0</v>
      </c>
      <c r="BV37" s="12">
        <f>'0 Set 2&amp;3'!$G37</f>
        <v>0</v>
      </c>
      <c r="BW37" s="12">
        <f>'0 Set 2&amp;3'!$C37</f>
        <v>0</v>
      </c>
      <c r="CE37" t="s">
        <v>272</v>
      </c>
      <c r="CF37" s="14">
        <v>44494</v>
      </c>
      <c r="CG37" s="32">
        <v>0.47847222222222219</v>
      </c>
      <c r="CH37">
        <f>CK36+23</f>
        <v>1223.1166666666666</v>
      </c>
      <c r="CI37">
        <f>29+(60-37)</f>
        <v>52</v>
      </c>
      <c r="CJ37">
        <f t="shared" si="69"/>
        <v>73439</v>
      </c>
      <c r="CK37">
        <f t="shared" si="70"/>
        <v>1223.9833333333333</v>
      </c>
      <c r="CL37">
        <f t="shared" si="77"/>
        <v>59.000000000000909</v>
      </c>
      <c r="CM37">
        <v>1223</v>
      </c>
      <c r="CV37">
        <v>3.8806148867313914</v>
      </c>
      <c r="CW37">
        <v>1749.133333333333</v>
      </c>
      <c r="CX37">
        <f t="shared" si="78"/>
        <v>1.3094856917883362</v>
      </c>
    </row>
    <row r="38" spans="1:102">
      <c r="A38" s="226" t="s">
        <v>325</v>
      </c>
      <c r="B38" s="14">
        <v>44515</v>
      </c>
      <c r="C38" s="12">
        <v>1727.7666666666667</v>
      </c>
      <c r="D38" s="4">
        <v>4.351</v>
      </c>
      <c r="E38" s="4">
        <v>0.86050000000000004</v>
      </c>
      <c r="F38" s="4">
        <v>2.0960000000000001</v>
      </c>
      <c r="G38" s="17">
        <f>(E38+0.3104)/3.4039</f>
        <v>0.34398777872440434</v>
      </c>
      <c r="H38" s="17">
        <v>0.76400000000000001</v>
      </c>
      <c r="I38" s="4">
        <v>6.7350000000000003</v>
      </c>
      <c r="J38" s="4">
        <v>39.824100000000001</v>
      </c>
      <c r="K38" s="4">
        <v>202.75069999999999</v>
      </c>
      <c r="L38" s="4">
        <v>11.121</v>
      </c>
      <c r="M38" s="4">
        <v>18.9148</v>
      </c>
      <c r="N38" s="4">
        <v>63.883400000000002</v>
      </c>
      <c r="O38" s="4">
        <v>18.395</v>
      </c>
      <c r="P38" s="4">
        <v>1.7289000000000001</v>
      </c>
      <c r="Q38" s="4">
        <v>3.2629000000000001</v>
      </c>
      <c r="R38" s="1">
        <v>4.3639999999999999</v>
      </c>
      <c r="S38" s="1">
        <v>9.2022999999999993</v>
      </c>
      <c r="T38" s="1">
        <v>35.352200000000003</v>
      </c>
      <c r="U38" s="17">
        <f>(S38+0.3104)/3.4039</f>
        <v>2.7946473163136396</v>
      </c>
      <c r="V38" s="17">
        <v>3.8990999999999998</v>
      </c>
      <c r="W38" s="1">
        <v>6.7279999999999998</v>
      </c>
      <c r="X38" s="1">
        <v>38.3688</v>
      </c>
      <c r="Y38" s="1">
        <v>194.9958</v>
      </c>
      <c r="Z38" s="1">
        <v>11.101000000000001</v>
      </c>
      <c r="AA38" s="1">
        <v>29.704899999999999</v>
      </c>
      <c r="AB38" s="1">
        <v>99.553899999999999</v>
      </c>
      <c r="AC38" s="1">
        <v>18.398</v>
      </c>
      <c r="AD38" s="1">
        <v>1.1202000000000001</v>
      </c>
      <c r="AE38" s="1">
        <v>2.1053999999999999</v>
      </c>
      <c r="AF38" s="2">
        <v>4.3650000000000002</v>
      </c>
      <c r="AG38" s="2">
        <v>8.9532000000000007</v>
      </c>
      <c r="AH38" s="2">
        <v>34.427799999999998</v>
      </c>
      <c r="AI38" s="17">
        <f>(AG38+0.3104)/3.4039</f>
        <v>2.721466553071477</v>
      </c>
      <c r="AJ38" s="17">
        <v>3.8054000000000001</v>
      </c>
      <c r="AK38" s="2">
        <v>6.7279999999999998</v>
      </c>
      <c r="AL38" s="2">
        <v>37.864899999999999</v>
      </c>
      <c r="AM38" s="2">
        <v>192.60339999999999</v>
      </c>
      <c r="AN38" s="2">
        <v>11.101000000000001</v>
      </c>
      <c r="AO38" s="2">
        <v>29.683499999999999</v>
      </c>
      <c r="AP38" s="2">
        <v>99.5321</v>
      </c>
      <c r="AQ38" s="2">
        <v>18.395</v>
      </c>
      <c r="AR38" s="2">
        <v>1.0257000000000001</v>
      </c>
      <c r="AS38" s="2">
        <v>1.9236</v>
      </c>
      <c r="AT38" s="3">
        <v>4.3639999999999999</v>
      </c>
      <c r="AU38" s="3">
        <v>8.4004999999999992</v>
      </c>
      <c r="AV38" s="3">
        <v>32.3217</v>
      </c>
      <c r="AW38" s="17">
        <f>(AU38+0.3104)/3.4039</f>
        <v>2.5590939804342074</v>
      </c>
      <c r="AX38" s="17">
        <v>3.5977000000000001</v>
      </c>
      <c r="AY38" s="3">
        <v>6.7279999999999998</v>
      </c>
      <c r="AZ38" s="3">
        <v>37.637799999999999</v>
      </c>
      <c r="BA38" s="3">
        <v>191.52440000000001</v>
      </c>
      <c r="BB38" s="3">
        <v>11.098000000000001</v>
      </c>
      <c r="BC38" s="3">
        <v>29.4404</v>
      </c>
      <c r="BD38" s="3">
        <v>98.741399999999999</v>
      </c>
      <c r="BE38" s="3">
        <v>18.393999999999998</v>
      </c>
      <c r="BF38" s="3">
        <v>0.89539999999999997</v>
      </c>
      <c r="BG38" s="3">
        <v>1.6818</v>
      </c>
      <c r="BK38" s="12">
        <f t="shared" si="71"/>
        <v>2.7946473163136396</v>
      </c>
      <c r="BL38" s="12">
        <f t="shared" si="72"/>
        <v>2.721466553071477</v>
      </c>
      <c r="BM38" s="12">
        <f t="shared" si="73"/>
        <v>2.5590939804342074</v>
      </c>
      <c r="BN38" s="12">
        <f t="shared" si="74"/>
        <v>2.6917359499397748</v>
      </c>
      <c r="BO38">
        <f t="shared" si="75"/>
        <v>0.12055818131886877</v>
      </c>
      <c r="BP38">
        <v>3</v>
      </c>
      <c r="BQ38">
        <v>3.18</v>
      </c>
      <c r="BR38" s="12">
        <f t="shared" si="76"/>
        <v>0.2213416690311247</v>
      </c>
      <c r="BT38" s="12">
        <f t="shared" si="3"/>
        <v>3.7673999999999999</v>
      </c>
      <c r="BU38" s="12">
        <f>'0 Set 2&amp;3'!$H38</f>
        <v>0</v>
      </c>
      <c r="BV38" s="12">
        <f>'0 Set 2&amp;3'!$G38</f>
        <v>0</v>
      </c>
      <c r="BW38" s="12">
        <f>'0 Set 2&amp;3'!$C38</f>
        <v>0</v>
      </c>
      <c r="CE38" t="s">
        <v>270</v>
      </c>
      <c r="CF38" s="14">
        <v>44503</v>
      </c>
      <c r="CG38" s="32">
        <v>0.10069444444444443</v>
      </c>
      <c r="CH38">
        <f>CK37+(24*9)+2</f>
        <v>1441.9833333333333</v>
      </c>
      <c r="CI38">
        <f>25+(60-29)</f>
        <v>56</v>
      </c>
      <c r="CJ38">
        <f t="shared" si="69"/>
        <v>86575</v>
      </c>
      <c r="CK38">
        <f t="shared" si="70"/>
        <v>1442.9166666666667</v>
      </c>
      <c r="CL38">
        <f t="shared" si="77"/>
        <v>55.000000000004547</v>
      </c>
      <c r="CM38">
        <v>1442</v>
      </c>
      <c r="CV38">
        <v>3.8356634304207122</v>
      </c>
      <c r="CW38">
        <v>1796.583333333333</v>
      </c>
      <c r="CX38">
        <f t="shared" si="78"/>
        <v>1.1439274804809376</v>
      </c>
    </row>
    <row r="39" spans="1:102">
      <c r="A39" s="226" t="s">
        <v>335</v>
      </c>
      <c r="B39" s="14">
        <v>44517</v>
      </c>
      <c r="C39" s="12">
        <v>1776.1166666666666</v>
      </c>
      <c r="D39" s="79">
        <v>4.3639999999999999</v>
      </c>
      <c r="E39" s="79">
        <v>0.3644</v>
      </c>
      <c r="F39" s="79">
        <v>0.60799999999999998</v>
      </c>
      <c r="G39" s="17">
        <f>(E39-0.0771)/3.304</f>
        <v>8.6955205811138025E-2</v>
      </c>
      <c r="H39" s="17">
        <v>0.57750000000000001</v>
      </c>
      <c r="I39" s="79">
        <v>6.758</v>
      </c>
      <c r="J39" s="79">
        <v>39.078000000000003</v>
      </c>
      <c r="K39" s="79">
        <v>203.7413</v>
      </c>
      <c r="L39" s="79">
        <v>11.118</v>
      </c>
      <c r="M39" s="79">
        <v>34.273499999999999</v>
      </c>
      <c r="N39" s="79">
        <v>115.75149999999999</v>
      </c>
      <c r="O39" s="79">
        <v>18.457999999999998</v>
      </c>
      <c r="P39" s="79">
        <v>0.62639999999999996</v>
      </c>
      <c r="Q39" s="79">
        <v>1.1771</v>
      </c>
      <c r="R39" s="79">
        <v>4.3739999999999997</v>
      </c>
      <c r="S39" s="79">
        <v>8.9871999999999996</v>
      </c>
      <c r="T39" s="79">
        <v>30.801600000000001</v>
      </c>
      <c r="U39" s="17">
        <f>(S39-0.0771)/3.304</f>
        <v>2.6967615012106538</v>
      </c>
      <c r="V39" s="17">
        <v>3.8182</v>
      </c>
      <c r="W39" s="79">
        <v>6.7539999999999996</v>
      </c>
      <c r="X39" s="79">
        <v>39.421900000000001</v>
      </c>
      <c r="Y39" s="79">
        <v>203.72540000000001</v>
      </c>
      <c r="Z39" s="79">
        <v>11.111000000000001</v>
      </c>
      <c r="AA39" s="79">
        <v>34.461399999999998</v>
      </c>
      <c r="AB39" s="79">
        <v>116.16289999999999</v>
      </c>
      <c r="AC39" s="79">
        <v>18.448</v>
      </c>
      <c r="AD39" s="79">
        <v>0.96719999999999995</v>
      </c>
      <c r="AE39" s="79">
        <v>1.8259000000000001</v>
      </c>
      <c r="AF39" s="79">
        <v>4.3710000000000004</v>
      </c>
      <c r="AG39" s="79">
        <v>8.4871999999999996</v>
      </c>
      <c r="AH39" s="79">
        <v>29.0825</v>
      </c>
      <c r="AI39" s="17">
        <f>(AG39-0.0771)/3.304</f>
        <v>2.5454297820823246</v>
      </c>
      <c r="AJ39" s="17">
        <v>3.6303000000000001</v>
      </c>
      <c r="AK39" s="79">
        <v>6.7510000000000003</v>
      </c>
      <c r="AL39" s="79">
        <v>39.165700000000001</v>
      </c>
      <c r="AM39" s="79">
        <v>202.6412</v>
      </c>
      <c r="AN39" s="79">
        <v>11.108000000000001</v>
      </c>
      <c r="AO39" s="79">
        <v>34.1571</v>
      </c>
      <c r="AP39" s="79">
        <v>115.18770000000001</v>
      </c>
      <c r="AQ39" s="79">
        <v>18.445</v>
      </c>
      <c r="AR39" s="79">
        <v>0.87809999999999999</v>
      </c>
      <c r="AS39" s="79">
        <v>1.6597</v>
      </c>
      <c r="AT39" s="79">
        <v>4.3710000000000004</v>
      </c>
      <c r="AU39" s="79">
        <v>8.5259999999999998</v>
      </c>
      <c r="AV39" s="79">
        <v>29.2882</v>
      </c>
      <c r="AW39" s="17">
        <f>(AU39-0.0771)/3.304</f>
        <v>2.5571731234866828</v>
      </c>
      <c r="AX39" s="17">
        <v>3.6448999999999998</v>
      </c>
      <c r="AY39" s="79">
        <v>6.7539999999999996</v>
      </c>
      <c r="AZ39" s="79">
        <v>39.65</v>
      </c>
      <c r="BA39" s="79">
        <v>204.44730000000001</v>
      </c>
      <c r="BB39" s="79">
        <v>11.111000000000001</v>
      </c>
      <c r="BC39" s="79">
        <v>34.525500000000001</v>
      </c>
      <c r="BD39" s="79">
        <v>116.31950000000001</v>
      </c>
      <c r="BE39" s="79">
        <v>18.448</v>
      </c>
      <c r="BF39" s="79">
        <v>0.98750000000000004</v>
      </c>
      <c r="BG39" s="79">
        <v>1.8633</v>
      </c>
      <c r="BK39" s="12">
        <f>U39</f>
        <v>2.6967615012106538</v>
      </c>
      <c r="BL39" s="12">
        <f>AI39</f>
        <v>2.5454297820823246</v>
      </c>
      <c r="BM39" s="12">
        <f>AW39</f>
        <v>2.5571731234866828</v>
      </c>
      <c r="BN39" s="12">
        <f t="shared" ref="BN39:BN41" si="79">AVERAGE(BK39:BM39)</f>
        <v>2.5997881355932204</v>
      </c>
      <c r="BO39">
        <f t="shared" ref="BO39:BO41" si="80">STDEV(BK39:BM39)</f>
        <v>8.4186410698010763E-2</v>
      </c>
      <c r="BP39">
        <v>3</v>
      </c>
      <c r="BQ39">
        <v>3.18</v>
      </c>
      <c r="BR39" s="12">
        <f t="shared" ref="BR39:BR41" si="81">(BQ39*BO39)/SQRT(BP39)</f>
        <v>0.15456404907396362</v>
      </c>
      <c r="BT39" s="12">
        <f t="shared" si="3"/>
        <v>3.6977999999999995</v>
      </c>
      <c r="BU39" s="12">
        <f>'0 Set 2&amp;3'!$H39</f>
        <v>0</v>
      </c>
      <c r="BV39" s="12">
        <f>'0 Set 2&amp;3'!$G39</f>
        <v>0</v>
      </c>
      <c r="BW39" s="12">
        <f>'0 Set 2&amp;3'!$C39</f>
        <v>0</v>
      </c>
      <c r="CE39" t="s">
        <v>267</v>
      </c>
      <c r="CF39" s="14">
        <v>44504</v>
      </c>
      <c r="CG39" s="32">
        <v>0.4284722222222222</v>
      </c>
      <c r="CH39">
        <f>CK38+(24-5)</f>
        <v>1461.9166666666667</v>
      </c>
      <c r="CI39">
        <f>17+(60-25)</f>
        <v>52</v>
      </c>
      <c r="CJ39">
        <f t="shared" si="69"/>
        <v>87767</v>
      </c>
      <c r="CK39">
        <f t="shared" si="70"/>
        <v>1462.7833333333333</v>
      </c>
      <c r="CL39">
        <f t="shared" si="77"/>
        <v>46.999999999998181</v>
      </c>
      <c r="CM39">
        <v>1462</v>
      </c>
      <c r="CV39">
        <v>3.3074285714285714</v>
      </c>
      <c r="CW39">
        <v>1867.3999999999999</v>
      </c>
      <c r="CX39">
        <f t="shared" si="78"/>
        <v>0.70764043583535097</v>
      </c>
    </row>
    <row r="40" spans="1:102">
      <c r="A40" s="226" t="s">
        <v>335</v>
      </c>
      <c r="B40" s="14">
        <v>44519</v>
      </c>
      <c r="C40" s="12">
        <v>1822.25</v>
      </c>
      <c r="D40" s="79">
        <v>4.3540000000000001</v>
      </c>
      <c r="E40" s="79">
        <v>0.33310000000000001</v>
      </c>
      <c r="F40" s="79">
        <v>0.64090000000000003</v>
      </c>
      <c r="G40" s="17">
        <f>(E40-0.0771)/3.304</f>
        <v>7.7481840193704604E-2</v>
      </c>
      <c r="H40" s="17">
        <v>0.56579999999999997</v>
      </c>
      <c r="I40" s="79">
        <v>6.7439999999999998</v>
      </c>
      <c r="J40" s="79">
        <v>36.956499999999998</v>
      </c>
      <c r="K40" s="79">
        <v>193.1748</v>
      </c>
      <c r="L40" s="79">
        <v>11.103999999999999</v>
      </c>
      <c r="M40" s="79">
        <v>31.840399999999999</v>
      </c>
      <c r="N40" s="79">
        <v>107.4255</v>
      </c>
      <c r="O40" s="79">
        <v>18.434000000000001</v>
      </c>
      <c r="P40" s="79">
        <v>0.70079999999999998</v>
      </c>
      <c r="Q40" s="79">
        <v>1.3246</v>
      </c>
      <c r="R40" s="79">
        <v>4.3680000000000003</v>
      </c>
      <c r="S40" s="79">
        <v>9.4763000000000002</v>
      </c>
      <c r="T40" s="79">
        <v>32.998800000000003</v>
      </c>
      <c r="U40" s="17">
        <f>(S40-0.0771)/3.304</f>
        <v>2.8447941888619859</v>
      </c>
      <c r="V40" s="17">
        <v>4.0019999999999998</v>
      </c>
      <c r="W40" s="79">
        <v>6.7480000000000002</v>
      </c>
      <c r="X40" s="79">
        <v>37.993200000000002</v>
      </c>
      <c r="Y40" s="79">
        <v>196.21209999999999</v>
      </c>
      <c r="Z40" s="79">
        <v>11.108000000000001</v>
      </c>
      <c r="AA40" s="79">
        <v>31.991900000000001</v>
      </c>
      <c r="AB40" s="79">
        <v>107.92659999999999</v>
      </c>
      <c r="AC40" s="79">
        <v>18.434000000000001</v>
      </c>
      <c r="AD40" s="79">
        <v>1.1794</v>
      </c>
      <c r="AE40" s="79">
        <v>2.2254</v>
      </c>
      <c r="AF40" s="79">
        <v>4.3680000000000003</v>
      </c>
      <c r="AG40" s="79">
        <v>8.7561999999999998</v>
      </c>
      <c r="AH40" s="79">
        <v>30.602499999999999</v>
      </c>
      <c r="AI40" s="17">
        <f>(AG40-0.0771)/3.304</f>
        <v>2.6268462469733658</v>
      </c>
      <c r="AJ40" s="17">
        <v>3.7313999999999998</v>
      </c>
      <c r="AK40" s="79">
        <v>6.7439999999999998</v>
      </c>
      <c r="AL40" s="79">
        <v>37.285400000000003</v>
      </c>
      <c r="AM40" s="79">
        <v>192.9813</v>
      </c>
      <c r="AN40" s="79">
        <v>11.103999999999999</v>
      </c>
      <c r="AO40" s="79">
        <v>31.702200000000001</v>
      </c>
      <c r="AP40" s="79">
        <v>106.9571</v>
      </c>
      <c r="AQ40" s="79">
        <v>18.428000000000001</v>
      </c>
      <c r="AR40" s="79">
        <v>1.1186</v>
      </c>
      <c r="AS40" s="79">
        <v>2.1206</v>
      </c>
      <c r="AT40" s="79">
        <v>4.3680000000000003</v>
      </c>
      <c r="AU40" s="79">
        <v>8.7509999999999994</v>
      </c>
      <c r="AV40" s="79">
        <v>30.549099999999999</v>
      </c>
      <c r="AW40" s="17">
        <f>(AU40-0.0771)/3.304</f>
        <v>2.6252723970944309</v>
      </c>
      <c r="AX40" s="17">
        <v>3.7294</v>
      </c>
      <c r="AY40" s="79">
        <v>6.7450000000000001</v>
      </c>
      <c r="AZ40" s="79">
        <v>37.495800000000003</v>
      </c>
      <c r="BA40" s="79">
        <v>193.98419999999999</v>
      </c>
      <c r="BB40" s="79">
        <v>11.105</v>
      </c>
      <c r="BC40" s="79">
        <v>32.109299999999998</v>
      </c>
      <c r="BD40" s="79">
        <v>108.2684</v>
      </c>
      <c r="BE40" s="79">
        <v>18.431000000000001</v>
      </c>
      <c r="BF40" s="79">
        <v>1.0818000000000001</v>
      </c>
      <c r="BG40" s="79">
        <v>2.0507</v>
      </c>
      <c r="BK40" s="12">
        <f>U40</f>
        <v>2.8447941888619859</v>
      </c>
      <c r="BL40" s="12">
        <f>AI40</f>
        <v>2.6268462469733658</v>
      </c>
      <c r="BM40" s="12">
        <f>AW40</f>
        <v>2.6252723970944309</v>
      </c>
      <c r="BN40" s="12">
        <f t="shared" si="79"/>
        <v>2.6989709443099272</v>
      </c>
      <c r="BO40">
        <f t="shared" si="80"/>
        <v>0.12628908598777416</v>
      </c>
      <c r="BP40">
        <v>3</v>
      </c>
      <c r="BQ40">
        <v>3.18</v>
      </c>
      <c r="BR40" s="12">
        <f t="shared" si="81"/>
        <v>0.23186346017459525</v>
      </c>
      <c r="BT40" s="12">
        <f t="shared" si="3"/>
        <v>3.8209333333333331</v>
      </c>
      <c r="BU40" s="12">
        <f>'0 Set 2&amp;3'!$H40</f>
        <v>0</v>
      </c>
      <c r="BV40" s="12">
        <f>'0 Set 2&amp;3'!$G40</f>
        <v>0</v>
      </c>
      <c r="BW40" s="12">
        <f>'0 Set 2&amp;3'!$C40</f>
        <v>0</v>
      </c>
      <c r="CE40" t="s">
        <v>266</v>
      </c>
      <c r="CF40" s="14">
        <v>44505</v>
      </c>
      <c r="CG40" s="32">
        <v>0.4777777777777778</v>
      </c>
      <c r="CH40">
        <f>CK39+24+1</f>
        <v>1487.7833333333333</v>
      </c>
      <c r="CI40">
        <f>28-17</f>
        <v>11</v>
      </c>
      <c r="CJ40">
        <f>(CH40*60)+CI40</f>
        <v>89278</v>
      </c>
      <c r="CK40">
        <f>CJ40/60</f>
        <v>1487.9666666666667</v>
      </c>
      <c r="CL40">
        <f>(CK40-CM40)*60</f>
        <v>58.000000000001819</v>
      </c>
      <c r="CM40">
        <v>1487</v>
      </c>
      <c r="CV40">
        <v>3.4336507936507941</v>
      </c>
      <c r="CW40">
        <v>1916.1999999999998</v>
      </c>
      <c r="CX40">
        <f t="shared" si="78"/>
        <v>0.7346798493408665</v>
      </c>
    </row>
    <row r="41" spans="1:102">
      <c r="A41" s="226" t="s">
        <v>335</v>
      </c>
      <c r="B41" s="14">
        <v>44522</v>
      </c>
      <c r="C41" s="12">
        <v>1901.2333333333333</v>
      </c>
      <c r="D41" s="79">
        <v>4.3540000000000001</v>
      </c>
      <c r="E41" s="79">
        <v>0.3246</v>
      </c>
      <c r="F41" s="79">
        <v>0.58950000000000002</v>
      </c>
      <c r="G41" s="17">
        <f>(E41-0.0771)/3.304</f>
        <v>7.4909200968523007E-2</v>
      </c>
      <c r="H41" s="17">
        <v>0.56259999999999999</v>
      </c>
      <c r="I41" s="79">
        <v>6.7039999999999997</v>
      </c>
      <c r="J41" s="79">
        <v>12.0345</v>
      </c>
      <c r="K41" s="79">
        <v>66.164599999999993</v>
      </c>
      <c r="L41" s="79">
        <v>11.141</v>
      </c>
      <c r="M41" s="79">
        <v>8.8262999999999998</v>
      </c>
      <c r="N41" s="79">
        <v>29.8202</v>
      </c>
      <c r="O41" s="79">
        <v>18.428000000000001</v>
      </c>
      <c r="P41" s="79">
        <v>0.41410000000000002</v>
      </c>
      <c r="Q41" s="79">
        <v>0.78100000000000003</v>
      </c>
      <c r="R41">
        <v>4.3650000000000002</v>
      </c>
      <c r="S41">
        <v>7.5792999999999999</v>
      </c>
      <c r="T41">
        <v>26.378599999999999</v>
      </c>
      <c r="U41" s="17">
        <f>(S41-0.0771)/3.304</f>
        <v>2.2706416464891044</v>
      </c>
      <c r="V41">
        <v>3.2890999999999999</v>
      </c>
      <c r="W41">
        <v>5.0510000000000002</v>
      </c>
      <c r="X41">
        <v>1.3948</v>
      </c>
      <c r="Y41">
        <v>5.5514999999999999</v>
      </c>
      <c r="Z41" s="79">
        <v>11.141</v>
      </c>
      <c r="AA41" s="79">
        <v>9.1906999999999996</v>
      </c>
      <c r="AB41" s="79">
        <v>31.021599999999999</v>
      </c>
      <c r="AC41" s="79">
        <v>18.431000000000001</v>
      </c>
      <c r="AD41" s="79">
        <v>0.60289999999999999</v>
      </c>
      <c r="AE41" s="79">
        <v>1.1372</v>
      </c>
      <c r="AF41">
        <v>4.3650000000000002</v>
      </c>
      <c r="AG41">
        <v>7.4591000000000003</v>
      </c>
      <c r="AH41">
        <v>24.6356</v>
      </c>
      <c r="AI41" s="17">
        <f>(AG41-0.0771)/3.304</f>
        <v>2.2342615012106539</v>
      </c>
      <c r="AJ41">
        <v>3.2439</v>
      </c>
      <c r="AK41">
        <v>5.0549999999999997</v>
      </c>
      <c r="AL41">
        <v>1.4156</v>
      </c>
      <c r="AM41">
        <v>6.4131</v>
      </c>
      <c r="AN41" s="79">
        <v>11.141</v>
      </c>
      <c r="AO41" s="79">
        <v>8.8092000000000006</v>
      </c>
      <c r="AP41" s="79">
        <v>29.729099999999999</v>
      </c>
      <c r="AQ41" s="79">
        <v>18.431000000000001</v>
      </c>
      <c r="AR41" s="79">
        <v>0.72460000000000002</v>
      </c>
      <c r="AS41" s="79">
        <v>1.3680000000000001</v>
      </c>
      <c r="AT41">
        <v>4.3609999999999998</v>
      </c>
      <c r="AU41">
        <v>7.3174000000000001</v>
      </c>
      <c r="AV41">
        <v>24.5685</v>
      </c>
      <c r="AW41" s="17">
        <f>(AU41-0.0771)/3.304</f>
        <v>2.1913740920096854</v>
      </c>
      <c r="AX41">
        <v>3.1907000000000001</v>
      </c>
      <c r="AY41">
        <v>5.0350000000000001</v>
      </c>
      <c r="AZ41">
        <v>0.49459999999999998</v>
      </c>
      <c r="BA41">
        <v>1.6185</v>
      </c>
      <c r="BB41" s="79">
        <v>11.138</v>
      </c>
      <c r="BC41" s="79">
        <v>8.8603000000000005</v>
      </c>
      <c r="BD41" s="79">
        <v>29.938600000000001</v>
      </c>
      <c r="BE41" s="79">
        <v>18.425000000000001</v>
      </c>
      <c r="BF41" s="79">
        <v>0.62619999999999998</v>
      </c>
      <c r="BG41" s="79">
        <v>1.1792</v>
      </c>
      <c r="BK41" s="12">
        <f>[2]Sets!P10</f>
        <v>2.0527239709443101</v>
      </c>
      <c r="BL41" s="12">
        <f>[2]Sets!Y10</f>
        <v>1.9164043583535111</v>
      </c>
      <c r="BM41" s="12">
        <f>[2]Sets!AH10</f>
        <v>2.0546912832929785</v>
      </c>
      <c r="BN41" s="12">
        <f t="shared" si="79"/>
        <v>2.0079398708635998</v>
      </c>
      <c r="BO41">
        <f t="shared" si="80"/>
        <v>7.9278181849313206E-2</v>
      </c>
      <c r="BP41">
        <v>3</v>
      </c>
      <c r="BQ41">
        <v>3.18</v>
      </c>
      <c r="BR41" s="12">
        <f t="shared" si="81"/>
        <v>0.14555266922837695</v>
      </c>
      <c r="BT41" s="12">
        <f>([2]Sets!Q10+[2]Sets!Z10+[2]Sets!AI10)/3</f>
        <v>2.9628666666666668</v>
      </c>
      <c r="BU41" s="12">
        <f>'0 Set 2&amp;3'!$H41</f>
        <v>0</v>
      </c>
      <c r="BV41" s="12">
        <f>'0 Set 2&amp;3'!$G41</f>
        <v>0</v>
      </c>
      <c r="BW41" s="12">
        <f>'0 Set 2&amp;3'!$C41</f>
        <v>0</v>
      </c>
      <c r="CE41" t="s">
        <v>265</v>
      </c>
      <c r="CF41" s="37">
        <v>44510</v>
      </c>
      <c r="CG41" s="32">
        <v>0.46527777777777773</v>
      </c>
      <c r="CH41">
        <f>CK40+(24*5)</f>
        <v>1607.9666666666667</v>
      </c>
      <c r="CI41">
        <v>-18</v>
      </c>
      <c r="CJ41">
        <f>(CH41*60)+CI41</f>
        <v>96460</v>
      </c>
      <c r="CK41">
        <f>CJ41/60</f>
        <v>1607.6666666666667</v>
      </c>
      <c r="CL41">
        <f>(CK41-CM41)*60</f>
        <v>40.000000000004547</v>
      </c>
      <c r="CM41">
        <v>1607</v>
      </c>
      <c r="CV41">
        <v>3.552</v>
      </c>
      <c r="CW41">
        <v>1964.883333333333</v>
      </c>
      <c r="CX41">
        <f t="shared" si="78"/>
        <v>1.3199075867635188</v>
      </c>
    </row>
    <row r="42" spans="1:102" ht="16" thickBot="1">
      <c r="A42" s="226" t="s">
        <v>357</v>
      </c>
      <c r="B42" s="14">
        <v>44524</v>
      </c>
      <c r="C42" s="12">
        <v>1949.1666666666667</v>
      </c>
      <c r="D42" s="4">
        <v>4.391</v>
      </c>
      <c r="E42" s="4">
        <v>0.44829999999999998</v>
      </c>
      <c r="F42" s="4">
        <v>0.61860000000000004</v>
      </c>
      <c r="G42" s="17">
        <f t="shared" ref="G42:G44" si="82">(E42+0.0454)/3.3186</f>
        <v>0.14876755258241425</v>
      </c>
      <c r="H42" s="17">
        <v>0.60909999999999997</v>
      </c>
      <c r="I42" s="4">
        <v>6.6210000000000004</v>
      </c>
      <c r="J42" s="4">
        <v>11.9869</v>
      </c>
      <c r="K42" s="4">
        <v>65.933000000000007</v>
      </c>
      <c r="L42" s="4">
        <v>10.928000000000001</v>
      </c>
      <c r="M42" s="4">
        <v>9.0410000000000004</v>
      </c>
      <c r="N42" s="4">
        <v>31.781500000000001</v>
      </c>
      <c r="O42" s="4">
        <v>18.021000000000001</v>
      </c>
      <c r="P42" s="4">
        <v>0.27079999999999999</v>
      </c>
      <c r="Q42" s="4">
        <v>0.53320000000000001</v>
      </c>
      <c r="R42" s="1">
        <v>4.4080000000000004</v>
      </c>
      <c r="S42" s="1">
        <v>7.5526</v>
      </c>
      <c r="T42" s="1">
        <v>16.023800000000001</v>
      </c>
      <c r="U42" s="17">
        <f t="shared" ref="U42:U44" si="83">(S42+0.0454)/3.3186</f>
        <v>2.2895196769722173</v>
      </c>
      <c r="V42" s="17">
        <v>3.2791000000000001</v>
      </c>
      <c r="W42" s="1">
        <v>6.6210000000000004</v>
      </c>
      <c r="X42" s="1">
        <v>11.8613</v>
      </c>
      <c r="Y42" s="1">
        <v>64.255600000000001</v>
      </c>
      <c r="Z42" s="1">
        <v>10.930999999999999</v>
      </c>
      <c r="AA42" s="1">
        <v>7.9978999999999996</v>
      </c>
      <c r="AB42" s="1">
        <v>28.015000000000001</v>
      </c>
      <c r="AC42" s="1">
        <v>18.018000000000001</v>
      </c>
      <c r="AD42" s="1">
        <v>0.59199999999999997</v>
      </c>
      <c r="AE42" s="1">
        <v>1.163</v>
      </c>
      <c r="AF42" s="2">
        <v>4.4109999999999996</v>
      </c>
      <c r="AG42" s="2">
        <v>9.2835000000000001</v>
      </c>
      <c r="AH42" s="2">
        <v>20.926300000000001</v>
      </c>
      <c r="AI42" s="17">
        <f t="shared" ref="AI42:AI44" si="84">(AG42+0.0454)/3.3186</f>
        <v>2.8110950400771411</v>
      </c>
      <c r="AJ42" s="17">
        <v>3.9296000000000002</v>
      </c>
      <c r="AK42" s="2">
        <v>6.6210000000000004</v>
      </c>
      <c r="AL42" s="2">
        <v>11.598699999999999</v>
      </c>
      <c r="AM42" s="2">
        <v>62.604999999999997</v>
      </c>
      <c r="AN42" s="2">
        <v>10.930999999999999</v>
      </c>
      <c r="AO42" s="2">
        <v>8.3369</v>
      </c>
      <c r="AP42" s="2">
        <v>29.210699999999999</v>
      </c>
      <c r="AQ42" s="2">
        <v>18.018000000000001</v>
      </c>
      <c r="AR42" s="2">
        <v>0.7762</v>
      </c>
      <c r="AS42" s="2">
        <v>1.5287999999999999</v>
      </c>
      <c r="AT42" s="3">
        <v>4.4109999999999996</v>
      </c>
      <c r="AU42" s="3">
        <v>10.1051</v>
      </c>
      <c r="AV42" s="3">
        <v>23.017700000000001</v>
      </c>
      <c r="AW42" s="17">
        <f t="shared" ref="AW42:AW44" si="85">(AU42+0.0454)/3.3186</f>
        <v>3.0586693183872722</v>
      </c>
      <c r="AX42" s="17">
        <v>4.2384000000000004</v>
      </c>
      <c r="AY42" s="3">
        <v>6.6210000000000004</v>
      </c>
      <c r="AZ42" s="3">
        <v>11.8268</v>
      </c>
      <c r="BA42" s="3">
        <v>63.694600000000001</v>
      </c>
      <c r="BB42" s="3">
        <v>10.930999999999999</v>
      </c>
      <c r="BC42" s="3">
        <v>8.4928000000000008</v>
      </c>
      <c r="BD42" s="3">
        <v>29.754000000000001</v>
      </c>
      <c r="BE42" s="3">
        <v>18.021000000000001</v>
      </c>
      <c r="BF42" s="3">
        <v>0.76759999999999995</v>
      </c>
      <c r="BG42" s="3">
        <v>1.5130999999999999</v>
      </c>
      <c r="BK42" s="12">
        <f t="shared" ref="BK42:BK46" si="86">U42</f>
        <v>2.2895196769722173</v>
      </c>
      <c r="BL42" s="12">
        <f t="shared" ref="BL42:BL46" si="87">AI42</f>
        <v>2.8110950400771411</v>
      </c>
      <c r="BM42" s="12">
        <f t="shared" ref="BM42:BM46" si="88">AW42</f>
        <v>3.0586693183872722</v>
      </c>
      <c r="BN42" s="12">
        <f t="shared" ref="BN42:BN46" si="89">AVERAGE(BK42:BM42)</f>
        <v>2.7197613451455438</v>
      </c>
      <c r="BO42">
        <f t="shared" ref="BO42:BO46" si="90">STDEV(BK42:BM42)</f>
        <v>0.39262472616306254</v>
      </c>
      <c r="BP42">
        <v>3</v>
      </c>
      <c r="BQ42">
        <v>3.18</v>
      </c>
      <c r="BR42" s="12">
        <f t="shared" ref="BR42:BR46" si="91">(BQ42*BO42)/SQRT(BP42)</f>
        <v>0.72084873246357639</v>
      </c>
      <c r="BT42" s="12">
        <f t="shared" ref="BT42:BT47" si="92">(V42+AJ42+AX42)/3</f>
        <v>3.8157000000000001</v>
      </c>
      <c r="BU42" s="12">
        <f>'0 Set 2&amp;3'!$H42</f>
        <v>0</v>
      </c>
      <c r="BV42" s="12">
        <f>'0 Set 2&amp;3'!$G42</f>
        <v>0</v>
      </c>
      <c r="BW42" s="12">
        <f>'0 Set 2&amp;3'!$C42</f>
        <v>0</v>
      </c>
      <c r="CE42" t="s">
        <v>291</v>
      </c>
      <c r="CF42" s="37">
        <v>44512</v>
      </c>
      <c r="CG42" s="32">
        <v>0.47222222222222227</v>
      </c>
      <c r="CH42">
        <f>CK41+(24*2)</f>
        <v>1655.6666666666667</v>
      </c>
      <c r="CI42">
        <v>10</v>
      </c>
      <c r="CJ42">
        <f t="shared" ref="CJ42:CJ52" si="93">(CH42*60)+CI42</f>
        <v>99350</v>
      </c>
      <c r="CK42">
        <f t="shared" ref="CK42:CK52" si="94">CJ42/60</f>
        <v>1655.8333333333333</v>
      </c>
      <c r="CL42">
        <f t="shared" ref="CL42:CL52" si="95">(CK42-CM42)*60</f>
        <v>49.999999999995453</v>
      </c>
      <c r="CM42">
        <v>1655</v>
      </c>
      <c r="CV42" s="171">
        <v>3.6269674541870014</v>
      </c>
      <c r="CW42" s="171">
        <v>2060.8833333333332</v>
      </c>
      <c r="CX42">
        <f t="shared" si="78"/>
        <v>0.90720610904145793</v>
      </c>
    </row>
    <row r="43" spans="1:102" ht="16" thickTop="1">
      <c r="A43" s="226" t="s">
        <v>357</v>
      </c>
      <c r="B43" s="14">
        <v>44529</v>
      </c>
      <c r="C43" s="12">
        <v>2066.4500000000003</v>
      </c>
      <c r="D43" s="4">
        <v>4.3810000000000002</v>
      </c>
      <c r="E43" s="4">
        <v>0.50080000000000002</v>
      </c>
      <c r="F43" s="4">
        <v>0.72250000000000003</v>
      </c>
      <c r="G43" s="17">
        <f t="shared" si="82"/>
        <v>0.16458747664677878</v>
      </c>
      <c r="H43" s="17">
        <v>0.62880000000000003</v>
      </c>
      <c r="I43" s="4" t="s">
        <v>383</v>
      </c>
      <c r="J43" s="4" t="s">
        <v>384</v>
      </c>
      <c r="K43" s="4" t="s">
        <v>385</v>
      </c>
      <c r="L43" s="4">
        <v>10.933999999999999</v>
      </c>
      <c r="M43" s="4">
        <v>3.6716000000000002</v>
      </c>
      <c r="N43" s="4">
        <v>12.5342</v>
      </c>
      <c r="O43" s="4">
        <v>18.013999999999999</v>
      </c>
      <c r="P43" s="4">
        <v>0.3468</v>
      </c>
      <c r="Q43" s="4">
        <v>0.67420000000000002</v>
      </c>
      <c r="R43" s="1">
        <v>4.3979999999999997</v>
      </c>
      <c r="S43" s="1">
        <v>7.5914000000000001</v>
      </c>
      <c r="T43" s="1">
        <v>16.8569</v>
      </c>
      <c r="U43" s="17">
        <f t="shared" si="83"/>
        <v>2.3012113541854999</v>
      </c>
      <c r="V43" s="17">
        <v>3.2936000000000001</v>
      </c>
      <c r="W43" s="1">
        <v>6.6050000000000004</v>
      </c>
      <c r="X43" s="1">
        <v>6.8901000000000003</v>
      </c>
      <c r="Y43" s="1">
        <v>35.122599999999998</v>
      </c>
      <c r="Z43" s="1">
        <v>10.930999999999999</v>
      </c>
      <c r="AA43" s="1">
        <v>4.1403999999999996</v>
      </c>
      <c r="AB43" s="1">
        <v>14.165900000000001</v>
      </c>
      <c r="AC43" s="1">
        <v>18.018000000000001</v>
      </c>
      <c r="AD43" s="1">
        <v>0.50209999999999999</v>
      </c>
      <c r="AE43" s="1">
        <v>0.98340000000000005</v>
      </c>
      <c r="AF43" s="2">
        <v>4.3979999999999997</v>
      </c>
      <c r="AG43" s="2">
        <v>8.0137999999999998</v>
      </c>
      <c r="AH43" s="2">
        <v>18.508500000000002</v>
      </c>
      <c r="AI43" s="17">
        <f t="shared" si="84"/>
        <v>2.4284939432290726</v>
      </c>
      <c r="AJ43" s="17">
        <v>3.4523999999999999</v>
      </c>
      <c r="AK43" s="2">
        <v>6.601</v>
      </c>
      <c r="AL43" s="2">
        <v>6.5932000000000004</v>
      </c>
      <c r="AM43" s="2">
        <v>33.305300000000003</v>
      </c>
      <c r="AN43" s="2">
        <v>10.928000000000001</v>
      </c>
      <c r="AO43" s="2">
        <v>4.3472999999999997</v>
      </c>
      <c r="AP43" s="2">
        <v>14.8812</v>
      </c>
      <c r="AQ43" s="2">
        <v>18.010999999999999</v>
      </c>
      <c r="AR43" s="2">
        <v>0.5484</v>
      </c>
      <c r="AS43" s="2">
        <v>1.0690999999999999</v>
      </c>
      <c r="AT43" s="3">
        <v>4.4050000000000002</v>
      </c>
      <c r="AU43" s="3">
        <v>10.123200000000001</v>
      </c>
      <c r="AV43" s="3">
        <v>24.379200000000001</v>
      </c>
      <c r="AW43" s="17">
        <f t="shared" si="85"/>
        <v>3.0641234255408913</v>
      </c>
      <c r="AX43" s="17">
        <v>4.2451999999999996</v>
      </c>
      <c r="AY43" s="3" t="s">
        <v>386</v>
      </c>
      <c r="AZ43" s="3" t="s">
        <v>387</v>
      </c>
      <c r="BA43" s="3" t="s">
        <v>388</v>
      </c>
      <c r="BB43" s="3">
        <v>10.935</v>
      </c>
      <c r="BC43" s="3">
        <v>3.2980999999999998</v>
      </c>
      <c r="BD43" s="3">
        <v>11.1958</v>
      </c>
      <c r="BE43" s="3">
        <v>18.018000000000001</v>
      </c>
      <c r="BF43" s="3">
        <v>0.77539999999999998</v>
      </c>
      <c r="BG43" s="3">
        <v>1.5250999999999999</v>
      </c>
      <c r="BK43" s="12">
        <f t="shared" si="86"/>
        <v>2.3012113541854999</v>
      </c>
      <c r="BL43" s="12">
        <f t="shared" si="87"/>
        <v>2.4284939432290726</v>
      </c>
      <c r="BM43" s="12">
        <f t="shared" si="88"/>
        <v>3.0641234255408913</v>
      </c>
      <c r="BN43" s="12">
        <f t="shared" si="89"/>
        <v>2.5979429076518215</v>
      </c>
      <c r="BO43">
        <f t="shared" si="90"/>
        <v>0.40870945769935246</v>
      </c>
      <c r="BP43">
        <v>3</v>
      </c>
      <c r="BQ43">
        <v>3.18</v>
      </c>
      <c r="BR43" s="12">
        <f t="shared" si="91"/>
        <v>0.75037987904535342</v>
      </c>
      <c r="BT43" s="12">
        <f t="shared" si="92"/>
        <v>3.6637333333333331</v>
      </c>
      <c r="BU43" s="12">
        <f>'0 Set 2&amp;3'!$H43</f>
        <v>0</v>
      </c>
      <c r="BV43" s="12">
        <f>'0 Set 2&amp;3'!$G43</f>
        <v>0</v>
      </c>
      <c r="BW43" s="12">
        <f>'0 Set 2&amp;3'!$C43</f>
        <v>0</v>
      </c>
      <c r="CE43" t="s">
        <v>292</v>
      </c>
      <c r="CF43" s="37">
        <v>44515</v>
      </c>
      <c r="CG43" s="32">
        <v>0.4694444444444445</v>
      </c>
      <c r="CH43">
        <f>CK42+(24*3)</f>
        <v>1727.8333333333333</v>
      </c>
      <c r="CI43">
        <v>-4</v>
      </c>
      <c r="CJ43">
        <f t="shared" si="93"/>
        <v>103666</v>
      </c>
      <c r="CK43">
        <f t="shared" si="94"/>
        <v>1727.7666666666667</v>
      </c>
      <c r="CL43">
        <f t="shared" si="95"/>
        <v>45.999999999999091</v>
      </c>
      <c r="CM43">
        <v>1727</v>
      </c>
      <c r="CV43">
        <v>3.1270482531269193</v>
      </c>
      <c r="CW43">
        <v>2116.3666666666668</v>
      </c>
      <c r="CX43">
        <f t="shared" si="78"/>
        <v>0.52910534547509791</v>
      </c>
    </row>
    <row r="44" spans="1:102">
      <c r="A44" s="226" t="s">
        <v>357</v>
      </c>
      <c r="B44" s="14">
        <v>44533</v>
      </c>
      <c r="C44" s="12">
        <v>2159.0833333333335</v>
      </c>
      <c r="D44" s="4">
        <v>4.3639999999999999</v>
      </c>
      <c r="E44" s="4">
        <v>0.7581</v>
      </c>
      <c r="F44" s="4">
        <v>1.2706</v>
      </c>
      <c r="G44" s="17">
        <f t="shared" si="82"/>
        <v>0.24212017115651177</v>
      </c>
      <c r="H44" s="17">
        <v>0.72550000000000003</v>
      </c>
      <c r="I44" s="4" t="s">
        <v>408</v>
      </c>
      <c r="J44" s="4" t="s">
        <v>409</v>
      </c>
      <c r="K44" s="4" t="s">
        <v>410</v>
      </c>
      <c r="L44" s="4">
        <v>10.930999999999999</v>
      </c>
      <c r="M44" s="4">
        <v>1.3049999999999999</v>
      </c>
      <c r="N44" s="4">
        <v>4.3429000000000002</v>
      </c>
      <c r="O44" s="4">
        <v>18.010999999999999</v>
      </c>
      <c r="P44" s="4">
        <v>0.3377</v>
      </c>
      <c r="Q44" s="4">
        <v>0.65459999999999996</v>
      </c>
      <c r="R44" s="1">
        <v>4.3949999999999996</v>
      </c>
      <c r="S44" s="1">
        <v>8.9162999999999997</v>
      </c>
      <c r="T44" s="1">
        <v>22.3614</v>
      </c>
      <c r="U44" s="17">
        <f t="shared" si="83"/>
        <v>2.7004459711926718</v>
      </c>
      <c r="V44" s="17">
        <v>3.7915999999999999</v>
      </c>
      <c r="W44" s="1" t="s">
        <v>411</v>
      </c>
      <c r="X44" s="1" t="s">
        <v>412</v>
      </c>
      <c r="Y44" s="1" t="s">
        <v>413</v>
      </c>
      <c r="Z44" s="1">
        <v>10.930999999999999</v>
      </c>
      <c r="AA44" s="1">
        <v>2.1333000000000002</v>
      </c>
      <c r="AB44" s="1">
        <v>7.1588000000000003</v>
      </c>
      <c r="AC44" s="1">
        <v>18.015000000000001</v>
      </c>
      <c r="AD44" s="1">
        <v>0.52439999999999998</v>
      </c>
      <c r="AE44" s="1">
        <v>1.0342</v>
      </c>
      <c r="AF44" s="2">
        <v>4.3949999999999996</v>
      </c>
      <c r="AG44" s="2">
        <v>9.8533000000000008</v>
      </c>
      <c r="AH44" s="2">
        <v>25.027799999999999</v>
      </c>
      <c r="AI44" s="17">
        <f t="shared" si="84"/>
        <v>2.9827939492557105</v>
      </c>
      <c r="AJ44" s="17">
        <v>4.1436999999999999</v>
      </c>
      <c r="AK44" s="2" t="s">
        <v>414</v>
      </c>
      <c r="AL44" s="2" t="s">
        <v>415</v>
      </c>
      <c r="AM44" s="2" t="s">
        <v>416</v>
      </c>
      <c r="AN44" s="2">
        <v>10.928000000000001</v>
      </c>
      <c r="AO44" s="2">
        <v>2.1922999999999999</v>
      </c>
      <c r="AP44" s="2">
        <v>7.3452999999999999</v>
      </c>
      <c r="AQ44" s="2">
        <v>18.007999999999999</v>
      </c>
      <c r="AR44" s="2">
        <v>0.59260000000000002</v>
      </c>
      <c r="AS44" s="2">
        <v>1.1677</v>
      </c>
      <c r="AT44" s="3">
        <v>4.3979999999999997</v>
      </c>
      <c r="AU44" s="3">
        <v>11.324299999999999</v>
      </c>
      <c r="AV44" s="3">
        <v>29.2059</v>
      </c>
      <c r="AW44" s="17">
        <f t="shared" si="85"/>
        <v>3.4260531549448561</v>
      </c>
      <c r="AX44" s="17">
        <v>4.6965000000000003</v>
      </c>
      <c r="AY44" s="3" t="s">
        <v>417</v>
      </c>
      <c r="AZ44" s="3" t="s">
        <v>418</v>
      </c>
      <c r="BA44" s="3" t="s">
        <v>419</v>
      </c>
      <c r="BB44" s="3">
        <v>10.930999999999999</v>
      </c>
      <c r="BC44" s="3">
        <v>0.88380000000000003</v>
      </c>
      <c r="BD44" s="3">
        <v>2.9215</v>
      </c>
      <c r="BE44" s="3">
        <v>18.010999999999999</v>
      </c>
      <c r="BF44" s="3">
        <v>0.73980000000000001</v>
      </c>
      <c r="BG44" s="3">
        <v>1.4565999999999999</v>
      </c>
      <c r="BK44" s="12">
        <f t="shared" si="86"/>
        <v>2.7004459711926718</v>
      </c>
      <c r="BL44" s="12">
        <f t="shared" si="87"/>
        <v>2.9827939492557105</v>
      </c>
      <c r="BM44" s="12">
        <f t="shared" si="88"/>
        <v>3.4260531549448561</v>
      </c>
      <c r="BN44" s="12">
        <f t="shared" si="89"/>
        <v>3.0364310251310798</v>
      </c>
      <c r="BO44">
        <f t="shared" si="90"/>
        <v>0.36576515444959912</v>
      </c>
      <c r="BP44">
        <v>3</v>
      </c>
      <c r="BQ44">
        <v>3.18</v>
      </c>
      <c r="BR44" s="12">
        <f t="shared" si="91"/>
        <v>0.67153526101368244</v>
      </c>
      <c r="BT44" s="12">
        <f t="shared" si="92"/>
        <v>4.2106000000000003</v>
      </c>
      <c r="CE44" t="s">
        <v>316</v>
      </c>
      <c r="CF44" s="37">
        <v>44517</v>
      </c>
      <c r="CG44" s="32">
        <v>0.48402777777777778</v>
      </c>
      <c r="CH44">
        <f>CK43+(24*2)</f>
        <v>1775.7666666666667</v>
      </c>
      <c r="CI44">
        <v>21</v>
      </c>
      <c r="CJ44">
        <f t="shared" si="93"/>
        <v>106567</v>
      </c>
      <c r="CK44">
        <f t="shared" si="94"/>
        <v>1776.1166666666666</v>
      </c>
      <c r="CL44">
        <f t="shared" si="95"/>
        <v>6.9999999999936335</v>
      </c>
      <c r="CM44">
        <v>1776</v>
      </c>
      <c r="CV44">
        <v>3.0443381592554295</v>
      </c>
      <c r="CW44">
        <v>2162.9499999999998</v>
      </c>
      <c r="CX44">
        <f t="shared" si="78"/>
        <v>7.9071341243500317E-3</v>
      </c>
    </row>
    <row r="45" spans="1:102">
      <c r="A45" s="226" t="s">
        <v>429</v>
      </c>
      <c r="B45" s="14">
        <v>44536</v>
      </c>
      <c r="C45" s="12">
        <v>2230.4666666666667</v>
      </c>
      <c r="D45" s="4">
        <v>4.3739999999999997</v>
      </c>
      <c r="E45" s="4">
        <v>0.44030000000000002</v>
      </c>
      <c r="F45" s="4">
        <v>0.5786</v>
      </c>
      <c r="G45" s="17">
        <f>(E45+0.0666)/3.3637</f>
        <v>0.15069714897285727</v>
      </c>
      <c r="H45" s="17">
        <v>0.60609999999999997</v>
      </c>
      <c r="I45" s="4" t="s">
        <v>435</v>
      </c>
      <c r="J45" s="4" t="s">
        <v>436</v>
      </c>
      <c r="K45" s="4" t="s">
        <v>437</v>
      </c>
      <c r="L45" s="4">
        <v>10.821</v>
      </c>
      <c r="M45" s="4">
        <v>0.67090000000000005</v>
      </c>
      <c r="N45" s="4">
        <v>2.2456</v>
      </c>
      <c r="O45" s="4">
        <v>17.617999999999999</v>
      </c>
      <c r="P45" s="4">
        <v>0.22090000000000001</v>
      </c>
      <c r="Q45" s="4">
        <v>0.44409999999999999</v>
      </c>
      <c r="R45" s="1">
        <v>4.3940000000000001</v>
      </c>
      <c r="S45" s="1">
        <v>9.6477000000000004</v>
      </c>
      <c r="T45" s="1">
        <v>21.9405</v>
      </c>
      <c r="U45" s="17">
        <f>(S45+0.0666)/3.3637</f>
        <v>2.88798049766626</v>
      </c>
      <c r="V45" s="17">
        <v>4.0663999999999998</v>
      </c>
      <c r="W45" s="1" t="s">
        <v>435</v>
      </c>
      <c r="X45" s="1" t="s">
        <v>438</v>
      </c>
      <c r="Y45" s="1" t="s">
        <v>439</v>
      </c>
      <c r="Z45" s="1">
        <v>10.821</v>
      </c>
      <c r="AA45" s="1">
        <v>0.65</v>
      </c>
      <c r="AB45" s="1">
        <v>2.177</v>
      </c>
      <c r="AC45" s="1">
        <v>17.614000000000001</v>
      </c>
      <c r="AD45" s="1">
        <v>0.49109999999999998</v>
      </c>
      <c r="AE45" s="1">
        <v>0.98970000000000002</v>
      </c>
      <c r="AF45" s="2">
        <v>4.3949999999999996</v>
      </c>
      <c r="AG45" s="2">
        <v>9.9961000000000002</v>
      </c>
      <c r="AH45" s="2">
        <v>22.9407</v>
      </c>
      <c r="AI45" s="17">
        <f>(AG45+0.0666)/3.3637</f>
        <v>2.9915569164907687</v>
      </c>
      <c r="AJ45" s="17">
        <v>4.1974</v>
      </c>
      <c r="AK45" s="2" t="s">
        <v>440</v>
      </c>
      <c r="AL45" s="2" t="s">
        <v>441</v>
      </c>
      <c r="AM45" s="2" t="s">
        <v>442</v>
      </c>
      <c r="AN45" s="2">
        <v>10.821</v>
      </c>
      <c r="AO45" s="2">
        <v>0.54769999999999996</v>
      </c>
      <c r="AP45" s="2">
        <v>1.8311999999999999</v>
      </c>
      <c r="AQ45" s="2">
        <v>17.614999999999998</v>
      </c>
      <c r="AR45" s="2">
        <v>0.53100000000000003</v>
      </c>
      <c r="AS45" s="2">
        <v>1.0680000000000001</v>
      </c>
      <c r="AT45" s="3">
        <v>4.4009999999999998</v>
      </c>
      <c r="AU45" s="3">
        <v>12.5192</v>
      </c>
      <c r="AV45" s="3">
        <v>28.845199999999998</v>
      </c>
      <c r="AW45" s="17">
        <f>(AU45+0.0666)/3.3637</f>
        <v>3.7416535362844483</v>
      </c>
      <c r="AX45" s="17">
        <v>5.1456</v>
      </c>
      <c r="AY45" s="3">
        <v>6.5510000000000002</v>
      </c>
      <c r="AZ45" s="3">
        <v>2.8956</v>
      </c>
      <c r="BA45" s="3">
        <v>11.3931</v>
      </c>
      <c r="BB45" s="3">
        <v>10.827999999999999</v>
      </c>
      <c r="BC45" s="3">
        <v>6.5699999999999995E-2</v>
      </c>
      <c r="BD45" s="3">
        <v>0.2172</v>
      </c>
      <c r="BE45" s="3">
        <v>17.614000000000001</v>
      </c>
      <c r="BF45" s="3">
        <v>1.2594000000000001</v>
      </c>
      <c r="BG45" s="3">
        <v>2.5476000000000001</v>
      </c>
      <c r="BK45" s="12">
        <f t="shared" si="86"/>
        <v>2.88798049766626</v>
      </c>
      <c r="BL45" s="12">
        <f t="shared" si="87"/>
        <v>2.9915569164907687</v>
      </c>
      <c r="BM45" s="12">
        <f t="shared" si="88"/>
        <v>3.7416535362844483</v>
      </c>
      <c r="BN45" s="12">
        <f t="shared" si="89"/>
        <v>3.207063650147159</v>
      </c>
      <c r="BO45">
        <f t="shared" si="90"/>
        <v>0.46585596315206412</v>
      </c>
      <c r="BP45">
        <v>3</v>
      </c>
      <c r="BQ45">
        <v>3.18</v>
      </c>
      <c r="BR45" s="12">
        <f t="shared" si="91"/>
        <v>0.85529936901960857</v>
      </c>
      <c r="BT45" s="12">
        <f t="shared" si="92"/>
        <v>4.4698000000000002</v>
      </c>
      <c r="CE45" t="s">
        <v>322</v>
      </c>
      <c r="CF45" s="37">
        <v>44519</v>
      </c>
      <c r="CG45" s="32">
        <v>0.39861111111111108</v>
      </c>
      <c r="CH45">
        <f>CK44+(24*2)-2</f>
        <v>1822.1166666666666</v>
      </c>
      <c r="CI45">
        <v>8</v>
      </c>
      <c r="CJ45">
        <f t="shared" si="93"/>
        <v>109335</v>
      </c>
      <c r="CK45">
        <f t="shared" si="94"/>
        <v>1822.25</v>
      </c>
      <c r="CL45">
        <f t="shared" si="95"/>
        <v>15</v>
      </c>
      <c r="CM45">
        <v>1822</v>
      </c>
    </row>
    <row r="46" spans="1:102">
      <c r="A46" s="226" t="s">
        <v>429</v>
      </c>
      <c r="B46" s="14">
        <v>44538</v>
      </c>
      <c r="C46" s="12">
        <v>2278.8666666666668</v>
      </c>
      <c r="D46" s="4">
        <v>4.3639999999999999</v>
      </c>
      <c r="E46" s="4">
        <v>0.52159999999999995</v>
      </c>
      <c r="F46" s="4">
        <v>0.77010000000000001</v>
      </c>
      <c r="G46" s="17">
        <f>(E46+0.0666)/3.3637</f>
        <v>0.17486696197639501</v>
      </c>
      <c r="H46" s="17">
        <v>0.63660000000000005</v>
      </c>
      <c r="I46" s="4" t="s">
        <v>444</v>
      </c>
      <c r="J46" s="4" t="s">
        <v>445</v>
      </c>
      <c r="K46" s="4" t="s">
        <v>446</v>
      </c>
      <c r="L46" s="4">
        <v>10.814</v>
      </c>
      <c r="M46" s="4">
        <v>0.29920000000000002</v>
      </c>
      <c r="N46" s="4">
        <v>0.99590000000000001</v>
      </c>
      <c r="O46" s="4">
        <v>17.608000000000001</v>
      </c>
      <c r="P46" s="4">
        <v>0.24340000000000001</v>
      </c>
      <c r="Q46" s="4">
        <v>0.4849</v>
      </c>
      <c r="R46" s="1">
        <v>4.3849999999999998</v>
      </c>
      <c r="S46" s="1">
        <v>9.9356000000000009</v>
      </c>
      <c r="T46" s="1">
        <v>24.044799999999999</v>
      </c>
      <c r="U46" s="17">
        <f>(S46+0.0666)/3.3637</f>
        <v>2.9735707702827243</v>
      </c>
      <c r="V46" s="17">
        <v>4.1745999999999999</v>
      </c>
      <c r="W46" s="1" t="s">
        <v>447</v>
      </c>
      <c r="X46" s="1" t="s">
        <v>448</v>
      </c>
      <c r="Y46" s="1" t="s">
        <v>449</v>
      </c>
      <c r="Z46" s="1">
        <v>10.815</v>
      </c>
      <c r="AA46" s="1">
        <v>0.24079999999999999</v>
      </c>
      <c r="AB46" s="1">
        <v>0.80069999999999997</v>
      </c>
      <c r="AC46" s="1">
        <v>17.611000000000001</v>
      </c>
      <c r="AD46" s="1">
        <v>0.40589999999999998</v>
      </c>
      <c r="AE46" s="1">
        <v>0.81100000000000005</v>
      </c>
      <c r="AF46" s="2">
        <v>4.3840000000000003</v>
      </c>
      <c r="AG46" s="2">
        <v>9.6617999999999995</v>
      </c>
      <c r="AH46" s="2">
        <v>23.406500000000001</v>
      </c>
      <c r="AI46" s="17">
        <f>(AG46+0.0666)/3.3637</f>
        <v>2.8921723102535895</v>
      </c>
      <c r="AJ46" s="17">
        <v>4.0716999999999999</v>
      </c>
      <c r="AK46" s="2">
        <v>6.5439999999999996</v>
      </c>
      <c r="AL46" s="2">
        <v>2.0644</v>
      </c>
      <c r="AM46" s="2">
        <v>6.7168999999999999</v>
      </c>
      <c r="AN46" s="2">
        <v>10.818</v>
      </c>
      <c r="AO46" s="2">
        <v>0.29289999999999999</v>
      </c>
      <c r="AP46" s="2">
        <v>0.97030000000000005</v>
      </c>
      <c r="AQ46" s="2">
        <v>17.611000000000001</v>
      </c>
      <c r="AR46" s="2">
        <v>0.39050000000000001</v>
      </c>
      <c r="AS46" s="2">
        <v>0.77769999999999995</v>
      </c>
      <c r="AT46" s="3">
        <v>4.3780000000000001</v>
      </c>
      <c r="AU46" s="3">
        <v>8.8425999999999991</v>
      </c>
      <c r="AV46" s="3">
        <v>21.005600000000001</v>
      </c>
      <c r="AW46" s="17">
        <f>(AU46+0.0666)/3.3637</f>
        <v>2.6486309718464782</v>
      </c>
      <c r="AX46" s="17">
        <v>3.7639</v>
      </c>
      <c r="AY46" s="3">
        <v>6.5380000000000003</v>
      </c>
      <c r="AZ46" s="3">
        <v>2.0815999999999999</v>
      </c>
      <c r="BA46" s="3">
        <v>6.8513000000000002</v>
      </c>
      <c r="BB46" s="3">
        <v>10.811</v>
      </c>
      <c r="BC46" s="3">
        <v>0.1827</v>
      </c>
      <c r="BD46" s="3">
        <v>0.60350000000000004</v>
      </c>
      <c r="BE46" s="3">
        <v>17.600999999999999</v>
      </c>
      <c r="BF46" s="3">
        <v>0.39460000000000001</v>
      </c>
      <c r="BG46" s="3">
        <v>0.79190000000000005</v>
      </c>
      <c r="BK46" s="12">
        <f t="shared" si="86"/>
        <v>2.9735707702827243</v>
      </c>
      <c r="BL46" s="12">
        <f t="shared" si="87"/>
        <v>2.8921723102535895</v>
      </c>
      <c r="BM46" s="12">
        <f t="shared" si="88"/>
        <v>2.6486309718464782</v>
      </c>
      <c r="BN46" s="12">
        <f t="shared" si="89"/>
        <v>2.8381246841275973</v>
      </c>
      <c r="BO46">
        <f t="shared" si="90"/>
        <v>0.16907787427495749</v>
      </c>
      <c r="BP46">
        <v>3</v>
      </c>
      <c r="BQ46">
        <v>3.18</v>
      </c>
      <c r="BR46" s="12">
        <f t="shared" si="91"/>
        <v>0.31042255680076741</v>
      </c>
      <c r="BT46" s="12">
        <f t="shared" si="92"/>
        <v>4.0034000000000001</v>
      </c>
      <c r="CE46" t="s">
        <v>323</v>
      </c>
      <c r="CF46" s="37">
        <v>44522</v>
      </c>
      <c r="CG46" s="32">
        <v>0.18958333333333333</v>
      </c>
      <c r="CH46">
        <f>CK45+(24*3)+7</f>
        <v>1901.25</v>
      </c>
      <c r="CI46">
        <v>-1</v>
      </c>
      <c r="CJ46">
        <f t="shared" si="93"/>
        <v>114074</v>
      </c>
      <c r="CK46">
        <f t="shared" si="94"/>
        <v>1901.2333333333333</v>
      </c>
      <c r="CL46">
        <f t="shared" si="95"/>
        <v>14.000000000000909</v>
      </c>
      <c r="CM46">
        <v>1901</v>
      </c>
      <c r="CX46" s="434">
        <f>AVERAGE(CX34:CX44)</f>
        <v>0.83992226209038912</v>
      </c>
    </row>
    <row r="47" spans="1:102">
      <c r="A47" s="194" t="s">
        <v>458</v>
      </c>
      <c r="B47" s="14">
        <v>44543</v>
      </c>
      <c r="C47" s="12">
        <v>2399.0166666666669</v>
      </c>
      <c r="D47" s="4">
        <v>4.4279999999999999</v>
      </c>
      <c r="E47" s="4">
        <v>0.6361</v>
      </c>
      <c r="F47" s="4">
        <v>0.94340000000000002</v>
      </c>
      <c r="G47" s="53">
        <f>(E47+0.0143)/3.4405</f>
        <v>0.18904229036477255</v>
      </c>
      <c r="H47" s="53">
        <v>0.67969999999999997</v>
      </c>
      <c r="I47" s="4" t="s">
        <v>473</v>
      </c>
      <c r="J47" s="4" t="s">
        <v>474</v>
      </c>
      <c r="K47" s="4" t="s">
        <v>475</v>
      </c>
      <c r="L47" s="4">
        <v>10.938000000000001</v>
      </c>
      <c r="M47" s="4">
        <v>0.47970000000000002</v>
      </c>
      <c r="N47" s="4">
        <v>1.5901000000000001</v>
      </c>
      <c r="O47" s="4">
        <v>18.224</v>
      </c>
      <c r="P47" s="4">
        <v>0.30199999999999999</v>
      </c>
      <c r="Q47" s="4">
        <v>0.58679999999999999</v>
      </c>
      <c r="R47" s="1">
        <v>4.4379999999999997</v>
      </c>
      <c r="S47" s="1">
        <v>10.492000000000001</v>
      </c>
      <c r="T47" s="1">
        <v>23.588000000000001</v>
      </c>
      <c r="U47" s="53">
        <f>(S47+0.0143)/3.4405</f>
        <v>3.053713123092574</v>
      </c>
      <c r="V47" s="53">
        <v>4.3837999999999999</v>
      </c>
      <c r="W47" s="1" t="s">
        <v>476</v>
      </c>
      <c r="X47" s="1" t="s">
        <v>477</v>
      </c>
      <c r="Y47" s="1" t="s">
        <v>478</v>
      </c>
      <c r="Z47" s="1">
        <v>10.941000000000001</v>
      </c>
      <c r="AA47" s="1">
        <v>0.42770000000000002</v>
      </c>
      <c r="AB47" s="1">
        <v>1.4107000000000001</v>
      </c>
      <c r="AC47" s="1">
        <v>18.228000000000002</v>
      </c>
      <c r="AD47" s="1">
        <v>0.4985</v>
      </c>
      <c r="AE47" s="1">
        <v>0.96760000000000002</v>
      </c>
      <c r="AF47" s="2">
        <v>4.4379999999999997</v>
      </c>
      <c r="AG47" s="2">
        <v>11.1241</v>
      </c>
      <c r="AH47" s="2">
        <v>25.246200000000002</v>
      </c>
      <c r="AI47" s="53">
        <f>(AG47+0.0143)/3.4405</f>
        <v>3.2374364191251273</v>
      </c>
      <c r="AJ47" s="53">
        <v>4.6212999999999997</v>
      </c>
      <c r="AK47" s="2" t="s">
        <v>476</v>
      </c>
      <c r="AL47" s="2" t="s">
        <v>479</v>
      </c>
      <c r="AM47" s="2" t="s">
        <v>480</v>
      </c>
      <c r="AN47" s="2">
        <v>10.941000000000001</v>
      </c>
      <c r="AO47" s="2">
        <v>0.44569999999999999</v>
      </c>
      <c r="AP47" s="2">
        <v>1.4739</v>
      </c>
      <c r="AQ47" s="2">
        <v>18.228000000000002</v>
      </c>
      <c r="AR47" s="2">
        <v>0.48759999999999998</v>
      </c>
      <c r="AS47" s="2">
        <v>0.9526</v>
      </c>
      <c r="AT47" s="3">
        <v>4.4379999999999997</v>
      </c>
      <c r="AU47" s="3">
        <v>10.928800000000001</v>
      </c>
      <c r="AV47" s="3">
        <v>24.953499999999998</v>
      </c>
      <c r="AW47" s="53">
        <f>(AU47+0.0143)/3.4405</f>
        <v>3.1806714140386574</v>
      </c>
      <c r="AX47" s="53">
        <v>4.5479000000000003</v>
      </c>
      <c r="AY47" s="3" t="s">
        <v>476</v>
      </c>
      <c r="AZ47" s="3" t="s">
        <v>481</v>
      </c>
      <c r="BA47" s="3" t="s">
        <v>482</v>
      </c>
      <c r="BB47" s="3">
        <v>10.941000000000001</v>
      </c>
      <c r="BC47" s="3">
        <v>0.47489999999999999</v>
      </c>
      <c r="BD47" s="3">
        <v>1.5683</v>
      </c>
      <c r="BE47" s="3">
        <v>18.224</v>
      </c>
      <c r="BF47" s="3">
        <v>0.65759999999999996</v>
      </c>
      <c r="BG47" s="3">
        <v>1.2827999999999999</v>
      </c>
      <c r="BK47" s="12">
        <f t="shared" ref="BK47" si="96">U47</f>
        <v>3.053713123092574</v>
      </c>
      <c r="BL47" s="12">
        <f t="shared" ref="BL47" si="97">AI47</f>
        <v>3.2374364191251273</v>
      </c>
      <c r="BM47" s="12">
        <f t="shared" ref="BM47" si="98">AW47</f>
        <v>3.1806714140386574</v>
      </c>
      <c r="BN47" s="12">
        <f t="shared" ref="BN47" si="99">AVERAGE(BK47:BM47)</f>
        <v>3.1572736520854527</v>
      </c>
      <c r="BO47">
        <f t="shared" ref="BO47" si="100">STDEV(BK47:BM47)</f>
        <v>9.4069941132013113E-2</v>
      </c>
      <c r="BP47">
        <v>3</v>
      </c>
      <c r="BQ47">
        <v>3.18</v>
      </c>
      <c r="BR47" s="12">
        <f t="shared" ref="BR47" si="101">(BQ47*BO47)/SQRT(BP47)</f>
        <v>0.17270995255599966</v>
      </c>
      <c r="BT47" s="12">
        <f t="shared" si="92"/>
        <v>4.5176666666666661</v>
      </c>
      <c r="CE47" t="s">
        <v>350</v>
      </c>
      <c r="CF47" s="37">
        <v>44524</v>
      </c>
      <c r="CG47" s="32">
        <v>0.18680555555555556</v>
      </c>
      <c r="CH47">
        <f>CK46+(24*2)</f>
        <v>1949.2333333333333</v>
      </c>
      <c r="CI47">
        <v>-4</v>
      </c>
      <c r="CJ47">
        <f t="shared" si="93"/>
        <v>116950</v>
      </c>
      <c r="CK47">
        <f t="shared" si="94"/>
        <v>1949.1666666666667</v>
      </c>
      <c r="CL47">
        <f t="shared" si="95"/>
        <v>10.000000000004547</v>
      </c>
      <c r="CM47">
        <v>1949</v>
      </c>
    </row>
    <row r="48" spans="1:102">
      <c r="CE48" t="s">
        <v>351</v>
      </c>
      <c r="CF48" s="37">
        <v>44529</v>
      </c>
      <c r="CG48" s="32">
        <v>7.3611111111111113E-2</v>
      </c>
      <c r="CH48">
        <f>CK47+(24*5)-3</f>
        <v>2066.166666666667</v>
      </c>
      <c r="CI48">
        <f>46-29</f>
        <v>17</v>
      </c>
      <c r="CJ48">
        <f t="shared" si="93"/>
        <v>123987.00000000001</v>
      </c>
      <c r="CK48">
        <f t="shared" si="94"/>
        <v>2066.4500000000003</v>
      </c>
      <c r="CL48">
        <f t="shared" si="95"/>
        <v>27.000000000016371</v>
      </c>
      <c r="CM48">
        <v>2066</v>
      </c>
    </row>
    <row r="49" spans="83:91">
      <c r="CE49" t="s">
        <v>427</v>
      </c>
      <c r="CF49" s="37">
        <v>44533</v>
      </c>
      <c r="CG49" s="32">
        <v>0.43333333333333335</v>
      </c>
      <c r="CH49">
        <f>CK48+(24*4)-3</f>
        <v>2159.4500000000003</v>
      </c>
      <c r="CI49">
        <v>-22</v>
      </c>
      <c r="CJ49">
        <f t="shared" si="93"/>
        <v>129545.00000000001</v>
      </c>
      <c r="CK49">
        <f t="shared" si="94"/>
        <v>2159.0833333333335</v>
      </c>
      <c r="CL49">
        <f t="shared" si="95"/>
        <v>5.0000000000090949</v>
      </c>
      <c r="CM49">
        <v>2159</v>
      </c>
    </row>
    <row r="50" spans="83:91">
      <c r="CE50" t="s">
        <v>426</v>
      </c>
      <c r="CF50" s="37">
        <v>44536</v>
      </c>
      <c r="CG50" s="32">
        <v>0.45902777777777781</v>
      </c>
      <c r="CH50">
        <f>CK49+(24*3)-1</f>
        <v>2230.0833333333335</v>
      </c>
      <c r="CI50">
        <v>23</v>
      </c>
      <c r="CJ50">
        <f t="shared" si="93"/>
        <v>133828</v>
      </c>
      <c r="CK50">
        <f t="shared" si="94"/>
        <v>2230.4666666666667</v>
      </c>
      <c r="CL50">
        <f t="shared" si="95"/>
        <v>28.000000000001819</v>
      </c>
      <c r="CM50">
        <v>2230</v>
      </c>
    </row>
    <row r="51" spans="83:91">
      <c r="CE51" t="s">
        <v>425</v>
      </c>
      <c r="CF51" s="37">
        <v>44538</v>
      </c>
      <c r="CG51" s="32">
        <v>0.47569444444444442</v>
      </c>
      <c r="CH51">
        <f>CK50+(24*2)</f>
        <v>2278.4666666666667</v>
      </c>
      <c r="CI51">
        <v>24</v>
      </c>
      <c r="CJ51">
        <f t="shared" si="93"/>
        <v>136732</v>
      </c>
      <c r="CK51">
        <f t="shared" si="94"/>
        <v>2278.8666666666668</v>
      </c>
      <c r="CL51">
        <f t="shared" si="95"/>
        <v>52.000000000007276</v>
      </c>
      <c r="CM51">
        <v>2278</v>
      </c>
    </row>
    <row r="52" spans="83:91">
      <c r="CE52" t="s">
        <v>873</v>
      </c>
      <c r="CF52" s="37">
        <v>44908</v>
      </c>
      <c r="CG52" s="32">
        <v>0.48194444444444445</v>
      </c>
      <c r="CH52">
        <f>CK51+(24*5)</f>
        <v>2398.8666666666668</v>
      </c>
      <c r="CI52">
        <v>9</v>
      </c>
      <c r="CJ52">
        <f t="shared" si="93"/>
        <v>143941</v>
      </c>
      <c r="CK52">
        <f t="shared" si="94"/>
        <v>2399.0166666666669</v>
      </c>
      <c r="CL52">
        <f t="shared" si="95"/>
        <v>1.0000000000127329</v>
      </c>
      <c r="CM52">
        <v>2399</v>
      </c>
    </row>
  </sheetData>
  <mergeCells count="4">
    <mergeCell ref="D1:Q1"/>
    <mergeCell ref="R1:AE1"/>
    <mergeCell ref="AF1:AS1"/>
    <mergeCell ref="AT1:BG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15566-32A6-A147-911A-3C14436ED261}">
  <dimension ref="A1:DE49"/>
  <sheetViews>
    <sheetView zoomScale="90" workbookViewId="0">
      <pane xSplit="3" ySplit="1" topLeftCell="AT5" activePane="bottomRight" state="frozen"/>
      <selection pane="topRight" activeCell="D1" sqref="D1"/>
      <selection pane="bottomLeft" activeCell="A2" sqref="A2"/>
      <selection pane="bottomRight" activeCell="BF3" sqref="BF3:BF46"/>
    </sheetView>
  </sheetViews>
  <sheetFormatPr defaultColWidth="10.6640625" defaultRowHeight="15.5"/>
  <cols>
    <col min="3" max="3" width="10.83203125" style="12"/>
    <col min="4" max="6" width="10.83203125" style="131"/>
    <col min="7" max="7" width="11.6640625" style="52" bestFit="1" customWidth="1"/>
    <col min="8" max="9" width="11.6640625" style="52" customWidth="1"/>
    <col min="10" max="18" width="10.83203125" style="131" customWidth="1"/>
    <col min="19" max="19" width="10.83203125" style="128" customWidth="1"/>
    <col min="20" max="20" width="13" style="128" customWidth="1"/>
    <col min="21" max="21" width="10.83203125" style="128" customWidth="1"/>
    <col min="22" max="22" width="10.83203125" style="50" customWidth="1"/>
    <col min="23" max="23" width="10.83203125" style="50"/>
    <col min="24" max="27" width="10.83203125" style="50" customWidth="1"/>
    <col min="28" max="36" width="10.83203125" style="128" customWidth="1"/>
    <col min="37" max="37" width="10.83203125" style="129" customWidth="1"/>
    <col min="38" max="38" width="13" style="129" customWidth="1"/>
    <col min="39" max="39" width="10.83203125" style="129" customWidth="1"/>
    <col min="40" max="40" width="10.83203125" style="48" customWidth="1"/>
    <col min="41" max="41" width="10.83203125" style="48"/>
    <col min="42" max="45" width="10.83203125" style="48" customWidth="1"/>
    <col min="46" max="54" width="10.83203125" style="129" customWidth="1"/>
    <col min="55" max="55" width="10.83203125" style="130" customWidth="1"/>
    <col min="56" max="56" width="13.5" style="130" customWidth="1"/>
    <col min="57" max="57" width="10.83203125" style="130" customWidth="1"/>
    <col min="58" max="58" width="10.83203125" style="46" customWidth="1"/>
    <col min="59" max="63" width="10.83203125" style="46"/>
    <col min="64" max="72" width="10.83203125" style="130"/>
  </cols>
  <sheetData>
    <row r="1" spans="1:108" ht="46.5">
      <c r="A1" t="s">
        <v>200</v>
      </c>
      <c r="B1" s="10" t="s">
        <v>922</v>
      </c>
      <c r="D1" s="677" t="s">
        <v>115</v>
      </c>
      <c r="E1" s="677"/>
      <c r="F1" s="677"/>
      <c r="G1" s="677"/>
      <c r="H1" s="677"/>
      <c r="I1" s="677"/>
      <c r="J1" s="677"/>
      <c r="K1" s="677"/>
      <c r="L1" s="677"/>
      <c r="M1" s="677"/>
      <c r="N1" s="677"/>
      <c r="O1" s="677"/>
      <c r="P1" s="677"/>
      <c r="Q1" s="677"/>
      <c r="R1" s="677"/>
      <c r="S1" s="675" t="s">
        <v>116</v>
      </c>
      <c r="T1" s="675"/>
      <c r="U1" s="675"/>
      <c r="V1" s="675"/>
      <c r="W1" s="675"/>
      <c r="X1" s="675"/>
      <c r="Y1" s="675"/>
      <c r="Z1" s="675"/>
      <c r="AA1" s="675"/>
      <c r="AB1" s="675"/>
      <c r="AC1" s="675"/>
      <c r="AD1" s="675"/>
      <c r="AE1" s="675"/>
      <c r="AF1" s="675"/>
      <c r="AG1" s="675"/>
      <c r="AH1" s="675"/>
      <c r="AI1" s="675"/>
      <c r="AJ1" s="675"/>
      <c r="AK1" s="676" t="s">
        <v>117</v>
      </c>
      <c r="AL1" s="676"/>
      <c r="AM1" s="676"/>
      <c r="AN1" s="676"/>
      <c r="AO1" s="676"/>
      <c r="AP1" s="676"/>
      <c r="AQ1" s="676"/>
      <c r="AR1" s="676"/>
      <c r="AS1" s="676"/>
      <c r="AT1" s="676"/>
      <c r="AU1" s="676"/>
      <c r="AV1" s="676"/>
      <c r="AW1" s="676"/>
      <c r="AX1" s="676"/>
      <c r="AY1" s="676"/>
      <c r="AZ1" s="676"/>
      <c r="BA1" s="676"/>
      <c r="BB1" s="676"/>
      <c r="BC1" s="679" t="s">
        <v>118</v>
      </c>
      <c r="BD1" s="679"/>
      <c r="BE1" s="679"/>
      <c r="BF1" s="679"/>
      <c r="BG1" s="679"/>
      <c r="BH1" s="679"/>
      <c r="BI1" s="679"/>
      <c r="BJ1" s="679"/>
      <c r="BK1" s="679"/>
      <c r="BL1" s="679"/>
      <c r="BM1" s="679"/>
      <c r="BN1" s="679"/>
      <c r="BO1" s="679"/>
      <c r="BP1" s="679"/>
      <c r="BQ1" s="679"/>
      <c r="BR1" s="679"/>
      <c r="BS1" s="679"/>
      <c r="BT1" s="679"/>
      <c r="BU1" s="27"/>
      <c r="BV1" s="27"/>
      <c r="BW1" s="27"/>
      <c r="CA1" s="12"/>
      <c r="CC1" t="s">
        <v>102</v>
      </c>
      <c r="CF1" s="27"/>
    </row>
    <row r="2" spans="1:108" ht="46.5">
      <c r="A2" s="11" t="s">
        <v>10</v>
      </c>
      <c r="B2" s="11" t="s">
        <v>0</v>
      </c>
      <c r="C2" s="13" t="s">
        <v>1</v>
      </c>
      <c r="D2" s="83" t="s">
        <v>2</v>
      </c>
      <c r="E2" s="83" t="s">
        <v>4</v>
      </c>
      <c r="F2" s="83" t="s">
        <v>3</v>
      </c>
      <c r="G2" s="23" t="s">
        <v>94</v>
      </c>
      <c r="H2" s="23" t="s">
        <v>907</v>
      </c>
      <c r="I2" s="23" t="s">
        <v>923</v>
      </c>
      <c r="J2" s="83" t="s">
        <v>2</v>
      </c>
      <c r="K2" s="83" t="s">
        <v>4</v>
      </c>
      <c r="L2" s="83" t="s">
        <v>3</v>
      </c>
      <c r="M2" s="83" t="s">
        <v>2</v>
      </c>
      <c r="N2" s="83" t="s">
        <v>4</v>
      </c>
      <c r="O2" s="83" t="s">
        <v>3</v>
      </c>
      <c r="P2" s="83" t="s">
        <v>2</v>
      </c>
      <c r="Q2" s="83" t="s">
        <v>4</v>
      </c>
      <c r="R2" s="83" t="s">
        <v>3</v>
      </c>
      <c r="S2" s="80" t="s">
        <v>2</v>
      </c>
      <c r="T2" s="80" t="s">
        <v>4</v>
      </c>
      <c r="U2" s="80" t="s">
        <v>3</v>
      </c>
      <c r="V2" s="19" t="s">
        <v>92</v>
      </c>
      <c r="W2" s="19" t="s">
        <v>911</v>
      </c>
      <c r="X2" s="23" t="s">
        <v>923</v>
      </c>
      <c r="Y2" s="23"/>
      <c r="Z2" s="23"/>
      <c r="AA2" s="23"/>
      <c r="AB2" s="80" t="s">
        <v>2</v>
      </c>
      <c r="AC2" s="80" t="s">
        <v>4</v>
      </c>
      <c r="AD2" s="80" t="s">
        <v>3</v>
      </c>
      <c r="AE2" s="80" t="s">
        <v>2</v>
      </c>
      <c r="AF2" s="80" t="s">
        <v>4</v>
      </c>
      <c r="AG2" s="80" t="s">
        <v>3</v>
      </c>
      <c r="AH2" s="80" t="s">
        <v>2</v>
      </c>
      <c r="AI2" s="80" t="s">
        <v>4</v>
      </c>
      <c r="AJ2" s="80" t="s">
        <v>3</v>
      </c>
      <c r="AK2" s="81" t="s">
        <v>2</v>
      </c>
      <c r="AL2" s="81" t="s">
        <v>4</v>
      </c>
      <c r="AM2" s="81" t="s">
        <v>3</v>
      </c>
      <c r="AN2" s="16" t="s">
        <v>93</v>
      </c>
      <c r="AO2" s="16" t="s">
        <v>911</v>
      </c>
      <c r="AP2" s="23" t="s">
        <v>923</v>
      </c>
      <c r="AQ2" s="23"/>
      <c r="AR2" s="23"/>
      <c r="AS2" s="23"/>
      <c r="AT2" s="81" t="s">
        <v>2</v>
      </c>
      <c r="AU2" s="81" t="s">
        <v>4</v>
      </c>
      <c r="AV2" s="81" t="s">
        <v>3</v>
      </c>
      <c r="AW2" s="81" t="s">
        <v>2</v>
      </c>
      <c r="AX2" s="81" t="s">
        <v>4</v>
      </c>
      <c r="AY2" s="81" t="s">
        <v>3</v>
      </c>
      <c r="AZ2" s="81" t="s">
        <v>2</v>
      </c>
      <c r="BA2" s="81" t="s">
        <v>4</v>
      </c>
      <c r="BB2" s="81" t="s">
        <v>3</v>
      </c>
      <c r="BC2" s="82" t="s">
        <v>2</v>
      </c>
      <c r="BD2" s="82" t="s">
        <v>4</v>
      </c>
      <c r="BE2" s="82" t="s">
        <v>3</v>
      </c>
      <c r="BF2" s="18" t="s">
        <v>93</v>
      </c>
      <c r="BG2" s="18" t="s">
        <v>911</v>
      </c>
      <c r="BH2" s="23" t="s">
        <v>923</v>
      </c>
      <c r="BI2" s="23"/>
      <c r="BJ2" s="23"/>
      <c r="BK2" s="23"/>
      <c r="BL2" s="82" t="s">
        <v>2</v>
      </c>
      <c r="BM2" s="82" t="s">
        <v>4</v>
      </c>
      <c r="BN2" s="82" t="s">
        <v>3</v>
      </c>
      <c r="BO2" s="82" t="s">
        <v>2</v>
      </c>
      <c r="BP2" s="82" t="s">
        <v>4</v>
      </c>
      <c r="BQ2" s="82" t="s">
        <v>3</v>
      </c>
      <c r="BR2" s="82" t="s">
        <v>2</v>
      </c>
      <c r="BS2" s="82" t="s">
        <v>4</v>
      </c>
      <c r="BT2" s="82" t="s">
        <v>3</v>
      </c>
      <c r="BU2" s="27"/>
      <c r="BV2" s="27"/>
      <c r="BW2" s="27"/>
      <c r="BX2" s="29" t="s">
        <v>126</v>
      </c>
      <c r="BY2" s="30" t="s">
        <v>127</v>
      </c>
      <c r="BZ2" s="31" t="s">
        <v>128</v>
      </c>
      <c r="CA2" s="28" t="s">
        <v>95</v>
      </c>
      <c r="CB2" t="s">
        <v>99</v>
      </c>
      <c r="CC2" t="s">
        <v>100</v>
      </c>
      <c r="CD2" t="s">
        <v>101</v>
      </c>
      <c r="CE2" t="s">
        <v>103</v>
      </c>
      <c r="CF2" s="9"/>
      <c r="CG2" s="9" t="s">
        <v>456</v>
      </c>
      <c r="CH2" s="9" t="s">
        <v>457</v>
      </c>
      <c r="CI2" s="9" t="s">
        <v>1182</v>
      </c>
      <c r="CJ2" s="9" t="s">
        <v>1183</v>
      </c>
      <c r="DA2" t="s">
        <v>1552</v>
      </c>
      <c r="DC2" t="s">
        <v>456</v>
      </c>
      <c r="DD2" t="s">
        <v>457</v>
      </c>
    </row>
    <row r="3" spans="1:108">
      <c r="A3" s="226" t="s">
        <v>107</v>
      </c>
      <c r="B3" s="14">
        <v>44462</v>
      </c>
      <c r="C3" s="12">
        <v>0.98333333333333328</v>
      </c>
      <c r="D3" s="131">
        <v>4.3609999999999998</v>
      </c>
      <c r="E3" s="131">
        <v>0.92610000000000003</v>
      </c>
      <c r="F3" s="131">
        <v>4.1304999999999996</v>
      </c>
      <c r="G3" s="23">
        <f>((E3+0.0373)/3.2894)*5</f>
        <v>1.4644008025779778</v>
      </c>
      <c r="H3" s="23">
        <v>0.78859999999999997</v>
      </c>
      <c r="I3" s="23">
        <f>H3*5</f>
        <v>3.9429999999999996</v>
      </c>
      <c r="J3" s="131">
        <v>7.1980000000000004</v>
      </c>
      <c r="K3" s="131">
        <v>321.11810000000003</v>
      </c>
      <c r="L3" s="131">
        <v>864.12</v>
      </c>
      <c r="M3" s="131">
        <v>11.898</v>
      </c>
      <c r="N3" s="131">
        <v>3.1511</v>
      </c>
      <c r="O3" s="131">
        <v>10.136100000000001</v>
      </c>
      <c r="P3" s="131">
        <v>19.238</v>
      </c>
      <c r="Q3" s="131">
        <v>65.875200000000007</v>
      </c>
      <c r="R3" s="131">
        <v>119.67359999999999</v>
      </c>
      <c r="S3" s="128">
        <v>4.3579999999999997</v>
      </c>
      <c r="T3" s="128">
        <v>1.7124999999999999</v>
      </c>
      <c r="U3" s="128">
        <v>7.7248999999999999</v>
      </c>
      <c r="V3" s="19">
        <f>((T3+0.0373)/3.2894)*5</f>
        <v>2.6597555785249587</v>
      </c>
      <c r="W3" s="19">
        <v>1.0842000000000001</v>
      </c>
      <c r="X3" s="23">
        <f t="shared" ref="X3:X46" si="0">W3*5</f>
        <v>5.4210000000000003</v>
      </c>
      <c r="Y3" s="23"/>
      <c r="Z3" s="23"/>
      <c r="AA3" s="23"/>
      <c r="AB3" s="128">
        <v>7.1779999999999999</v>
      </c>
      <c r="AC3" s="128">
        <v>326.8974</v>
      </c>
      <c r="AD3" s="128">
        <v>863.88229999999999</v>
      </c>
      <c r="AE3" s="128">
        <v>11.881</v>
      </c>
      <c r="AF3" s="128">
        <v>2.0434999999999999</v>
      </c>
      <c r="AG3" s="128">
        <v>6.4730999999999996</v>
      </c>
      <c r="AH3" s="128">
        <v>19.161000000000001</v>
      </c>
      <c r="AI3" s="128">
        <v>81.966700000000003</v>
      </c>
      <c r="AJ3" s="128">
        <v>143.90430000000001</v>
      </c>
      <c r="AK3" s="129" t="s">
        <v>318</v>
      </c>
      <c r="AN3" s="16">
        <v>0</v>
      </c>
      <c r="AO3" s="16" t="s">
        <v>182</v>
      </c>
      <c r="AP3" s="23" t="s">
        <v>182</v>
      </c>
      <c r="AQ3" s="23"/>
      <c r="AR3" s="23"/>
      <c r="AS3" s="23"/>
      <c r="AT3" s="129" t="s">
        <v>318</v>
      </c>
      <c r="AW3" s="129">
        <v>11.728</v>
      </c>
      <c r="AX3" s="129">
        <v>1.9759</v>
      </c>
      <c r="AY3" s="129">
        <v>6.3661000000000003</v>
      </c>
      <c r="AZ3" s="129" t="s">
        <v>319</v>
      </c>
      <c r="BC3" s="130">
        <v>4.3209999999999997</v>
      </c>
      <c r="BD3" s="130">
        <v>1.8675999999999999</v>
      </c>
      <c r="BE3" s="130">
        <v>5.1976000000000004</v>
      </c>
      <c r="BF3" s="18">
        <f>((BD3+0.0373)/3.2894)*5</f>
        <v>2.8955128594880524</v>
      </c>
      <c r="BG3" s="18">
        <v>1.1425000000000001</v>
      </c>
      <c r="BH3" s="23">
        <f t="shared" ref="BH3:BH35" si="1">BG3*5</f>
        <v>5.7125000000000004</v>
      </c>
      <c r="BI3" s="23"/>
      <c r="BJ3" s="23"/>
      <c r="BK3" s="23"/>
      <c r="BL3" s="130">
        <v>7.5510000000000002</v>
      </c>
      <c r="BM3" s="130">
        <v>1104.1796999999999</v>
      </c>
      <c r="BN3" s="130">
        <v>1601.8711000000001</v>
      </c>
      <c r="BO3" s="130">
        <v>11.865</v>
      </c>
      <c r="BP3" s="130">
        <v>3.6978</v>
      </c>
      <c r="BQ3" s="130">
        <v>11.8117</v>
      </c>
      <c r="BR3" s="130">
        <v>18.640999999999998</v>
      </c>
      <c r="BS3" s="130">
        <v>283.89909999999998</v>
      </c>
      <c r="BT3" s="130">
        <v>366.67140000000001</v>
      </c>
      <c r="BX3" s="12">
        <f t="shared" ref="BX3:BX18" si="2">V3</f>
        <v>2.6597555785249587</v>
      </c>
      <c r="BY3" s="12">
        <f t="shared" ref="BY3:BY18" si="3">AN3</f>
        <v>0</v>
      </c>
      <c r="BZ3" s="12">
        <f t="shared" ref="BZ3:BZ18" si="4">BF3</f>
        <v>2.8955128594880524</v>
      </c>
      <c r="CA3" s="12">
        <f>AVERAGE(BX3:BZ3)</f>
        <v>1.8517561460043368</v>
      </c>
      <c r="CB3">
        <f>STDEV(BX3:BZ3)</f>
        <v>1.6079944005127644</v>
      </c>
      <c r="CC3">
        <v>3</v>
      </c>
      <c r="CD3">
        <v>3.18</v>
      </c>
      <c r="CE3" s="12">
        <f>(CD3*CB3)/SQRT(CC3)</f>
        <v>2.9522356799728287</v>
      </c>
      <c r="CG3" s="12">
        <f>'0 Set 2&amp;3'!C3</f>
        <v>1.75</v>
      </c>
      <c r="CH3" s="12">
        <f>'0 Set 2&amp;3'!U3</f>
        <v>3.411762972566815</v>
      </c>
      <c r="CI3">
        <f>(BH3+X3)/2</f>
        <v>5.5667500000000008</v>
      </c>
      <c r="CJ3">
        <f>'0 Set 2&amp;3'!$W3</f>
        <v>6.3949999999999996</v>
      </c>
      <c r="CT3" s="12">
        <f>C7</f>
        <v>138.43333333333334</v>
      </c>
      <c r="DC3">
        <v>1.75</v>
      </c>
      <c r="DD3">
        <v>3.411762972566815</v>
      </c>
    </row>
    <row r="4" spans="1:108">
      <c r="A4" s="226" t="s">
        <v>107</v>
      </c>
      <c r="B4" s="14">
        <v>44463</v>
      </c>
      <c r="C4" s="12">
        <v>19.600000000000001</v>
      </c>
      <c r="D4" s="131">
        <v>4.3540000000000001</v>
      </c>
      <c r="E4" s="131">
        <v>0.14050000000000001</v>
      </c>
      <c r="F4" s="131">
        <v>0.64190000000000003</v>
      </c>
      <c r="G4" s="23">
        <f t="shared" ref="G4:G5" si="5">((E4+0.0373)/3.2894)*5</f>
        <v>0.27026205387000668</v>
      </c>
      <c r="H4" s="23">
        <v>0.49340000000000001</v>
      </c>
      <c r="I4" s="23">
        <f t="shared" ref="I4:I46" si="6">H4*5</f>
        <v>2.4670000000000001</v>
      </c>
      <c r="J4" s="131">
        <v>7.1710000000000003</v>
      </c>
      <c r="K4" s="131">
        <v>326.32350000000002</v>
      </c>
      <c r="L4" s="131">
        <v>855.99469999999997</v>
      </c>
      <c r="M4" s="131">
        <v>11.871</v>
      </c>
      <c r="N4" s="131">
        <v>3.7524000000000002</v>
      </c>
      <c r="O4" s="131">
        <v>12.108000000000001</v>
      </c>
      <c r="P4" s="131">
        <v>19.288</v>
      </c>
      <c r="Q4" s="131">
        <v>45.265300000000003</v>
      </c>
      <c r="R4" s="131">
        <v>84.316400000000002</v>
      </c>
      <c r="S4" s="128">
        <v>4.3630000000000004</v>
      </c>
      <c r="T4" s="128">
        <v>2.0318999999999998</v>
      </c>
      <c r="U4" s="128">
        <v>10.7096</v>
      </c>
      <c r="V4" s="19">
        <f t="shared" ref="V4:V5" si="7">((T4+0.0373)/3.2894)*5</f>
        <v>3.1452544536997626</v>
      </c>
      <c r="W4" s="19">
        <v>1.2041999999999999</v>
      </c>
      <c r="X4" s="23">
        <f t="shared" si="0"/>
        <v>6.0209999999999999</v>
      </c>
      <c r="Y4" s="23"/>
      <c r="Z4" s="23"/>
      <c r="AA4" s="23"/>
      <c r="AB4" s="128">
        <v>7.1139999999999999</v>
      </c>
      <c r="AC4" s="128">
        <v>242.45689999999999</v>
      </c>
      <c r="AD4" s="128">
        <v>722.44349999999997</v>
      </c>
      <c r="AE4" s="128">
        <v>11.874000000000001</v>
      </c>
      <c r="AF4" s="128">
        <v>3.3996</v>
      </c>
      <c r="AG4" s="128">
        <v>10.958600000000001</v>
      </c>
      <c r="AH4" s="128">
        <v>19.347999999999999</v>
      </c>
      <c r="AI4" s="128">
        <v>31.293299999999999</v>
      </c>
      <c r="AJ4" s="128">
        <v>59.318600000000004</v>
      </c>
      <c r="AK4" s="129">
        <v>4.3570000000000002</v>
      </c>
      <c r="AL4" s="129">
        <v>1.7463</v>
      </c>
      <c r="AM4" s="129">
        <v>8.4728999999999992</v>
      </c>
      <c r="AN4" s="16">
        <f t="shared" ref="AN4:AN5" si="8">((AL4+0.0373)/3.2894)*5</f>
        <v>2.7111327293731375</v>
      </c>
      <c r="AO4" s="16">
        <v>1.0969</v>
      </c>
      <c r="AP4" s="23">
        <f t="shared" ref="AP4:AP46" si="9">AO4*5</f>
        <v>5.4844999999999997</v>
      </c>
      <c r="AQ4" s="23"/>
      <c r="AR4" s="23"/>
      <c r="AS4" s="23"/>
      <c r="AT4" s="129">
        <v>7.1639999999999997</v>
      </c>
      <c r="AU4" s="129">
        <v>320.63220000000001</v>
      </c>
      <c r="AV4" s="129">
        <v>848.24810000000002</v>
      </c>
      <c r="AW4" s="129">
        <v>11.864000000000001</v>
      </c>
      <c r="AX4" s="129">
        <v>3.6745999999999999</v>
      </c>
      <c r="AY4" s="129">
        <v>11.8734</v>
      </c>
      <c r="AZ4" s="129">
        <v>19.247</v>
      </c>
      <c r="BA4" s="129">
        <v>53.0366</v>
      </c>
      <c r="BB4" s="129">
        <v>97.750200000000007</v>
      </c>
      <c r="BC4" s="130">
        <v>4.3609999999999998</v>
      </c>
      <c r="BD4" s="130">
        <v>2.5807000000000002</v>
      </c>
      <c r="BE4" s="130">
        <v>12.833299999999999</v>
      </c>
      <c r="BF4" s="18">
        <f t="shared" ref="BF4:BF5" si="10">((BD4+0.0373)/3.2894)*5</f>
        <v>3.979449139660729</v>
      </c>
      <c r="BG4" s="18">
        <v>1.4105000000000001</v>
      </c>
      <c r="BH4" s="23">
        <f t="shared" si="1"/>
        <v>7.0525000000000002</v>
      </c>
      <c r="BI4" s="23"/>
      <c r="BJ4" s="23"/>
      <c r="BK4" s="23"/>
      <c r="BL4" s="130">
        <v>7.1740000000000004</v>
      </c>
      <c r="BM4" s="130">
        <v>330.58640000000003</v>
      </c>
      <c r="BN4" s="130">
        <v>863.76059999999995</v>
      </c>
      <c r="BO4" s="130">
        <v>11.871</v>
      </c>
      <c r="BP4" s="130">
        <v>3.3365</v>
      </c>
      <c r="BQ4" s="130">
        <v>10.753299999999999</v>
      </c>
      <c r="BR4" s="130">
        <v>19.268000000000001</v>
      </c>
      <c r="BS4" s="130">
        <v>48.552100000000003</v>
      </c>
      <c r="BT4" s="130">
        <v>90.166899999999998</v>
      </c>
      <c r="BX4" s="12">
        <f t="shared" si="2"/>
        <v>3.1452544536997626</v>
      </c>
      <c r="BY4" s="12">
        <f t="shared" si="3"/>
        <v>2.7111327293731375</v>
      </c>
      <c r="BZ4" s="12">
        <f t="shared" si="4"/>
        <v>3.979449139660729</v>
      </c>
      <c r="CA4" s="12">
        <f t="shared" ref="CA4:CA6" si="11">AVERAGE(BX4:BZ4)</f>
        <v>3.2786121075778767</v>
      </c>
      <c r="CB4">
        <f t="shared" ref="CB4:CB6" si="12">STDEV(BX4:BZ4)</f>
        <v>0.64458888218546273</v>
      </c>
      <c r="CC4">
        <v>3</v>
      </c>
      <c r="CD4">
        <v>3.18</v>
      </c>
      <c r="CE4" s="12">
        <f t="shared" ref="CE4:CE6" si="13">(CD4*CB4)/SQRT(CC4)</f>
        <v>1.1834483355756058</v>
      </c>
      <c r="CG4" s="12">
        <f>'0 Set 2&amp;3'!C4</f>
        <v>21.616666666666667</v>
      </c>
      <c r="CH4" s="12">
        <f>'0 Set 2&amp;3'!U4</f>
        <v>4.2262132775436836</v>
      </c>
      <c r="CI4">
        <f t="shared" ref="CI4:CI37" si="14">(BH4+AP4+X4)/3</f>
        <v>6.1859999999999999</v>
      </c>
      <c r="CJ4">
        <f>'0 Set 2&amp;3'!$W4</f>
        <v>7.4339999999999993</v>
      </c>
      <c r="DC4">
        <v>21.616666666666667</v>
      </c>
      <c r="DD4">
        <v>4.2262132775436836</v>
      </c>
    </row>
    <row r="5" spans="1:108">
      <c r="A5" s="226" t="s">
        <v>108</v>
      </c>
      <c r="B5" s="14">
        <v>44466</v>
      </c>
      <c r="C5" s="12">
        <v>90.816666666666663</v>
      </c>
      <c r="D5" s="131">
        <v>4.3479999999999999</v>
      </c>
      <c r="E5" s="131">
        <v>8.9899999999999994E-2</v>
      </c>
      <c r="F5" s="131">
        <v>0.45650000000000002</v>
      </c>
      <c r="G5" s="23">
        <f t="shared" si="5"/>
        <v>0.19334833100261439</v>
      </c>
      <c r="H5" s="23">
        <v>0.47439999999999999</v>
      </c>
      <c r="I5" s="23">
        <f t="shared" si="6"/>
        <v>2.3719999999999999</v>
      </c>
      <c r="J5" s="131">
        <v>6.8680000000000003</v>
      </c>
      <c r="K5" s="131">
        <v>62.710799999999999</v>
      </c>
      <c r="L5" s="131">
        <v>291.62689999999998</v>
      </c>
      <c r="M5" s="131">
        <v>11.728</v>
      </c>
      <c r="N5" s="131">
        <v>8.9435000000000002</v>
      </c>
      <c r="O5" s="131">
        <v>30.3645</v>
      </c>
      <c r="P5" s="131">
        <v>19.061</v>
      </c>
      <c r="Q5" s="131">
        <v>7.4410999999999996</v>
      </c>
      <c r="R5" s="131">
        <v>14.4237</v>
      </c>
      <c r="S5" s="128">
        <v>4.3540000000000001</v>
      </c>
      <c r="T5" s="128">
        <v>1.7333000000000001</v>
      </c>
      <c r="U5" s="128">
        <v>10.5192</v>
      </c>
      <c r="V5" s="19">
        <f t="shared" si="7"/>
        <v>2.6913722867392225</v>
      </c>
      <c r="W5" s="19">
        <v>1.0920000000000001</v>
      </c>
      <c r="X5" s="23">
        <f t="shared" si="0"/>
        <v>5.4600000000000009</v>
      </c>
      <c r="Y5" s="23"/>
      <c r="Z5" s="23"/>
      <c r="AA5" s="23"/>
      <c r="AB5" s="128">
        <v>6.8609999999999998</v>
      </c>
      <c r="AC5" s="128">
        <v>56.465899999999998</v>
      </c>
      <c r="AD5" s="128">
        <v>269.23110000000003</v>
      </c>
      <c r="AE5" s="128">
        <v>11.731</v>
      </c>
      <c r="AF5" s="128">
        <v>9.0161999999999995</v>
      </c>
      <c r="AG5" s="128">
        <v>30.592600000000001</v>
      </c>
      <c r="AH5" s="128">
        <v>19.064</v>
      </c>
      <c r="AI5" s="128">
        <v>7.3080999999999996</v>
      </c>
      <c r="AJ5" s="128">
        <v>14.160299999999999</v>
      </c>
      <c r="AK5" s="129">
        <v>4.351</v>
      </c>
      <c r="AL5" s="129">
        <v>1.4884999999999999</v>
      </c>
      <c r="AM5" s="129">
        <v>8.9163999999999994</v>
      </c>
      <c r="AN5" s="16">
        <f t="shared" si="8"/>
        <v>2.3192679516021157</v>
      </c>
      <c r="AO5" s="16">
        <v>1</v>
      </c>
      <c r="AP5" s="23">
        <f t="shared" si="9"/>
        <v>5</v>
      </c>
      <c r="AQ5" s="23"/>
      <c r="AR5" s="23"/>
      <c r="AS5" s="23"/>
      <c r="AT5" s="129">
        <v>6.8639999999999999</v>
      </c>
      <c r="AU5" s="129">
        <v>58.816299999999998</v>
      </c>
      <c r="AV5" s="129">
        <v>278.8768</v>
      </c>
      <c r="AW5" s="129">
        <v>11.728</v>
      </c>
      <c r="AX5" s="129">
        <v>8.7675999999999998</v>
      </c>
      <c r="AY5" s="129">
        <v>29.745100000000001</v>
      </c>
      <c r="AZ5" s="129">
        <v>19.053999999999998</v>
      </c>
      <c r="BA5" s="129">
        <v>7.6405000000000003</v>
      </c>
      <c r="BB5" s="129">
        <v>14.8192</v>
      </c>
      <c r="BC5" s="130">
        <v>4.3540000000000001</v>
      </c>
      <c r="BD5" s="130">
        <v>2.1312000000000002</v>
      </c>
      <c r="BE5" s="130">
        <v>13.103899999999999</v>
      </c>
      <c r="BF5" s="18">
        <f t="shared" si="10"/>
        <v>3.2961938347418984</v>
      </c>
      <c r="BG5" s="18">
        <v>1.2416</v>
      </c>
      <c r="BH5" s="23">
        <f t="shared" si="1"/>
        <v>6.2080000000000002</v>
      </c>
      <c r="BI5" s="23"/>
      <c r="BJ5" s="23"/>
      <c r="BK5" s="23"/>
      <c r="BL5" s="130">
        <v>6.8739999999999997</v>
      </c>
      <c r="BM5" s="130">
        <v>65.896600000000007</v>
      </c>
      <c r="BN5" s="130">
        <v>305.70389999999998</v>
      </c>
      <c r="BO5" s="130">
        <v>11.724</v>
      </c>
      <c r="BP5" s="130">
        <v>8.8170000000000002</v>
      </c>
      <c r="BQ5" s="130">
        <v>29.913699999999999</v>
      </c>
      <c r="BR5" s="130">
        <v>19.047999999999998</v>
      </c>
      <c r="BS5" s="130">
        <v>8.6199999999999992</v>
      </c>
      <c r="BT5" s="130">
        <v>16.765000000000001</v>
      </c>
      <c r="BX5" s="12">
        <f t="shared" si="2"/>
        <v>2.6913722867392225</v>
      </c>
      <c r="BY5" s="12">
        <f t="shared" si="3"/>
        <v>2.3192679516021157</v>
      </c>
      <c r="BZ5" s="12">
        <f t="shared" si="4"/>
        <v>3.2961938347418984</v>
      </c>
      <c r="CA5" s="12">
        <f t="shared" si="11"/>
        <v>2.768944691027746</v>
      </c>
      <c r="CB5">
        <f t="shared" si="12"/>
        <v>0.49306100405268055</v>
      </c>
      <c r="CC5">
        <v>3</v>
      </c>
      <c r="CD5">
        <v>3.18</v>
      </c>
      <c r="CE5" s="12">
        <f t="shared" si="13"/>
        <v>0.9052471128651769</v>
      </c>
      <c r="CG5" s="12">
        <f>'0 Set 2&amp;3'!C5</f>
        <v>46.8</v>
      </c>
      <c r="CH5" s="12">
        <f>'0 Set 2&amp;3'!U5</f>
        <v>3.1998670373504172</v>
      </c>
      <c r="CI5">
        <f t="shared" si="14"/>
        <v>5.556</v>
      </c>
      <c r="CJ5">
        <f>'0 Set 2&amp;3'!$W5</f>
        <v>6.3220000000000001</v>
      </c>
      <c r="CR5" t="s">
        <v>160</v>
      </c>
      <c r="CS5" t="s">
        <v>1</v>
      </c>
      <c r="CT5" t="s">
        <v>140</v>
      </c>
      <c r="CU5" t="s">
        <v>191</v>
      </c>
      <c r="CV5" t="s">
        <v>192</v>
      </c>
      <c r="CW5" t="s">
        <v>194</v>
      </c>
      <c r="CX5" t="s">
        <v>196</v>
      </c>
      <c r="CY5" t="s">
        <v>197</v>
      </c>
      <c r="DC5">
        <v>46.8</v>
      </c>
      <c r="DD5">
        <v>3.1998670373504172</v>
      </c>
    </row>
    <row r="6" spans="1:108">
      <c r="A6" s="226" t="s">
        <v>108</v>
      </c>
      <c r="B6" s="14">
        <v>44467</v>
      </c>
      <c r="C6" s="12">
        <v>114.95</v>
      </c>
      <c r="D6" s="131">
        <v>4.3339999999999996</v>
      </c>
      <c r="E6" s="131">
        <v>0.1298</v>
      </c>
      <c r="F6" s="131">
        <v>0.65580000000000005</v>
      </c>
      <c r="G6" s="23">
        <f>((E6+0.006)/3.3476)*5</f>
        <v>0.20283187955550247</v>
      </c>
      <c r="H6" s="23">
        <v>0.4894</v>
      </c>
      <c r="I6" s="23">
        <f t="shared" si="6"/>
        <v>2.4470000000000001</v>
      </c>
      <c r="J6" s="131">
        <v>6.9379999999999997</v>
      </c>
      <c r="K6" s="131">
        <v>128.91749999999999</v>
      </c>
      <c r="L6" s="131">
        <v>489.7319</v>
      </c>
      <c r="M6" s="131">
        <v>11.734</v>
      </c>
      <c r="N6" s="131">
        <v>2.8338999999999999</v>
      </c>
      <c r="O6" s="131">
        <v>9.3110999999999997</v>
      </c>
      <c r="P6" s="131">
        <v>18.960999999999999</v>
      </c>
      <c r="Q6" s="131">
        <v>22.323899999999998</v>
      </c>
      <c r="R6" s="131">
        <v>43.934800000000003</v>
      </c>
      <c r="S6" s="128">
        <v>4.3410000000000002</v>
      </c>
      <c r="T6" s="128">
        <v>1.7024999999999999</v>
      </c>
      <c r="U6" s="128">
        <v>9.8323</v>
      </c>
      <c r="V6" s="19">
        <f>((T6+0.006)/3.3476)*5</f>
        <v>2.551828175409248</v>
      </c>
      <c r="W6" s="19">
        <v>1.0804</v>
      </c>
      <c r="X6" s="23">
        <f t="shared" si="0"/>
        <v>5.4020000000000001</v>
      </c>
      <c r="Y6" s="23"/>
      <c r="Z6" s="23"/>
      <c r="AA6" s="23"/>
      <c r="AB6" s="128">
        <v>6.9480000000000004</v>
      </c>
      <c r="AC6" s="128">
        <v>133.25460000000001</v>
      </c>
      <c r="AD6" s="128">
        <v>502.54410000000001</v>
      </c>
      <c r="AE6" s="128">
        <v>11.738</v>
      </c>
      <c r="AF6" s="128">
        <v>2.8948</v>
      </c>
      <c r="AG6" s="128">
        <v>9.5107999999999997</v>
      </c>
      <c r="AH6" s="128">
        <v>18.957999999999998</v>
      </c>
      <c r="AI6" s="128">
        <v>23.356100000000001</v>
      </c>
      <c r="AJ6" s="128">
        <v>45.984499999999997</v>
      </c>
      <c r="AK6" s="129">
        <v>4.3410000000000002</v>
      </c>
      <c r="AL6" s="129">
        <v>2.0333999999999999</v>
      </c>
      <c r="AM6" s="129">
        <v>11.922800000000001</v>
      </c>
      <c r="AN6" s="16">
        <f>((AL6+0.006)/3.3476)*5</f>
        <v>3.0460628509977292</v>
      </c>
      <c r="AO6" s="16">
        <v>1.2048000000000001</v>
      </c>
      <c r="AP6" s="23">
        <f t="shared" si="9"/>
        <v>6.0240000000000009</v>
      </c>
      <c r="AQ6" s="23"/>
      <c r="AR6" s="23"/>
      <c r="AS6" s="23"/>
      <c r="AT6" s="129">
        <v>6.9480000000000004</v>
      </c>
      <c r="AU6" s="129">
        <v>136.9376</v>
      </c>
      <c r="AV6" s="129">
        <v>512.7586</v>
      </c>
      <c r="AW6" s="129">
        <v>11.731</v>
      </c>
      <c r="AX6" s="129">
        <v>2.7351999999999999</v>
      </c>
      <c r="AY6" s="129">
        <v>8.9870999999999999</v>
      </c>
      <c r="AZ6" s="129">
        <v>18.943999999999999</v>
      </c>
      <c r="BA6" s="129">
        <v>24.062000000000001</v>
      </c>
      <c r="BB6" s="129">
        <v>47.359299999999998</v>
      </c>
      <c r="BC6" s="130">
        <v>4.3410000000000002</v>
      </c>
      <c r="BD6" s="130">
        <v>1.8643000000000001</v>
      </c>
      <c r="BE6" s="130">
        <v>10.9255</v>
      </c>
      <c r="BF6" s="18">
        <f>((BD6+0.006)/3.3476)*5</f>
        <v>2.7934938463376753</v>
      </c>
      <c r="BG6" s="18">
        <v>1.1413</v>
      </c>
      <c r="BH6" s="23">
        <f t="shared" si="1"/>
        <v>5.7065000000000001</v>
      </c>
      <c r="BI6" s="23"/>
      <c r="BJ6" s="23"/>
      <c r="BK6" s="23"/>
      <c r="BL6" s="130">
        <v>6.9349999999999996</v>
      </c>
      <c r="BM6" s="130">
        <v>123.39579999999999</v>
      </c>
      <c r="BN6" s="130">
        <v>479.1001</v>
      </c>
      <c r="BO6" s="130">
        <v>11.731</v>
      </c>
      <c r="BP6" s="130">
        <v>2.8288000000000002</v>
      </c>
      <c r="BQ6" s="130">
        <v>9.2933000000000003</v>
      </c>
      <c r="BR6" s="130">
        <v>18.965</v>
      </c>
      <c r="BS6" s="130">
        <v>21.552399999999999</v>
      </c>
      <c r="BT6" s="130">
        <v>42.446899999999999</v>
      </c>
      <c r="BX6" s="12">
        <f t="shared" si="2"/>
        <v>2.551828175409248</v>
      </c>
      <c r="BY6" s="12">
        <f t="shared" si="3"/>
        <v>3.0460628509977292</v>
      </c>
      <c r="BZ6" s="12">
        <f t="shared" si="4"/>
        <v>2.7934938463376753</v>
      </c>
      <c r="CA6" s="12">
        <f t="shared" si="11"/>
        <v>2.797128290914884</v>
      </c>
      <c r="CB6">
        <f t="shared" si="12"/>
        <v>0.24713738189325268</v>
      </c>
      <c r="CC6">
        <v>3</v>
      </c>
      <c r="CD6">
        <v>3.18</v>
      </c>
      <c r="CE6" s="12">
        <f t="shared" si="13"/>
        <v>0.45373777200198639</v>
      </c>
      <c r="CG6" s="12">
        <f>'0 Set 2&amp;3'!C6</f>
        <v>166.5</v>
      </c>
      <c r="CH6" s="12">
        <f>'0 Set 2&amp;3'!U6</f>
        <v>3.1740299770337241</v>
      </c>
      <c r="CI6">
        <f t="shared" si="14"/>
        <v>5.7108333333333334</v>
      </c>
      <c r="CJ6">
        <f>'0 Set 2&amp;3'!$W6</f>
        <v>6.29</v>
      </c>
      <c r="CR6" s="37">
        <v>44470</v>
      </c>
      <c r="CS6" s="32">
        <v>0.10555555555555556</v>
      </c>
      <c r="CT6">
        <f>CT3+(24*2)+4</f>
        <v>190.43333333333334</v>
      </c>
      <c r="CU6">
        <f>32-4</f>
        <v>28</v>
      </c>
      <c r="CV6">
        <f>(CT6*60)+CU6</f>
        <v>11454</v>
      </c>
      <c r="CW6">
        <f>CV6/60</f>
        <v>190.9</v>
      </c>
      <c r="CX6">
        <f>(CW6-190)*60</f>
        <v>54.000000000000341</v>
      </c>
      <c r="CY6">
        <v>190</v>
      </c>
      <c r="DC6">
        <v>166.5</v>
      </c>
      <c r="DD6">
        <v>3.1740299770337241</v>
      </c>
    </row>
    <row r="7" spans="1:108">
      <c r="A7" s="226" t="s">
        <v>189</v>
      </c>
      <c r="B7" s="14">
        <v>44468</v>
      </c>
      <c r="C7" s="12">
        <v>138.43333333333334</v>
      </c>
      <c r="D7" s="131">
        <v>4.351</v>
      </c>
      <c r="E7" s="131">
        <v>9.1300000000000006E-2</v>
      </c>
      <c r="F7" s="131">
        <v>0.43259999999999998</v>
      </c>
      <c r="G7" s="23">
        <f>((E7+0.0847)/3.2319)*5</f>
        <v>0.27228565240261143</v>
      </c>
      <c r="H7" s="23">
        <v>0.47489999999999999</v>
      </c>
      <c r="I7" s="23">
        <f t="shared" si="6"/>
        <v>2.3744999999999998</v>
      </c>
      <c r="J7" s="131">
        <v>6.9779999999999998</v>
      </c>
      <c r="K7" s="131">
        <v>135.13210000000001</v>
      </c>
      <c r="L7" s="131">
        <v>495.22149999999999</v>
      </c>
      <c r="M7" s="131">
        <v>11.750999999999999</v>
      </c>
      <c r="N7" s="131">
        <v>2.0261</v>
      </c>
      <c r="O7" s="131">
        <v>6.7001999999999997</v>
      </c>
      <c r="P7" s="131">
        <v>19.193999999999999</v>
      </c>
      <c r="Q7" s="131">
        <v>23.794599999999999</v>
      </c>
      <c r="R7" s="131">
        <v>46.487200000000001</v>
      </c>
      <c r="S7" s="128">
        <v>4.3579999999999997</v>
      </c>
      <c r="T7" s="128">
        <v>1.5232000000000001</v>
      </c>
      <c r="U7" s="128">
        <v>8.3516999999999992</v>
      </c>
      <c r="V7" s="19">
        <f>((T7+0.0847)/3.2319)*5</f>
        <v>2.4875460255577218</v>
      </c>
      <c r="W7" s="19">
        <v>1.0129999999999999</v>
      </c>
      <c r="X7" s="23">
        <f t="shared" si="0"/>
        <v>5.0649999999999995</v>
      </c>
      <c r="Y7" s="23"/>
      <c r="Z7" s="23"/>
      <c r="AA7" s="23"/>
      <c r="AB7" s="128">
        <v>6.9779999999999998</v>
      </c>
      <c r="AC7" s="128">
        <v>132.3913</v>
      </c>
      <c r="AD7" s="128">
        <v>489.43979999999999</v>
      </c>
      <c r="AE7" s="128">
        <v>11.750999999999999</v>
      </c>
      <c r="AF7" s="128">
        <v>2.0748000000000002</v>
      </c>
      <c r="AG7" s="128">
        <v>6.8624000000000001</v>
      </c>
      <c r="AH7" s="128">
        <v>19.198</v>
      </c>
      <c r="AI7" s="128">
        <v>23.421199999999999</v>
      </c>
      <c r="AJ7" s="128">
        <v>45.773699999999998</v>
      </c>
      <c r="AK7" s="129">
        <v>4.3579999999999997</v>
      </c>
      <c r="AL7" s="129">
        <v>1.9730000000000001</v>
      </c>
      <c r="AM7" s="129">
        <v>11.065799999999999</v>
      </c>
      <c r="AN7" s="16">
        <f>((AL7+0.0847)/3.2319)*5</f>
        <v>3.1834215167548501</v>
      </c>
      <c r="AO7" s="16">
        <v>1.1820999999999999</v>
      </c>
      <c r="AP7" s="23">
        <f t="shared" si="9"/>
        <v>5.9104999999999999</v>
      </c>
      <c r="AQ7" s="23"/>
      <c r="AR7" s="23"/>
      <c r="AS7" s="23"/>
      <c r="AT7" s="16">
        <v>6.9749999999999996</v>
      </c>
      <c r="AU7" s="129">
        <v>131.57230000000001</v>
      </c>
      <c r="AV7" s="129">
        <v>487.88709999999998</v>
      </c>
      <c r="AW7" s="129">
        <v>11.750999999999999</v>
      </c>
      <c r="AX7" s="129">
        <v>1.9598</v>
      </c>
      <c r="AY7" s="129">
        <v>6.4625000000000004</v>
      </c>
      <c r="AZ7" s="129">
        <v>19.198</v>
      </c>
      <c r="BA7" s="129">
        <v>23.262899999999998</v>
      </c>
      <c r="BB7" s="129">
        <v>45.4495</v>
      </c>
      <c r="BC7" s="130">
        <v>4.3579999999999997</v>
      </c>
      <c r="BD7" s="130">
        <v>1.659</v>
      </c>
      <c r="BE7" s="130">
        <v>9.1727000000000007</v>
      </c>
      <c r="BF7" s="18">
        <f>((BD7+0.0847)/3.2319)*5</f>
        <v>2.6976391596274638</v>
      </c>
      <c r="BG7" s="18">
        <v>1.0641</v>
      </c>
      <c r="BH7" s="23">
        <f t="shared" si="1"/>
        <v>5.3205</v>
      </c>
      <c r="BI7" s="23"/>
      <c r="BJ7" s="23"/>
      <c r="BK7" s="23"/>
      <c r="BL7" s="130">
        <v>6.9779999999999998</v>
      </c>
      <c r="BM7" s="130">
        <v>133.57480000000001</v>
      </c>
      <c r="BN7" s="130">
        <v>493.0111</v>
      </c>
      <c r="BO7" s="130">
        <v>11.747999999999999</v>
      </c>
      <c r="BP7" s="130">
        <v>2.0773000000000001</v>
      </c>
      <c r="BQ7" s="130">
        <v>6.8609999999999998</v>
      </c>
      <c r="BR7" s="130">
        <v>19.193999999999999</v>
      </c>
      <c r="BS7" s="130">
        <v>23.6252</v>
      </c>
      <c r="BT7" s="130">
        <v>46.180100000000003</v>
      </c>
      <c r="BX7" s="12">
        <f t="shared" si="2"/>
        <v>2.4875460255577218</v>
      </c>
      <c r="BY7" s="12">
        <f t="shared" si="3"/>
        <v>3.1834215167548501</v>
      </c>
      <c r="BZ7" s="12">
        <f t="shared" si="4"/>
        <v>2.6976391596274638</v>
      </c>
      <c r="CA7" s="12">
        <f t="shared" ref="CA7:CA8" si="15">AVERAGE(BX7:BZ7)</f>
        <v>2.7895355673133451</v>
      </c>
      <c r="CB7">
        <f t="shared" ref="CB7:CB8" si="16">STDEV(BX7:BZ7)</f>
        <v>0.35692350317875066</v>
      </c>
      <c r="CC7">
        <v>3</v>
      </c>
      <c r="CD7">
        <v>3.18</v>
      </c>
      <c r="CE7" s="12">
        <f t="shared" ref="CE7:CE9" si="17">(CD7*CB7)/SQRT(CC7)</f>
        <v>0.65530222043633202</v>
      </c>
      <c r="CG7" s="12">
        <f>'0 Set 2&amp;3'!C7</f>
        <v>214.66666666666666</v>
      </c>
      <c r="CH7" s="12">
        <f>'0 Set 2&amp;3'!U7</f>
        <v>2.3337935897059254</v>
      </c>
      <c r="CI7">
        <f t="shared" si="14"/>
        <v>5.4319999999999995</v>
      </c>
      <c r="CJ7">
        <f>'0 Set 2&amp;3'!$W7</f>
        <v>4.6050000000000004</v>
      </c>
      <c r="CR7" s="37">
        <v>44473</v>
      </c>
      <c r="CS7" s="32">
        <v>0.4201388888888889</v>
      </c>
      <c r="CT7">
        <f>CT3+(24*5)</f>
        <v>258.43333333333334</v>
      </c>
      <c r="CU7">
        <v>1</v>
      </c>
      <c r="CV7">
        <f t="shared" ref="CV7:CV10" si="18">(CT7*60)+CU7</f>
        <v>15507</v>
      </c>
      <c r="CW7">
        <f t="shared" ref="CW7:CW10" si="19">CV7/60</f>
        <v>258.45</v>
      </c>
      <c r="CX7">
        <f>(CW7-258)*60</f>
        <v>26.999999999999318</v>
      </c>
      <c r="CY7">
        <v>258</v>
      </c>
      <c r="DC7">
        <v>214.66666666666666</v>
      </c>
      <c r="DD7">
        <v>2.3337935897059254</v>
      </c>
    </row>
    <row r="8" spans="1:108">
      <c r="A8" s="226" t="s">
        <v>189</v>
      </c>
      <c r="B8" s="14">
        <v>44470</v>
      </c>
      <c r="C8" s="12">
        <v>190.9</v>
      </c>
      <c r="D8" s="131">
        <v>4.351</v>
      </c>
      <c r="E8" s="131">
        <v>8.5599999999999996E-2</v>
      </c>
      <c r="F8" s="131">
        <v>0.39979999999999999</v>
      </c>
      <c r="G8" s="23">
        <f t="shared" ref="G8:G9" si="20">((E8+0.0847)/3.2319)*5</f>
        <v>0.263467310250936</v>
      </c>
      <c r="H8" s="23">
        <v>0.4728</v>
      </c>
      <c r="I8" s="23">
        <f t="shared" si="6"/>
        <v>2.3639999999999999</v>
      </c>
      <c r="J8" s="131">
        <v>7.0039999999999996</v>
      </c>
      <c r="K8" s="131">
        <v>164.18199999999999</v>
      </c>
      <c r="L8" s="131">
        <v>564.26239999999996</v>
      </c>
      <c r="M8" s="131">
        <v>11.741</v>
      </c>
      <c r="N8" s="131">
        <v>4.3509000000000002</v>
      </c>
      <c r="O8" s="131">
        <v>14.6038</v>
      </c>
      <c r="P8" s="131">
        <v>19.161000000000001</v>
      </c>
      <c r="Q8" s="131">
        <v>31.2241</v>
      </c>
      <c r="R8" s="131">
        <v>60.671999999999997</v>
      </c>
      <c r="S8" s="128">
        <v>4.3550000000000004</v>
      </c>
      <c r="T8" s="128">
        <v>1.2756000000000001</v>
      </c>
      <c r="U8" s="128">
        <v>6.7092999999999998</v>
      </c>
      <c r="V8" s="19">
        <f t="shared" ref="V8:V9" si="21">((T8+0.0847)/3.2319)*5</f>
        <v>2.1044896191095024</v>
      </c>
      <c r="W8" s="19">
        <v>0.92</v>
      </c>
      <c r="X8" s="23">
        <f t="shared" si="0"/>
        <v>4.6000000000000005</v>
      </c>
      <c r="Y8" s="23"/>
      <c r="Z8" s="23"/>
      <c r="AA8" s="23"/>
      <c r="AB8" s="128">
        <v>6.9980000000000002</v>
      </c>
      <c r="AC8" s="128">
        <v>157.21539999999999</v>
      </c>
      <c r="AD8" s="128">
        <v>549.89729999999997</v>
      </c>
      <c r="AE8" s="128">
        <v>11.738</v>
      </c>
      <c r="AF8" s="128">
        <v>4.3761999999999999</v>
      </c>
      <c r="AG8" s="128">
        <v>14.6943</v>
      </c>
      <c r="AH8" s="128">
        <v>19.164999999999999</v>
      </c>
      <c r="AI8" s="128">
        <v>29.903099999999998</v>
      </c>
      <c r="AJ8" s="128">
        <v>58.1768</v>
      </c>
      <c r="AK8" s="129">
        <v>4.3550000000000004</v>
      </c>
      <c r="AL8" s="129">
        <v>1.7814000000000001</v>
      </c>
      <c r="AM8" s="129">
        <v>9.6298999999999992</v>
      </c>
      <c r="AN8" s="16">
        <f t="shared" ref="AN8:AN9" si="22">((AL8+0.0847)/3.2319)*5</f>
        <v>2.8870014542529168</v>
      </c>
      <c r="AO8" s="16">
        <v>1.1101000000000001</v>
      </c>
      <c r="AP8" s="23">
        <f t="shared" si="9"/>
        <v>5.5505000000000004</v>
      </c>
      <c r="AQ8" s="23"/>
      <c r="AR8" s="23"/>
      <c r="AS8" s="23"/>
      <c r="AT8" s="129">
        <v>7.008</v>
      </c>
      <c r="AU8" s="129">
        <v>168.1661</v>
      </c>
      <c r="AV8" s="129">
        <v>574.86389999999994</v>
      </c>
      <c r="AW8" s="129">
        <v>11.738</v>
      </c>
      <c r="AX8" s="129">
        <v>4.4008000000000003</v>
      </c>
      <c r="AY8" s="129">
        <v>14.774699999999999</v>
      </c>
      <c r="AZ8" s="129">
        <v>19.151</v>
      </c>
      <c r="BA8" s="129">
        <v>32.270699999999998</v>
      </c>
      <c r="BB8" s="129">
        <v>62.668300000000002</v>
      </c>
      <c r="BC8" s="130">
        <v>4.3540000000000001</v>
      </c>
      <c r="BD8" s="130">
        <v>1.5305</v>
      </c>
      <c r="BE8" s="130">
        <v>8.1370000000000005</v>
      </c>
      <c r="BF8" s="18">
        <f t="shared" ref="BF8" si="23">((BD8+0.0847)/3.2319)*5</f>
        <v>2.4988396918221478</v>
      </c>
      <c r="BG8" s="18">
        <v>1.0158</v>
      </c>
      <c r="BH8" s="23">
        <f t="shared" si="1"/>
        <v>5.0790000000000006</v>
      </c>
      <c r="BI8" s="23"/>
      <c r="BJ8" s="23"/>
      <c r="BK8" s="23"/>
      <c r="BL8" s="130">
        <v>7.008</v>
      </c>
      <c r="BM8" s="130">
        <v>168.1079</v>
      </c>
      <c r="BN8" s="130">
        <v>574.78880000000004</v>
      </c>
      <c r="BO8" s="130">
        <v>11.738</v>
      </c>
      <c r="BP8" s="130">
        <v>4.4218000000000002</v>
      </c>
      <c r="BQ8" s="130">
        <v>14.8315</v>
      </c>
      <c r="BR8" s="130">
        <v>19.154</v>
      </c>
      <c r="BS8" s="130">
        <v>32.216200000000001</v>
      </c>
      <c r="BT8" s="130">
        <v>62.556699999999999</v>
      </c>
      <c r="BX8" s="12">
        <f t="shared" si="2"/>
        <v>2.1044896191095024</v>
      </c>
      <c r="BY8" s="12">
        <f t="shared" si="3"/>
        <v>2.8870014542529168</v>
      </c>
      <c r="BZ8" s="12">
        <f t="shared" si="4"/>
        <v>2.4988396918221478</v>
      </c>
      <c r="CA8" s="12">
        <f t="shared" si="15"/>
        <v>2.496776921728189</v>
      </c>
      <c r="CB8">
        <f t="shared" si="16"/>
        <v>0.39125999578314313</v>
      </c>
      <c r="CC8">
        <v>3</v>
      </c>
      <c r="CD8">
        <v>3.18</v>
      </c>
      <c r="CE8" s="12">
        <f t="shared" si="17"/>
        <v>0.71834312316552396</v>
      </c>
      <c r="CG8" s="12">
        <f>'0 Set 2&amp;3'!C8</f>
        <v>286.59999999999997</v>
      </c>
      <c r="CH8" s="12">
        <f>'0 Set 2&amp;3'!U8</f>
        <v>2.0284085901465962</v>
      </c>
      <c r="CI8">
        <f t="shared" si="14"/>
        <v>5.0765000000000002</v>
      </c>
      <c r="CJ8">
        <f>'0 Set 2&amp;3'!$W8</f>
        <v>4.2145000000000001</v>
      </c>
      <c r="CR8" s="37">
        <v>44475</v>
      </c>
      <c r="CS8" s="32">
        <v>0.44166666666666665</v>
      </c>
      <c r="CT8">
        <f>CT3+(24*7)</f>
        <v>306.43333333333334</v>
      </c>
      <c r="CU8">
        <f>36-4</f>
        <v>32</v>
      </c>
      <c r="CV8">
        <f t="shared" si="18"/>
        <v>18418</v>
      </c>
      <c r="CW8">
        <f t="shared" si="19"/>
        <v>306.96666666666664</v>
      </c>
      <c r="CX8">
        <f>(CW8-306)*60</f>
        <v>57.999999999998408</v>
      </c>
      <c r="CY8">
        <v>306</v>
      </c>
      <c r="DC8">
        <v>286.59999999999997</v>
      </c>
      <c r="DD8">
        <v>2.0284085901465962</v>
      </c>
    </row>
    <row r="9" spans="1:108">
      <c r="A9" s="226" t="s">
        <v>189</v>
      </c>
      <c r="B9" s="14">
        <v>44473</v>
      </c>
      <c r="C9" s="12">
        <v>258.45</v>
      </c>
      <c r="D9" s="131">
        <v>4.3579999999999997</v>
      </c>
      <c r="E9" s="131">
        <v>5.3900000000000003E-2</v>
      </c>
      <c r="F9" s="131">
        <v>0.26640000000000003</v>
      </c>
      <c r="G9" s="23">
        <f t="shared" si="20"/>
        <v>0.21442495126705652</v>
      </c>
      <c r="H9" s="23">
        <v>0.46079999999999999</v>
      </c>
      <c r="I9" s="23">
        <f t="shared" si="6"/>
        <v>2.3039999999999998</v>
      </c>
      <c r="J9" s="131">
        <v>6.9980000000000002</v>
      </c>
      <c r="K9" s="131">
        <v>156.928</v>
      </c>
      <c r="L9" s="131">
        <v>555.15380000000005</v>
      </c>
      <c r="M9" s="131">
        <v>11.741</v>
      </c>
      <c r="N9" s="131">
        <v>2.6657999999999999</v>
      </c>
      <c r="O9" s="131">
        <v>8.8528000000000002</v>
      </c>
      <c r="P9" s="131">
        <v>19.131</v>
      </c>
      <c r="Q9" s="131">
        <v>36.1828</v>
      </c>
      <c r="R9" s="131">
        <v>69.988</v>
      </c>
      <c r="S9" s="128">
        <v>4.3550000000000004</v>
      </c>
      <c r="T9" s="128">
        <v>1.2025999999999999</v>
      </c>
      <c r="U9" s="128">
        <v>6.3323</v>
      </c>
      <c r="V9" s="19">
        <f t="shared" si="21"/>
        <v>1.991552956465237</v>
      </c>
      <c r="W9" s="19">
        <v>0.89259999999999995</v>
      </c>
      <c r="X9" s="23">
        <f t="shared" si="0"/>
        <v>4.4630000000000001</v>
      </c>
      <c r="Y9" s="23"/>
      <c r="Z9" s="23"/>
      <c r="AA9" s="23"/>
      <c r="AB9" s="128">
        <v>7.008</v>
      </c>
      <c r="AC9" s="128">
        <v>166.82429999999999</v>
      </c>
      <c r="AD9" s="128">
        <v>578.04340000000002</v>
      </c>
      <c r="AE9" s="128">
        <v>11.741</v>
      </c>
      <c r="AF9" s="128">
        <v>2.7429999999999999</v>
      </c>
      <c r="AG9" s="128">
        <v>9.1128</v>
      </c>
      <c r="AH9" s="128">
        <v>19.120999999999999</v>
      </c>
      <c r="AI9" s="128">
        <v>38.946599999999997</v>
      </c>
      <c r="AJ9" s="128">
        <v>75.069000000000003</v>
      </c>
      <c r="AK9" s="129">
        <v>4.3579999999999997</v>
      </c>
      <c r="AL9" s="129">
        <v>1.4084000000000001</v>
      </c>
      <c r="AM9" s="129">
        <v>7.6311</v>
      </c>
      <c r="AN9" s="16">
        <f t="shared" si="22"/>
        <v>2.3099415204678362</v>
      </c>
      <c r="AO9" s="16">
        <v>0.96989999999999998</v>
      </c>
      <c r="AP9" s="23">
        <f t="shared" si="9"/>
        <v>4.8494999999999999</v>
      </c>
      <c r="AQ9" s="23"/>
      <c r="AR9" s="23"/>
      <c r="AS9" s="23"/>
      <c r="AT9" s="129">
        <v>7.0010000000000003</v>
      </c>
      <c r="AU9" s="129">
        <v>156.24199999999999</v>
      </c>
      <c r="AV9" s="129">
        <v>555.14009999999996</v>
      </c>
      <c r="AW9" s="129">
        <v>11.744</v>
      </c>
      <c r="AX9" s="129">
        <v>2.6907999999999999</v>
      </c>
      <c r="AY9" s="129">
        <v>8.9437999999999995</v>
      </c>
      <c r="AZ9" s="129">
        <v>19.134</v>
      </c>
      <c r="BA9" s="129">
        <v>36.205300000000001</v>
      </c>
      <c r="BB9" s="129">
        <v>70.058999999999997</v>
      </c>
      <c r="BC9" s="130">
        <v>4.3810000000000002</v>
      </c>
      <c r="BD9" s="130">
        <v>1.6956</v>
      </c>
      <c r="BE9" s="130">
        <v>8.9908000000000001</v>
      </c>
      <c r="BF9" s="18">
        <f t="shared" ref="BF9:BF12" si="24">((BD9+0.0883)/3.2883)*5</f>
        <v>2.7124958185080441</v>
      </c>
      <c r="BG9" s="223">
        <v>1.0778000000000001</v>
      </c>
      <c r="BH9" s="23">
        <f t="shared" si="1"/>
        <v>5.3890000000000002</v>
      </c>
      <c r="BI9" s="23"/>
      <c r="BJ9" s="23"/>
      <c r="BK9" s="23"/>
      <c r="BL9" s="130">
        <v>7.0579999999999998</v>
      </c>
      <c r="BM9" s="130">
        <v>167.9666</v>
      </c>
      <c r="BN9" s="130">
        <v>576.48069999999996</v>
      </c>
      <c r="BO9" s="130">
        <v>11.811</v>
      </c>
      <c r="BP9" s="130">
        <v>2.7534000000000001</v>
      </c>
      <c r="BQ9" s="130">
        <v>9.2291000000000007</v>
      </c>
      <c r="BR9" s="130">
        <v>19.448</v>
      </c>
      <c r="BS9" s="130">
        <v>39.273299999999999</v>
      </c>
      <c r="BT9" s="130">
        <v>75.109200000000001</v>
      </c>
      <c r="BX9" s="12">
        <f t="shared" si="2"/>
        <v>1.991552956465237</v>
      </c>
      <c r="BY9" s="12">
        <f t="shared" si="3"/>
        <v>2.3099415204678362</v>
      </c>
      <c r="BZ9" s="12">
        <f t="shared" si="4"/>
        <v>2.7124958185080441</v>
      </c>
      <c r="CA9" s="12">
        <f>AVERAGE(BX9:BY9)</f>
        <v>2.1507472384665367</v>
      </c>
      <c r="CB9">
        <f>STDEV(BX9:BY9)</f>
        <v>0.22513471265848498</v>
      </c>
      <c r="CC9">
        <v>3</v>
      </c>
      <c r="CD9">
        <v>3.18</v>
      </c>
      <c r="CE9" s="12">
        <f t="shared" si="17"/>
        <v>0.41334144652423105</v>
      </c>
      <c r="CG9" s="12">
        <f>'0 Set 2&amp;3'!C9</f>
        <v>334.76666666666659</v>
      </c>
      <c r="CH9" s="12">
        <f>'0 Set 2&amp;3'!U9</f>
        <v>1.4207021791767558</v>
      </c>
      <c r="CI9">
        <f t="shared" si="14"/>
        <v>4.9005000000000001</v>
      </c>
      <c r="CJ9">
        <f>'0 Set 2&amp;3'!$W9</f>
        <v>4.1120000000000001</v>
      </c>
      <c r="CR9" s="37">
        <v>44477</v>
      </c>
      <c r="CS9" s="32">
        <v>0.43402777777777773</v>
      </c>
      <c r="CT9">
        <f>CT3+(24*9)</f>
        <v>354.43333333333334</v>
      </c>
      <c r="CU9">
        <f>25-4</f>
        <v>21</v>
      </c>
      <c r="CV9">
        <f t="shared" si="18"/>
        <v>21287</v>
      </c>
      <c r="CW9">
        <f t="shared" si="19"/>
        <v>354.78333333333336</v>
      </c>
      <c r="CX9">
        <f>(CW9-354)*60</f>
        <v>47.000000000001592</v>
      </c>
      <c r="CY9">
        <v>354</v>
      </c>
      <c r="DC9">
        <v>334.76666666666659</v>
      </c>
      <c r="DD9">
        <v>1.4207021791767558</v>
      </c>
    </row>
    <row r="10" spans="1:108">
      <c r="A10" s="226" t="s">
        <v>195</v>
      </c>
      <c r="B10" s="14">
        <v>44475</v>
      </c>
      <c r="C10" s="12">
        <v>306.97000000000003</v>
      </c>
      <c r="D10" s="83" t="s">
        <v>320</v>
      </c>
      <c r="E10" s="83"/>
      <c r="F10" s="83"/>
      <c r="G10" s="23">
        <v>0</v>
      </c>
      <c r="H10" s="23">
        <v>0</v>
      </c>
      <c r="I10" s="23">
        <f t="shared" si="6"/>
        <v>0</v>
      </c>
      <c r="J10" s="83">
        <v>7.0679999999999996</v>
      </c>
      <c r="K10" s="83">
        <v>162.51140000000001</v>
      </c>
      <c r="L10" s="83">
        <v>583.04650000000004</v>
      </c>
      <c r="M10" s="83">
        <v>11.814</v>
      </c>
      <c r="N10" s="83">
        <v>4.0105000000000004</v>
      </c>
      <c r="O10" s="83">
        <v>13.6418</v>
      </c>
      <c r="P10" s="83">
        <v>19.484000000000002</v>
      </c>
      <c r="Q10" s="83">
        <v>31.277699999999999</v>
      </c>
      <c r="R10" s="83">
        <v>60.387599999999999</v>
      </c>
      <c r="S10" s="80">
        <v>4.391</v>
      </c>
      <c r="T10" s="80">
        <v>0.93389999999999995</v>
      </c>
      <c r="U10" s="80">
        <v>5.0407999999999999</v>
      </c>
      <c r="V10" s="19">
        <f t="shared" ref="V10:V12" si="25">((T10+0.0883)/3.2883)*5</f>
        <v>1.5542985737311072</v>
      </c>
      <c r="W10" s="19">
        <v>0.79159999999999997</v>
      </c>
      <c r="X10" s="23">
        <f t="shared" si="0"/>
        <v>3.9579999999999997</v>
      </c>
      <c r="Y10" s="23"/>
      <c r="Z10" s="23"/>
      <c r="AA10" s="23"/>
      <c r="AB10" s="80">
        <v>7.0679999999999996</v>
      </c>
      <c r="AC10" s="80">
        <v>162.22909999999999</v>
      </c>
      <c r="AD10" s="80">
        <v>583.56050000000005</v>
      </c>
      <c r="AE10" s="80">
        <v>11.811</v>
      </c>
      <c r="AF10" s="80">
        <v>4.0373000000000001</v>
      </c>
      <c r="AG10" s="80">
        <v>13.735300000000001</v>
      </c>
      <c r="AH10" s="80">
        <v>19.484000000000002</v>
      </c>
      <c r="AI10" s="80">
        <v>31.4438</v>
      </c>
      <c r="AJ10" s="80">
        <v>60.668900000000001</v>
      </c>
      <c r="AK10" s="81">
        <v>4.3949999999999996</v>
      </c>
      <c r="AL10" s="81">
        <v>1.1097999999999999</v>
      </c>
      <c r="AM10" s="81">
        <v>6.2008999999999999</v>
      </c>
      <c r="AN10" s="16">
        <f t="shared" ref="AN10:AN12" si="26">((AL10+0.0883)/3.2883)*5</f>
        <v>1.8217620046832708</v>
      </c>
      <c r="AO10" s="16">
        <v>0.85770000000000002</v>
      </c>
      <c r="AP10" s="23">
        <f t="shared" si="9"/>
        <v>4.2885</v>
      </c>
      <c r="AQ10" s="23"/>
      <c r="AR10" s="23"/>
      <c r="AS10" s="23"/>
      <c r="AT10" s="81">
        <v>7.0650000000000004</v>
      </c>
      <c r="AU10" s="81">
        <v>155.58709999999999</v>
      </c>
      <c r="AV10" s="81">
        <v>568.99659999999994</v>
      </c>
      <c r="AW10" s="81">
        <v>11.818</v>
      </c>
      <c r="AX10" s="81">
        <v>3.9708999999999999</v>
      </c>
      <c r="AY10" s="81">
        <v>13.5022</v>
      </c>
      <c r="AZ10" s="81">
        <v>19.498000000000001</v>
      </c>
      <c r="BA10" s="81">
        <v>29.935199999999998</v>
      </c>
      <c r="BB10" s="81">
        <v>57.8538</v>
      </c>
      <c r="BC10" s="82">
        <v>4.3940000000000001</v>
      </c>
      <c r="BD10" s="82">
        <v>0.98719999999999997</v>
      </c>
      <c r="BE10" s="82">
        <v>5.4347000000000003</v>
      </c>
      <c r="BF10" s="18">
        <f t="shared" si="24"/>
        <v>1.6353434905574307</v>
      </c>
      <c r="BG10" s="18">
        <v>0.81159999999999999</v>
      </c>
      <c r="BH10" s="23">
        <f t="shared" si="1"/>
        <v>4.0579999999999998</v>
      </c>
      <c r="BI10" s="23"/>
      <c r="BJ10" s="23"/>
      <c r="BK10" s="23"/>
      <c r="BL10" s="82">
        <v>7.0609999999999999</v>
      </c>
      <c r="BM10" s="82">
        <v>152.82679999999999</v>
      </c>
      <c r="BN10" s="82">
        <v>560.58569999999997</v>
      </c>
      <c r="BO10" s="82">
        <v>11.818</v>
      </c>
      <c r="BP10" s="82">
        <v>3.9727999999999999</v>
      </c>
      <c r="BQ10" s="82">
        <v>13.5038</v>
      </c>
      <c r="BR10" s="82">
        <v>19.501000000000001</v>
      </c>
      <c r="BS10" s="82">
        <v>29.1508</v>
      </c>
      <c r="BT10" s="82">
        <v>56.3977</v>
      </c>
      <c r="BX10" s="12">
        <f t="shared" si="2"/>
        <v>1.5542985737311072</v>
      </c>
      <c r="BY10" s="12">
        <f t="shared" si="3"/>
        <v>1.8217620046832708</v>
      </c>
      <c r="BZ10" s="12">
        <f t="shared" si="4"/>
        <v>1.6353434905574307</v>
      </c>
      <c r="CA10" s="12">
        <f t="shared" ref="CA10:CA12" si="27">AVERAGE(BX10:BY10)</f>
        <v>1.688030289207189</v>
      </c>
      <c r="CB10">
        <f t="shared" ref="CB10:CB12" si="28">STDEV(BX10:BY10)</f>
        <v>0.18912520574569475</v>
      </c>
      <c r="CC10">
        <v>3</v>
      </c>
      <c r="CD10">
        <v>3.18</v>
      </c>
      <c r="CE10" s="12">
        <f t="shared" ref="CE10:CE12" si="29">(CD10*CB10)/SQRT(CC10)</f>
        <v>0.34722893326406834</v>
      </c>
      <c r="CG10" s="12">
        <f>'0 Set 2&amp;3'!C10</f>
        <v>380.89999999999992</v>
      </c>
      <c r="CH10" s="12">
        <f>'0 Set 2&amp;3'!U10</f>
        <v>1.7528753026634387</v>
      </c>
      <c r="CI10">
        <f t="shared" si="14"/>
        <v>4.1014999999999997</v>
      </c>
      <c r="CJ10">
        <f>'0 Set 2&amp;3'!$W10</f>
        <v>4.5244999999999997</v>
      </c>
      <c r="CR10" s="37">
        <v>44480</v>
      </c>
      <c r="CS10" s="32">
        <v>0.47430555555555554</v>
      </c>
      <c r="CT10">
        <f>CT3+(24*12)+1</f>
        <v>427.43333333333334</v>
      </c>
      <c r="CU10">
        <f>23-4</f>
        <v>19</v>
      </c>
      <c r="CV10">
        <f t="shared" si="18"/>
        <v>25665</v>
      </c>
      <c r="CW10">
        <f t="shared" si="19"/>
        <v>427.75</v>
      </c>
      <c r="CX10">
        <f>(CW10-427)*60</f>
        <v>45</v>
      </c>
      <c r="CY10">
        <v>426</v>
      </c>
      <c r="DC10">
        <v>380.89999999999992</v>
      </c>
      <c r="DD10">
        <v>1.7528753026634387</v>
      </c>
    </row>
    <row r="11" spans="1:108">
      <c r="A11" s="226" t="s">
        <v>195</v>
      </c>
      <c r="B11" s="14">
        <v>44477</v>
      </c>
      <c r="C11" s="12">
        <v>354.78</v>
      </c>
      <c r="D11" s="83" t="s">
        <v>320</v>
      </c>
      <c r="E11" s="83"/>
      <c r="F11" s="83"/>
      <c r="G11" s="23">
        <v>0</v>
      </c>
      <c r="H11" s="23">
        <v>0</v>
      </c>
      <c r="I11" s="23">
        <f t="shared" si="6"/>
        <v>0</v>
      </c>
      <c r="J11" s="83">
        <v>7.0309999999999997</v>
      </c>
      <c r="K11" s="83">
        <v>123.34780000000001</v>
      </c>
      <c r="L11" s="83">
        <v>496.40609999999998</v>
      </c>
      <c r="M11" s="83">
        <v>11.808</v>
      </c>
      <c r="N11" s="83">
        <v>5.0416999999999996</v>
      </c>
      <c r="O11" s="83">
        <v>17.255700000000001</v>
      </c>
      <c r="P11" s="83">
        <v>19.510999999999999</v>
      </c>
      <c r="Q11" s="83">
        <v>25.324000000000002</v>
      </c>
      <c r="R11" s="83">
        <v>49.110500000000002</v>
      </c>
      <c r="S11" s="80">
        <v>4.3979999999999997</v>
      </c>
      <c r="T11" s="80">
        <v>0.61219999999999997</v>
      </c>
      <c r="U11" s="80">
        <v>4.2138</v>
      </c>
      <c r="V11" s="19">
        <f t="shared" si="25"/>
        <v>1.0651400419669739</v>
      </c>
      <c r="W11" s="19">
        <v>0.67069999999999996</v>
      </c>
      <c r="X11" s="23">
        <f t="shared" si="0"/>
        <v>3.3534999999999999</v>
      </c>
      <c r="Y11" s="23"/>
      <c r="Z11" s="23"/>
      <c r="AA11" s="23"/>
      <c r="AB11" s="80">
        <v>7.0309999999999997</v>
      </c>
      <c r="AC11" s="80">
        <v>121.20050000000001</v>
      </c>
      <c r="AD11" s="80">
        <v>490.87130000000002</v>
      </c>
      <c r="AE11" s="80">
        <v>11.808</v>
      </c>
      <c r="AF11" s="80">
        <v>5.0359999999999996</v>
      </c>
      <c r="AG11" s="80">
        <v>17.147099999999998</v>
      </c>
      <c r="AH11" s="80">
        <v>19.510999999999999</v>
      </c>
      <c r="AI11" s="80">
        <v>24.7728</v>
      </c>
      <c r="AJ11" s="80">
        <v>48.059399999999997</v>
      </c>
      <c r="AK11" s="81">
        <v>4.4009999999999998</v>
      </c>
      <c r="AL11" s="81">
        <v>0.75819999999999999</v>
      </c>
      <c r="AM11" s="81">
        <v>5.2662000000000004</v>
      </c>
      <c r="AN11" s="16">
        <f t="shared" si="26"/>
        <v>1.2871392512848585</v>
      </c>
      <c r="AO11" s="16">
        <v>0.72550000000000003</v>
      </c>
      <c r="AP11" s="23">
        <f t="shared" si="9"/>
        <v>3.6275000000000004</v>
      </c>
      <c r="AQ11" s="23"/>
      <c r="AR11" s="23"/>
      <c r="AS11" s="23"/>
      <c r="AT11" s="81">
        <v>7.0250000000000004</v>
      </c>
      <c r="AU11" s="81">
        <v>117.18470000000001</v>
      </c>
      <c r="AV11" s="81">
        <v>480.65789999999998</v>
      </c>
      <c r="AW11" s="81">
        <v>11.808</v>
      </c>
      <c r="AX11" s="81">
        <v>5.0082000000000004</v>
      </c>
      <c r="AY11" s="81">
        <v>17.151800000000001</v>
      </c>
      <c r="AZ11" s="81">
        <v>19.515000000000001</v>
      </c>
      <c r="BA11" s="81">
        <v>23.838100000000001</v>
      </c>
      <c r="BB11" s="81">
        <v>46.2699</v>
      </c>
      <c r="BC11" s="82">
        <v>4.3979999999999997</v>
      </c>
      <c r="BD11" s="82">
        <v>0.64959999999999996</v>
      </c>
      <c r="BE11" s="82">
        <v>4.4977999999999998</v>
      </c>
      <c r="BF11" s="18">
        <f t="shared" si="24"/>
        <v>1.1220083325730621</v>
      </c>
      <c r="BG11" s="18">
        <v>0.68469999999999998</v>
      </c>
      <c r="BH11" s="23">
        <f t="shared" si="1"/>
        <v>3.4234999999999998</v>
      </c>
      <c r="BI11" s="23"/>
      <c r="BJ11" s="23"/>
      <c r="BK11" s="23"/>
      <c r="BL11" s="82">
        <v>7.024</v>
      </c>
      <c r="BM11" s="82">
        <v>118.47539999999999</v>
      </c>
      <c r="BN11" s="82">
        <v>483.79849999999999</v>
      </c>
      <c r="BO11" s="82">
        <v>11.808</v>
      </c>
      <c r="BP11" s="82">
        <v>5.0374999999999996</v>
      </c>
      <c r="BQ11" s="82">
        <v>17.242699999999999</v>
      </c>
      <c r="BR11" s="82">
        <v>19.513999999999999</v>
      </c>
      <c r="BS11" s="82">
        <v>24.098400000000002</v>
      </c>
      <c r="BT11" s="82">
        <v>46.75</v>
      </c>
      <c r="BX11" s="12">
        <f t="shared" si="2"/>
        <v>1.0651400419669739</v>
      </c>
      <c r="BY11" s="12">
        <f t="shared" si="3"/>
        <v>1.2871392512848585</v>
      </c>
      <c r="BZ11" s="12">
        <f t="shared" si="4"/>
        <v>1.1220083325730621</v>
      </c>
      <c r="CA11" s="12">
        <f t="shared" si="27"/>
        <v>1.1761396466259162</v>
      </c>
      <c r="CB11">
        <f t="shared" si="28"/>
        <v>0.15697714632672802</v>
      </c>
      <c r="CC11">
        <v>3</v>
      </c>
      <c r="CD11">
        <v>3.18</v>
      </c>
      <c r="CE11" s="12">
        <f t="shared" si="29"/>
        <v>0.28820593664897115</v>
      </c>
      <c r="CG11" s="12">
        <f>'0 Set 2&amp;3'!C11</f>
        <v>459.88333333333327</v>
      </c>
      <c r="CH11" s="12">
        <f>'0 Set 2&amp;3'!U11</f>
        <v>1.4131355932203391</v>
      </c>
      <c r="CI11">
        <f t="shared" si="14"/>
        <v>3.4681666666666668</v>
      </c>
      <c r="CJ11">
        <f>'0 Set 2&amp;3'!$W11</f>
        <v>4.1025</v>
      </c>
      <c r="CR11" s="37">
        <v>44482</v>
      </c>
      <c r="CS11" s="32">
        <v>0.42569444444444443</v>
      </c>
      <c r="CT11">
        <f>CW10+(24*2)-1</f>
        <v>474.75</v>
      </c>
      <c r="CU11">
        <v>-10</v>
      </c>
      <c r="CV11">
        <f t="shared" ref="CV11:CV13" si="30">(CT11*60)+CU11</f>
        <v>28475</v>
      </c>
      <c r="CW11">
        <f t="shared" ref="CW11:CW13" si="31">CV11/60</f>
        <v>474.58333333333331</v>
      </c>
      <c r="CX11">
        <f>(CW11-474)*60</f>
        <v>34.999999999998863</v>
      </c>
      <c r="CY11">
        <v>474</v>
      </c>
      <c r="DC11">
        <v>459.88333333333327</v>
      </c>
      <c r="DD11">
        <v>1.4131355932203391</v>
      </c>
    </row>
    <row r="12" spans="1:108">
      <c r="A12" s="226" t="s">
        <v>195</v>
      </c>
      <c r="B12" s="14">
        <v>44480</v>
      </c>
      <c r="C12" s="12">
        <v>427.75</v>
      </c>
      <c r="D12" s="83">
        <v>4.3879999999999999</v>
      </c>
      <c r="E12" s="83">
        <v>4.5600000000000002E-2</v>
      </c>
      <c r="F12" s="83">
        <v>0.32569999999999999</v>
      </c>
      <c r="G12" s="23">
        <f>((E12+0.0883)/3.2883)*5</f>
        <v>0.20360064471003259</v>
      </c>
      <c r="H12" s="23">
        <v>0.4577</v>
      </c>
      <c r="I12" s="23">
        <f t="shared" si="6"/>
        <v>2.2885</v>
      </c>
      <c r="J12" s="83">
        <v>7.0350000000000001</v>
      </c>
      <c r="K12" s="83">
        <v>137.55869999999999</v>
      </c>
      <c r="L12" s="83">
        <v>526.8886</v>
      </c>
      <c r="M12" s="83">
        <v>11.795</v>
      </c>
      <c r="N12" s="83">
        <v>7.0792000000000002</v>
      </c>
      <c r="O12" s="83">
        <v>24.364100000000001</v>
      </c>
      <c r="P12" s="83">
        <v>19.498000000000001</v>
      </c>
      <c r="Q12" s="83">
        <v>26.854399999999998</v>
      </c>
      <c r="R12" s="83">
        <v>52.068399999999997</v>
      </c>
      <c r="S12" s="80">
        <v>4.3879999999999999</v>
      </c>
      <c r="T12" s="80">
        <v>0.49230000000000002</v>
      </c>
      <c r="U12" s="80">
        <v>3.1705000000000001</v>
      </c>
      <c r="V12" s="19">
        <f t="shared" si="25"/>
        <v>0.88282699267098508</v>
      </c>
      <c r="W12" s="19">
        <v>0.62560000000000004</v>
      </c>
      <c r="X12" s="23">
        <f t="shared" si="0"/>
        <v>3.1280000000000001</v>
      </c>
      <c r="Y12" s="23"/>
      <c r="Z12" s="23"/>
      <c r="AA12" s="23"/>
      <c r="AB12" s="80">
        <v>7.0350000000000001</v>
      </c>
      <c r="AC12" s="80">
        <v>138.8193</v>
      </c>
      <c r="AD12" s="80">
        <v>530.38679999999999</v>
      </c>
      <c r="AE12" s="80">
        <v>11.791</v>
      </c>
      <c r="AF12" s="80">
        <v>7.0964999999999998</v>
      </c>
      <c r="AG12" s="80">
        <v>24.438700000000001</v>
      </c>
      <c r="AH12" s="80">
        <v>19.488</v>
      </c>
      <c r="AI12" s="80">
        <v>27.2789</v>
      </c>
      <c r="AJ12" s="80">
        <v>52.880499999999998</v>
      </c>
      <c r="AK12" s="81">
        <v>4.3879999999999999</v>
      </c>
      <c r="AL12" s="81">
        <v>0.60160000000000002</v>
      </c>
      <c r="AM12" s="81">
        <v>3.9119000000000002</v>
      </c>
      <c r="AN12" s="16">
        <f t="shared" si="26"/>
        <v>1.0490222911534837</v>
      </c>
      <c r="AO12" s="16">
        <v>0.66669999999999996</v>
      </c>
      <c r="AP12" s="23">
        <f t="shared" si="9"/>
        <v>3.3334999999999999</v>
      </c>
      <c r="AQ12" s="23"/>
      <c r="AR12" s="23"/>
      <c r="AS12" s="23"/>
      <c r="AT12" s="81">
        <v>7.0309999999999997</v>
      </c>
      <c r="AU12" s="81">
        <v>133.49700000000001</v>
      </c>
      <c r="AV12" s="81">
        <v>517.52610000000004</v>
      </c>
      <c r="AW12" s="81">
        <v>11.791</v>
      </c>
      <c r="AX12" s="81">
        <v>7.0606</v>
      </c>
      <c r="AY12" s="81">
        <v>24.3124</v>
      </c>
      <c r="AZ12" s="81">
        <v>19.495000000000001</v>
      </c>
      <c r="BA12" s="81">
        <v>26.0839</v>
      </c>
      <c r="BB12" s="81">
        <v>50.597900000000003</v>
      </c>
      <c r="BC12" s="82">
        <v>4.3879999999999999</v>
      </c>
      <c r="BD12" s="82">
        <v>0.58709999999999996</v>
      </c>
      <c r="BE12" s="82">
        <v>3.8081999999999998</v>
      </c>
      <c r="BF12" s="18">
        <f t="shared" si="24"/>
        <v>1.0269744244746526</v>
      </c>
      <c r="BG12" s="18">
        <v>0.66120000000000001</v>
      </c>
      <c r="BH12" s="23">
        <f t="shared" si="1"/>
        <v>3.306</v>
      </c>
      <c r="BI12" s="23"/>
      <c r="BJ12" s="23"/>
      <c r="BK12" s="23"/>
      <c r="BL12" s="82">
        <v>7.0339999999999998</v>
      </c>
      <c r="BM12" s="82">
        <v>138.43199999999999</v>
      </c>
      <c r="BN12" s="82">
        <v>530.14080000000001</v>
      </c>
      <c r="BO12" s="82">
        <v>11.788</v>
      </c>
      <c r="BP12" s="82">
        <v>7.1148999999999996</v>
      </c>
      <c r="BQ12" s="82">
        <v>24.564299999999999</v>
      </c>
      <c r="BR12" s="82">
        <v>19.491</v>
      </c>
      <c r="BS12" s="82">
        <v>27.202500000000001</v>
      </c>
      <c r="BT12" s="82">
        <v>52.780099999999997</v>
      </c>
      <c r="BX12" s="12">
        <f t="shared" si="2"/>
        <v>0.88282699267098508</v>
      </c>
      <c r="BY12" s="12">
        <f t="shared" si="3"/>
        <v>1.0490222911534837</v>
      </c>
      <c r="BZ12" s="12">
        <f t="shared" si="4"/>
        <v>1.0269744244746526</v>
      </c>
      <c r="CA12" s="12">
        <f t="shared" si="27"/>
        <v>0.96592464191223437</v>
      </c>
      <c r="CB12">
        <f t="shared" si="28"/>
        <v>0.11751782255829708</v>
      </c>
      <c r="CC12">
        <v>3</v>
      </c>
      <c r="CD12">
        <v>3.18</v>
      </c>
      <c r="CE12" s="12">
        <f t="shared" si="29"/>
        <v>0.21575964983378457</v>
      </c>
      <c r="CG12" s="12">
        <f>'0 Set 2&amp;3'!C12</f>
        <v>507.81666666666661</v>
      </c>
      <c r="CH12" s="12">
        <f>'0 Set 2&amp;3'!U12</f>
        <v>2.1176098354727904</v>
      </c>
      <c r="CI12">
        <f t="shared" si="14"/>
        <v>3.2558333333333334</v>
      </c>
      <c r="CJ12">
        <f>'0 Set 2&amp;3'!$W12</f>
        <v>4.7584999999999997</v>
      </c>
      <c r="CR12" s="37">
        <v>44483</v>
      </c>
      <c r="CS12" s="32">
        <v>0.39027777777777778</v>
      </c>
      <c r="CT12">
        <f>CW11+24-1</f>
        <v>497.58333333333331</v>
      </c>
      <c r="CU12">
        <v>9</v>
      </c>
      <c r="CV12">
        <f t="shared" si="30"/>
        <v>29864</v>
      </c>
      <c r="CW12">
        <f t="shared" si="31"/>
        <v>497.73333333333335</v>
      </c>
      <c r="CX12">
        <f>(CW12-497)*60</f>
        <v>44.000000000000909</v>
      </c>
      <c r="CY12">
        <v>497</v>
      </c>
      <c r="DC12">
        <v>507.81666666666661</v>
      </c>
      <c r="DD12">
        <v>2.1176098354727904</v>
      </c>
    </row>
    <row r="13" spans="1:108">
      <c r="A13" s="226" t="s">
        <v>221</v>
      </c>
      <c r="B13" s="14">
        <v>44482</v>
      </c>
      <c r="C13" s="12">
        <v>474.26666666666665</v>
      </c>
      <c r="D13" s="131">
        <v>4.3609999999999998</v>
      </c>
      <c r="E13" s="131">
        <v>0.10580000000000001</v>
      </c>
      <c r="F13" s="131">
        <v>0.56879999999999997</v>
      </c>
      <c r="G13" s="23">
        <f>((E13-0.0995)/3.2569)*5</f>
        <v>9.6717737726058524E-3</v>
      </c>
      <c r="H13" s="23">
        <v>0.4803</v>
      </c>
      <c r="I13" s="23">
        <f t="shared" si="6"/>
        <v>2.4015</v>
      </c>
      <c r="J13" s="131">
        <v>6.9249999999999998</v>
      </c>
      <c r="K13" s="131">
        <v>123.093</v>
      </c>
      <c r="L13" s="131">
        <v>481.21100000000001</v>
      </c>
      <c r="M13" s="131">
        <v>11.577999999999999</v>
      </c>
      <c r="N13" s="131">
        <v>8.8315999999999999</v>
      </c>
      <c r="O13" s="131">
        <v>30.145299999999999</v>
      </c>
      <c r="P13" s="131">
        <v>19.085000000000001</v>
      </c>
      <c r="Q13" s="131">
        <v>22.869199999999999</v>
      </c>
      <c r="R13" s="131">
        <v>44.837899999999998</v>
      </c>
      <c r="S13" s="128">
        <v>4.3609999999999998</v>
      </c>
      <c r="T13" s="128">
        <v>1.2888999999999999</v>
      </c>
      <c r="U13" s="128">
        <v>5.8207000000000004</v>
      </c>
      <c r="V13" s="19">
        <f t="shared" ref="V13:V15" si="32">((T13-0.0995)/3.2569)*5</f>
        <v>1.8259694801805399</v>
      </c>
      <c r="W13" s="19">
        <v>0.92500000000000004</v>
      </c>
      <c r="X13" s="23">
        <f t="shared" si="0"/>
        <v>4.625</v>
      </c>
      <c r="Y13" s="23"/>
      <c r="Z13" s="23"/>
      <c r="AA13" s="23"/>
      <c r="AB13" s="128">
        <v>6.944</v>
      </c>
      <c r="AC13" s="128">
        <v>138.4658</v>
      </c>
      <c r="AD13" s="128">
        <v>527.94389999999999</v>
      </c>
      <c r="AE13" s="128">
        <v>11.581</v>
      </c>
      <c r="AF13" s="128">
        <v>8.2994000000000003</v>
      </c>
      <c r="AG13" s="128">
        <v>28.1997</v>
      </c>
      <c r="AH13" s="128">
        <v>19.068000000000001</v>
      </c>
      <c r="AI13" s="128">
        <v>27.098700000000001</v>
      </c>
      <c r="AJ13" s="128">
        <v>53.0077</v>
      </c>
      <c r="AK13" s="129">
        <v>4.3609999999999998</v>
      </c>
      <c r="AL13" s="129">
        <v>1.1768000000000001</v>
      </c>
      <c r="AM13" s="129">
        <v>6.5902000000000003</v>
      </c>
      <c r="AN13" s="16">
        <f t="shared" ref="AN13:AN15" si="33">((AL13-0.0995)/3.2569)*5</f>
        <v>1.6538733151156011</v>
      </c>
      <c r="AO13" s="16">
        <v>0.88290000000000002</v>
      </c>
      <c r="AP13" s="23">
        <f t="shared" si="9"/>
        <v>4.4145000000000003</v>
      </c>
      <c r="AQ13" s="23"/>
      <c r="AR13" s="23"/>
      <c r="AS13" s="23"/>
      <c r="AT13" s="129">
        <v>6.9379999999999997</v>
      </c>
      <c r="AU13" s="129">
        <v>135.55860000000001</v>
      </c>
      <c r="AV13" s="129">
        <v>519.11120000000005</v>
      </c>
      <c r="AW13" s="129">
        <v>11.574</v>
      </c>
      <c r="AX13" s="129">
        <v>8.5425000000000004</v>
      </c>
      <c r="AY13" s="129">
        <v>29.0411</v>
      </c>
      <c r="AZ13" s="129">
        <v>19.064</v>
      </c>
      <c r="BA13" s="129">
        <v>26.427700000000002</v>
      </c>
      <c r="BB13" s="129">
        <v>51.701099999999997</v>
      </c>
      <c r="BC13" s="130">
        <v>4.3609999999999998</v>
      </c>
      <c r="BD13" s="130">
        <v>1.1976</v>
      </c>
      <c r="BE13" s="130">
        <v>6.3449</v>
      </c>
      <c r="BF13" s="18">
        <f t="shared" ref="BF13:BF15" si="34">((BD13-0.0995)/3.2569)*5</f>
        <v>1.6858055205870615</v>
      </c>
      <c r="BG13" s="18">
        <v>0.89070000000000005</v>
      </c>
      <c r="BH13" s="23">
        <f t="shared" si="1"/>
        <v>4.4535</v>
      </c>
      <c r="BI13" s="23"/>
      <c r="BJ13" s="23"/>
      <c r="BK13" s="23"/>
      <c r="BL13" s="130">
        <v>6.9379999999999997</v>
      </c>
      <c r="BM13" s="130">
        <v>134.06049999999999</v>
      </c>
      <c r="BN13" s="130">
        <v>515.73050000000001</v>
      </c>
      <c r="BO13" s="130">
        <v>11.577999999999999</v>
      </c>
      <c r="BP13" s="130">
        <v>8.5068000000000001</v>
      </c>
      <c r="BQ13" s="130">
        <v>28.930399999999999</v>
      </c>
      <c r="BR13" s="130">
        <v>19.065000000000001</v>
      </c>
      <c r="BS13" s="130">
        <v>27.251300000000001</v>
      </c>
      <c r="BT13" s="130">
        <v>52.491399999999999</v>
      </c>
      <c r="BX13" s="12">
        <f t="shared" si="2"/>
        <v>1.8259694801805399</v>
      </c>
      <c r="BY13" s="12">
        <f t="shared" si="3"/>
        <v>1.6538733151156011</v>
      </c>
      <c r="BZ13" s="12">
        <f t="shared" si="4"/>
        <v>1.6858055205870615</v>
      </c>
      <c r="CA13" s="12">
        <f t="shared" ref="CA13:CA15" si="35">AVERAGE(BX13:BY13)</f>
        <v>1.7399213976480705</v>
      </c>
      <c r="CB13">
        <f t="shared" ref="CB13:CB15" si="36">STDEV(BX13:BY13)</f>
        <v>0.12169036533361768</v>
      </c>
      <c r="CC13">
        <v>3</v>
      </c>
      <c r="CD13">
        <v>3.18</v>
      </c>
      <c r="CE13" s="12">
        <f t="shared" ref="CE13:CE15" si="37">(CD13*CB13)/SQRT(CC13)</f>
        <v>0.2234203292824109</v>
      </c>
      <c r="CG13" s="12">
        <f>'0 Set 2&amp;3'!C13</f>
        <v>625.1</v>
      </c>
      <c r="CH13" s="12">
        <f>'0 Set 2&amp;3'!U13</f>
        <v>1.5559271982161151</v>
      </c>
      <c r="CI13">
        <f t="shared" si="14"/>
        <v>4.4976666666666665</v>
      </c>
      <c r="CJ13">
        <f>'0 Set 2&amp;3'!$W13</f>
        <v>4.0579999999999998</v>
      </c>
      <c r="CQ13" t="s">
        <v>276</v>
      </c>
      <c r="CR13" s="37">
        <v>44487</v>
      </c>
      <c r="CS13" s="32">
        <v>0.10347222222222223</v>
      </c>
      <c r="CT13">
        <f>CW12+(24*4)+5</f>
        <v>598.73333333333335</v>
      </c>
      <c r="CU13">
        <v>7</v>
      </c>
      <c r="CV13">
        <f t="shared" si="30"/>
        <v>35931</v>
      </c>
      <c r="CW13">
        <f t="shared" si="31"/>
        <v>598.85</v>
      </c>
      <c r="CX13">
        <f>(CW13-598)*60</f>
        <v>51.000000000001364</v>
      </c>
      <c r="CY13">
        <v>598</v>
      </c>
      <c r="DC13">
        <v>625.1</v>
      </c>
      <c r="DD13">
        <v>1.5559271982161151</v>
      </c>
    </row>
    <row r="14" spans="1:108">
      <c r="A14" s="226" t="s">
        <v>221</v>
      </c>
      <c r="B14" s="14">
        <v>44483</v>
      </c>
      <c r="C14" s="12">
        <v>497.58333333333331</v>
      </c>
      <c r="D14" s="131">
        <v>4.3540000000000001</v>
      </c>
      <c r="E14" s="131">
        <v>4.99E-2</v>
      </c>
      <c r="F14" s="131">
        <v>0.20080000000000001</v>
      </c>
      <c r="G14" s="23">
        <v>0</v>
      </c>
      <c r="H14" s="23">
        <v>0.45939999999999998</v>
      </c>
      <c r="I14" s="23">
        <f t="shared" si="6"/>
        <v>2.2969999999999997</v>
      </c>
      <c r="J14" s="131">
        <v>6.9610000000000003</v>
      </c>
      <c r="K14" s="131">
        <v>176.18379999999999</v>
      </c>
      <c r="L14" s="131">
        <v>584.56320000000005</v>
      </c>
      <c r="M14" s="131">
        <v>11.587999999999999</v>
      </c>
      <c r="N14" s="131">
        <v>2.2248999999999999</v>
      </c>
      <c r="O14" s="131">
        <v>7.3133999999999997</v>
      </c>
      <c r="P14" s="131">
        <v>19.013999999999999</v>
      </c>
      <c r="Q14" s="131">
        <v>34.8626</v>
      </c>
      <c r="R14" s="131">
        <v>67.637900000000002</v>
      </c>
      <c r="S14" s="128">
        <v>4.3479999999999999</v>
      </c>
      <c r="T14" s="128">
        <v>0.7117</v>
      </c>
      <c r="U14" s="128">
        <v>3.0137</v>
      </c>
      <c r="V14" s="19">
        <f t="shared" si="32"/>
        <v>0.93985077834750841</v>
      </c>
      <c r="W14" s="19">
        <v>0.70809999999999995</v>
      </c>
      <c r="X14" s="23">
        <f t="shared" si="0"/>
        <v>3.5404999999999998</v>
      </c>
      <c r="Y14" s="23"/>
      <c r="Z14" s="23"/>
      <c r="AA14" s="23"/>
      <c r="AB14" s="128">
        <v>6.9580000000000002</v>
      </c>
      <c r="AC14" s="128">
        <v>175.91470000000001</v>
      </c>
      <c r="AD14" s="128">
        <v>585.09649999999999</v>
      </c>
      <c r="AE14" s="128">
        <v>11.584</v>
      </c>
      <c r="AF14" s="128">
        <v>2.2637</v>
      </c>
      <c r="AG14" s="128">
        <v>7.4419000000000004</v>
      </c>
      <c r="AH14" s="128">
        <v>19.010999999999999</v>
      </c>
      <c r="AI14" s="128">
        <v>34.991900000000001</v>
      </c>
      <c r="AJ14" s="128">
        <v>67.876000000000005</v>
      </c>
      <c r="AK14" s="129">
        <v>4.351</v>
      </c>
      <c r="AL14" s="129">
        <v>0.76900000000000002</v>
      </c>
      <c r="AM14" s="129">
        <v>3.3420999999999998</v>
      </c>
      <c r="AN14" s="16">
        <f t="shared" si="33"/>
        <v>1.0278178636126378</v>
      </c>
      <c r="AO14" s="16">
        <v>0.72960000000000003</v>
      </c>
      <c r="AP14" s="23">
        <f t="shared" si="9"/>
        <v>3.6480000000000001</v>
      </c>
      <c r="AQ14" s="23"/>
      <c r="AR14" s="23"/>
      <c r="AS14" s="23"/>
      <c r="AT14" s="129">
        <v>6.9649999999999999</v>
      </c>
      <c r="AU14" s="129">
        <v>176.6688</v>
      </c>
      <c r="AV14" s="129">
        <v>586.90539999999999</v>
      </c>
      <c r="AW14" s="129">
        <v>11.587999999999999</v>
      </c>
      <c r="AX14" s="129">
        <v>2.27</v>
      </c>
      <c r="AY14" s="129">
        <v>7.4642999999999997</v>
      </c>
      <c r="AZ14" s="129">
        <v>19.015000000000001</v>
      </c>
      <c r="BA14" s="129">
        <v>35.147300000000001</v>
      </c>
      <c r="BB14" s="129">
        <v>68.167299999999997</v>
      </c>
      <c r="BC14" s="130">
        <v>4.3479999999999999</v>
      </c>
      <c r="BD14" s="130">
        <v>0.72089999999999999</v>
      </c>
      <c r="BE14" s="130">
        <v>3.129</v>
      </c>
      <c r="BF14" s="18">
        <f t="shared" si="34"/>
        <v>0.95397463845988517</v>
      </c>
      <c r="BG14" s="18">
        <v>0.71150000000000002</v>
      </c>
      <c r="BH14" s="23">
        <f t="shared" si="1"/>
        <v>3.5575000000000001</v>
      </c>
      <c r="BI14" s="23"/>
      <c r="BJ14" s="23"/>
      <c r="BK14" s="23"/>
      <c r="BL14" s="130">
        <v>6.9550000000000001</v>
      </c>
      <c r="BM14" s="130">
        <v>167.61590000000001</v>
      </c>
      <c r="BN14" s="130">
        <v>567.16489999999999</v>
      </c>
      <c r="BO14" s="130">
        <v>11.587999999999999</v>
      </c>
      <c r="BP14" s="130">
        <v>2.1619000000000002</v>
      </c>
      <c r="BQ14" s="130">
        <v>7.1040999999999999</v>
      </c>
      <c r="BR14" s="130">
        <v>19.018000000000001</v>
      </c>
      <c r="BS14" s="130">
        <v>33.168999999999997</v>
      </c>
      <c r="BT14" s="130">
        <v>64.481399999999994</v>
      </c>
      <c r="BX14" s="12">
        <f t="shared" si="2"/>
        <v>0.93985077834750841</v>
      </c>
      <c r="BY14" s="12">
        <f t="shared" si="3"/>
        <v>1.0278178636126378</v>
      </c>
      <c r="BZ14" s="12">
        <f t="shared" si="4"/>
        <v>0.95397463845988517</v>
      </c>
      <c r="CA14" s="12">
        <f t="shared" si="35"/>
        <v>0.98383432098007306</v>
      </c>
      <c r="CB14">
        <f t="shared" si="36"/>
        <v>6.2202122512188242E-2</v>
      </c>
      <c r="CC14">
        <v>3</v>
      </c>
      <c r="CD14">
        <v>3.18</v>
      </c>
      <c r="CE14" s="12">
        <f t="shared" si="37"/>
        <v>0.11420147072151794</v>
      </c>
      <c r="CG14" s="12">
        <f>'0 Set 2&amp;3'!C14</f>
        <v>717.73333333333335</v>
      </c>
      <c r="CH14" s="12">
        <f>'0 Set 2&amp;3'!U14</f>
        <v>2.0446875188332432</v>
      </c>
      <c r="CI14">
        <f t="shared" si="14"/>
        <v>3.5820000000000003</v>
      </c>
      <c r="CJ14">
        <f>'0 Set 2&amp;3'!$W14</f>
        <v>4.6680000000000001</v>
      </c>
      <c r="CQ14" t="s">
        <v>275</v>
      </c>
      <c r="CR14" s="14">
        <v>44489</v>
      </c>
      <c r="CS14" s="32">
        <v>0.45347222222222222</v>
      </c>
      <c r="CT14">
        <f>CW13+(24*2)-4</f>
        <v>642.85</v>
      </c>
      <c r="CU14">
        <f>53-29</f>
        <v>24</v>
      </c>
      <c r="CV14">
        <f t="shared" ref="CV14" si="38">(CT14*60)+CU14</f>
        <v>38595</v>
      </c>
      <c r="CW14">
        <f t="shared" ref="CW14" si="39">CV14/60</f>
        <v>643.25</v>
      </c>
      <c r="CX14">
        <f>(CW14-CY14)*60</f>
        <v>15</v>
      </c>
      <c r="CY14">
        <v>643</v>
      </c>
      <c r="DC14">
        <v>717.73333333333335</v>
      </c>
      <c r="DD14">
        <v>2.0446875188332432</v>
      </c>
    </row>
    <row r="15" spans="1:108">
      <c r="A15" s="226" t="s">
        <v>221</v>
      </c>
      <c r="B15" s="14">
        <v>44487</v>
      </c>
      <c r="C15" s="12">
        <v>598.85</v>
      </c>
      <c r="D15" s="131">
        <v>4.351</v>
      </c>
      <c r="E15" s="131">
        <v>0.13200000000000001</v>
      </c>
      <c r="F15" s="131">
        <v>0.69930000000000003</v>
      </c>
      <c r="G15" s="23">
        <f t="shared" ref="G15" si="40">((E15-0.0995)/3.2569)*5</f>
        <v>4.9894071049157177E-2</v>
      </c>
      <c r="H15" s="23">
        <v>0.49020000000000002</v>
      </c>
      <c r="I15" s="23">
        <f t="shared" si="6"/>
        <v>2.4510000000000001</v>
      </c>
      <c r="J15" s="131">
        <v>6.9809999999999999</v>
      </c>
      <c r="K15" s="131">
        <v>191.26429999999999</v>
      </c>
      <c r="L15" s="131">
        <v>627.76649999999995</v>
      </c>
      <c r="M15" s="131">
        <v>11.567</v>
      </c>
      <c r="N15" s="131">
        <v>8.9232999999999993</v>
      </c>
      <c r="O15" s="131">
        <v>30.330500000000001</v>
      </c>
      <c r="P15" s="131">
        <v>19.010999999999999</v>
      </c>
      <c r="Q15" s="131">
        <v>35.9163</v>
      </c>
      <c r="R15" s="131">
        <v>69.6494</v>
      </c>
      <c r="S15" s="128">
        <v>4.351</v>
      </c>
      <c r="T15" s="128">
        <v>0.877</v>
      </c>
      <c r="U15" s="128">
        <v>4.8228</v>
      </c>
      <c r="V15" s="19">
        <f t="shared" si="32"/>
        <v>1.1936196997144524</v>
      </c>
      <c r="W15" s="19">
        <v>0.7702</v>
      </c>
      <c r="X15" s="23">
        <f t="shared" si="0"/>
        <v>3.851</v>
      </c>
      <c r="Y15" s="23"/>
      <c r="Z15" s="23"/>
      <c r="AA15" s="23"/>
      <c r="AB15" s="128">
        <v>6.9770000000000003</v>
      </c>
      <c r="AC15" s="128">
        <v>187.0658</v>
      </c>
      <c r="AD15" s="128">
        <v>619.32529999999997</v>
      </c>
      <c r="AE15" s="128">
        <v>11.567</v>
      </c>
      <c r="AF15" s="128">
        <v>8.9882000000000009</v>
      </c>
      <c r="AG15" s="128">
        <v>30.5777</v>
      </c>
      <c r="AH15" s="128">
        <v>19.010999999999999</v>
      </c>
      <c r="AI15" s="128">
        <v>35.180900000000001</v>
      </c>
      <c r="AJ15" s="128">
        <v>68.303399999999996</v>
      </c>
      <c r="AK15" s="129">
        <v>4.351</v>
      </c>
      <c r="AL15" s="129">
        <v>1.1399999999999999</v>
      </c>
      <c r="AM15" s="129">
        <v>6.2882999999999996</v>
      </c>
      <c r="AN15" s="16">
        <f t="shared" si="33"/>
        <v>1.5973778746660936</v>
      </c>
      <c r="AO15" s="16">
        <v>0.86899999999999999</v>
      </c>
      <c r="AP15" s="23">
        <f t="shared" si="9"/>
        <v>4.3449999999999998</v>
      </c>
      <c r="AQ15" s="23"/>
      <c r="AR15" s="23"/>
      <c r="AS15" s="23"/>
      <c r="AT15" s="129">
        <v>6.9779999999999998</v>
      </c>
      <c r="AU15" s="129">
        <v>191.98070000000001</v>
      </c>
      <c r="AV15" s="129">
        <v>629.70219999999995</v>
      </c>
      <c r="AW15" s="129">
        <v>11.564</v>
      </c>
      <c r="AX15" s="129">
        <v>8.9925999999999995</v>
      </c>
      <c r="AY15" s="129">
        <v>30.582000000000001</v>
      </c>
      <c r="AZ15" s="129">
        <v>19.004000000000001</v>
      </c>
      <c r="BA15" s="129">
        <v>36.262900000000002</v>
      </c>
      <c r="BB15" s="129">
        <v>70.321600000000004</v>
      </c>
      <c r="BC15" s="130">
        <v>4.351</v>
      </c>
      <c r="BD15" s="130">
        <v>0.92349999999999999</v>
      </c>
      <c r="BE15" s="130">
        <v>5.0316999999999998</v>
      </c>
      <c r="BF15" s="18">
        <f t="shared" si="34"/>
        <v>1.2650066013694004</v>
      </c>
      <c r="BG15" s="18">
        <v>0.78759999999999997</v>
      </c>
      <c r="BH15" s="23">
        <f t="shared" si="1"/>
        <v>3.9379999999999997</v>
      </c>
      <c r="BI15" s="23"/>
      <c r="BJ15" s="23"/>
      <c r="BK15" s="23"/>
      <c r="BL15" s="130">
        <v>6.984</v>
      </c>
      <c r="BM15" s="130">
        <v>196.70750000000001</v>
      </c>
      <c r="BN15" s="130">
        <v>639.68849999999998</v>
      </c>
      <c r="BO15" s="130">
        <v>11.568</v>
      </c>
      <c r="BP15" s="130">
        <v>9.0408000000000008</v>
      </c>
      <c r="BQ15" s="130">
        <v>30.7682</v>
      </c>
      <c r="BR15" s="130">
        <v>19.004000000000001</v>
      </c>
      <c r="BS15" s="130">
        <v>37.337499999999999</v>
      </c>
      <c r="BT15" s="130">
        <v>72.316400000000002</v>
      </c>
      <c r="BX15" s="12">
        <f t="shared" si="2"/>
        <v>1.1936196997144524</v>
      </c>
      <c r="BY15" s="12">
        <f t="shared" si="3"/>
        <v>1.5973778746660936</v>
      </c>
      <c r="BZ15" s="12">
        <f t="shared" si="4"/>
        <v>1.2650066013694004</v>
      </c>
      <c r="CA15" s="12">
        <f t="shared" si="35"/>
        <v>1.3954987871902729</v>
      </c>
      <c r="CB15">
        <f t="shared" si="36"/>
        <v>0.28550014346781061</v>
      </c>
      <c r="CC15">
        <v>3</v>
      </c>
      <c r="CD15">
        <v>3.18</v>
      </c>
      <c r="CE15" s="12">
        <f t="shared" si="37"/>
        <v>0.52417079929771881</v>
      </c>
      <c r="CG15" s="12">
        <f>'0 Set 2&amp;3'!C15</f>
        <v>790.18333333333328</v>
      </c>
      <c r="CH15" s="12">
        <f>'0 Set 2&amp;3'!U15</f>
        <v>1.8264113922169036</v>
      </c>
      <c r="CI15">
        <f t="shared" si="14"/>
        <v>4.0446666666666671</v>
      </c>
      <c r="CJ15">
        <f>'0 Set 2&amp;3'!$W15</f>
        <v>4.3864999999999998</v>
      </c>
      <c r="CQ15" t="s">
        <v>274</v>
      </c>
      <c r="CR15" s="14">
        <v>44490</v>
      </c>
      <c r="CS15" s="32">
        <v>0.47361111111111115</v>
      </c>
      <c r="CT15">
        <f>CW14+24</f>
        <v>667.25</v>
      </c>
      <c r="CU15">
        <f>22+7</f>
        <v>29</v>
      </c>
      <c r="CV15">
        <f t="shared" ref="CV15:CV21" si="41">(CT15*60)+CU15</f>
        <v>40064</v>
      </c>
      <c r="CW15">
        <f t="shared" ref="CW15:CW21" si="42">CV15/60</f>
        <v>667.73333333333335</v>
      </c>
      <c r="CX15">
        <f t="shared" ref="CX15:CX21" si="43">(CW15-CY15)*60</f>
        <v>44.000000000000909</v>
      </c>
      <c r="CY15">
        <v>667</v>
      </c>
      <c r="DC15">
        <v>790.18333333333328</v>
      </c>
      <c r="DD15">
        <v>1.8264113922169036</v>
      </c>
    </row>
    <row r="16" spans="1:108">
      <c r="A16" s="226" t="s">
        <v>239</v>
      </c>
      <c r="B16" s="14">
        <v>44489</v>
      </c>
      <c r="C16" s="12">
        <v>643.25</v>
      </c>
      <c r="D16" s="83">
        <v>4.3680000000000003</v>
      </c>
      <c r="E16" s="83">
        <v>0.14019999999999999</v>
      </c>
      <c r="F16" s="83">
        <v>0.69479999999999997</v>
      </c>
      <c r="G16" s="23">
        <f>((E16-0.1061)/3.191)*5</f>
        <v>5.3431526167345644E-2</v>
      </c>
      <c r="H16" s="23">
        <v>0.49330000000000002</v>
      </c>
      <c r="I16" s="23">
        <f t="shared" si="6"/>
        <v>2.4664999999999999</v>
      </c>
      <c r="J16" s="131">
        <v>6.9710000000000001</v>
      </c>
      <c r="K16" s="131">
        <v>183.571</v>
      </c>
      <c r="L16" s="131">
        <v>609.28480000000002</v>
      </c>
      <c r="M16" s="83">
        <v>11.531000000000001</v>
      </c>
      <c r="N16" s="83">
        <v>10.6379</v>
      </c>
      <c r="O16" s="83">
        <v>36.3581</v>
      </c>
      <c r="P16" s="83">
        <v>18.965</v>
      </c>
      <c r="Q16" s="83">
        <v>32.822499999999998</v>
      </c>
      <c r="R16" s="83">
        <v>64.063500000000005</v>
      </c>
      <c r="S16" s="80">
        <v>4.3680000000000003</v>
      </c>
      <c r="T16" s="80">
        <v>0.76749999999999996</v>
      </c>
      <c r="U16" s="80">
        <v>3.9239999999999999</v>
      </c>
      <c r="V16" s="19">
        <f t="shared" ref="V16:V18" si="44">((T16-0.1061)/3.191)*5</f>
        <v>1.0363522406769037</v>
      </c>
      <c r="W16" s="19">
        <v>0.72899999999999998</v>
      </c>
      <c r="X16" s="23">
        <f t="shared" si="0"/>
        <v>3.645</v>
      </c>
      <c r="Y16" s="23"/>
      <c r="Z16" s="23"/>
      <c r="AA16" s="23"/>
      <c r="AB16" s="128">
        <v>6.9710000000000001</v>
      </c>
      <c r="AC16" s="128">
        <v>183.7405</v>
      </c>
      <c r="AD16" s="128">
        <v>609.37379999999996</v>
      </c>
      <c r="AE16" s="80">
        <v>11.531000000000001</v>
      </c>
      <c r="AF16" s="80">
        <v>10.665800000000001</v>
      </c>
      <c r="AG16" s="80">
        <v>36.477899999999998</v>
      </c>
      <c r="AH16" s="80">
        <v>18.968</v>
      </c>
      <c r="AI16" s="80">
        <v>32.375999999999998</v>
      </c>
      <c r="AJ16" s="80">
        <v>63.213200000000001</v>
      </c>
      <c r="AK16" s="81">
        <v>4.3680000000000003</v>
      </c>
      <c r="AL16" s="81">
        <v>1.2422</v>
      </c>
      <c r="AM16" s="81">
        <v>5.4535</v>
      </c>
      <c r="AN16" s="16">
        <f t="shared" ref="AN16:AN18" si="45">((AL16-0.1061)/3.191)*5</f>
        <v>1.7801629583202758</v>
      </c>
      <c r="AO16" s="16">
        <v>0.90739999999999998</v>
      </c>
      <c r="AP16" s="23">
        <f t="shared" si="9"/>
        <v>4.5369999999999999</v>
      </c>
      <c r="AQ16" s="23"/>
      <c r="AR16" s="23"/>
      <c r="AS16" s="23"/>
      <c r="AT16" s="129">
        <v>6.9809999999999999</v>
      </c>
      <c r="AU16" s="129">
        <v>191.53749999999999</v>
      </c>
      <c r="AV16" s="129">
        <v>625.70860000000005</v>
      </c>
      <c r="AW16" s="81">
        <v>11.531000000000001</v>
      </c>
      <c r="AX16" s="81">
        <v>10.6874</v>
      </c>
      <c r="AY16" s="81">
        <v>36.552199999999999</v>
      </c>
      <c r="AZ16" s="81">
        <v>18.960999999999999</v>
      </c>
      <c r="BA16" s="81">
        <v>34.035800000000002</v>
      </c>
      <c r="BB16" s="81">
        <v>66.324600000000004</v>
      </c>
      <c r="BC16" s="82">
        <v>4.3609999999999998</v>
      </c>
      <c r="BD16" s="82">
        <v>0.83260000000000001</v>
      </c>
      <c r="BE16" s="82">
        <v>3.9661</v>
      </c>
      <c r="BF16" s="18">
        <f t="shared" ref="BF16:BF18" si="46">((BD16-0.1061)/3.191)*5</f>
        <v>1.1383578815418365</v>
      </c>
      <c r="BG16" s="18">
        <v>0.75349999999999995</v>
      </c>
      <c r="BH16" s="23">
        <f t="shared" si="1"/>
        <v>3.7674999999999996</v>
      </c>
      <c r="BI16" s="23"/>
      <c r="BJ16" s="23"/>
      <c r="BK16" s="23"/>
      <c r="BL16" s="130">
        <v>7.0439999999999996</v>
      </c>
      <c r="BM16" s="130">
        <v>278.03289999999998</v>
      </c>
      <c r="BN16" s="130">
        <v>779.3057</v>
      </c>
      <c r="BO16" s="82">
        <v>11.528</v>
      </c>
      <c r="BP16" s="82">
        <v>10.7942</v>
      </c>
      <c r="BQ16" s="82">
        <v>36.857599999999998</v>
      </c>
      <c r="BR16" s="82">
        <v>18.850999999999999</v>
      </c>
      <c r="BS16" s="82">
        <v>61.252099999999999</v>
      </c>
      <c r="BT16" s="82">
        <v>114.64530000000001</v>
      </c>
      <c r="BX16" s="12">
        <f t="shared" si="2"/>
        <v>1.0363522406769037</v>
      </c>
      <c r="BY16" s="12">
        <f t="shared" si="3"/>
        <v>1.7801629583202758</v>
      </c>
      <c r="BZ16" s="12">
        <f t="shared" si="4"/>
        <v>1.1383578815418365</v>
      </c>
      <c r="CA16" s="12">
        <f t="shared" ref="CA16:CA18" si="47">AVERAGE(BX16:BY16)</f>
        <v>1.4082575994985898</v>
      </c>
      <c r="CB16">
        <f t="shared" ref="CB16:CB18" si="48">STDEV(BX16:BY16)</f>
        <v>0.52595360236486077</v>
      </c>
      <c r="CC16">
        <v>3</v>
      </c>
      <c r="CD16">
        <v>3.18</v>
      </c>
      <c r="CE16" s="12">
        <f t="shared" ref="CE16:CE18" si="49">(CD16*CB16)/SQRT(CC16)</f>
        <v>0.96563706342300648</v>
      </c>
      <c r="CG16" s="12">
        <f>'0 Set 2&amp;3'!C16</f>
        <v>838.58333333333337</v>
      </c>
      <c r="CH16" s="12">
        <f>'0 Set 2&amp;3'!U16</f>
        <v>2.2368225466004694</v>
      </c>
      <c r="CI16">
        <f t="shared" si="14"/>
        <v>3.9831666666666661</v>
      </c>
      <c r="CJ16">
        <f>'0 Set 2&amp;3'!$W16</f>
        <v>4.9055</v>
      </c>
      <c r="CQ16" t="s">
        <v>273</v>
      </c>
      <c r="CR16" s="14">
        <v>44491</v>
      </c>
      <c r="CS16" s="32">
        <v>0.47916666666666669</v>
      </c>
      <c r="CT16">
        <f>CW15+24</f>
        <v>691.73333333333335</v>
      </c>
      <c r="CU16">
        <v>8</v>
      </c>
      <c r="CV16">
        <f t="shared" si="41"/>
        <v>41512</v>
      </c>
      <c r="CW16">
        <f t="shared" si="42"/>
        <v>691.86666666666667</v>
      </c>
      <c r="CX16">
        <f t="shared" si="43"/>
        <v>52.000000000000455</v>
      </c>
      <c r="CY16">
        <v>691</v>
      </c>
      <c r="DC16">
        <v>838.58333333333337</v>
      </c>
      <c r="DD16">
        <v>2.2368225466004694</v>
      </c>
    </row>
    <row r="17" spans="1:108">
      <c r="A17" s="226" t="s">
        <v>239</v>
      </c>
      <c r="B17" s="14">
        <v>44490</v>
      </c>
      <c r="C17" s="12">
        <v>667.73333333333335</v>
      </c>
      <c r="D17" s="83">
        <v>4.3609999999999998</v>
      </c>
      <c r="E17" s="83">
        <v>0.18440000000000001</v>
      </c>
      <c r="F17" s="83">
        <v>0.9083</v>
      </c>
      <c r="G17" s="23">
        <f t="shared" ref="G17:G18" si="50">((E17-0.1061)/3.191)*5</f>
        <v>0.12268881228455031</v>
      </c>
      <c r="H17" s="23">
        <v>0.50990000000000002</v>
      </c>
      <c r="I17" s="23">
        <f t="shared" si="6"/>
        <v>2.5495000000000001</v>
      </c>
      <c r="J17" s="83">
        <v>6.9779999999999998</v>
      </c>
      <c r="K17" s="83">
        <v>194.6463</v>
      </c>
      <c r="L17" s="83">
        <v>633.1979</v>
      </c>
      <c r="M17" s="83">
        <v>11.507999999999999</v>
      </c>
      <c r="N17" s="83">
        <v>17.998200000000001</v>
      </c>
      <c r="O17" s="83">
        <v>61.517499999999998</v>
      </c>
      <c r="P17" s="83">
        <v>18.957999999999998</v>
      </c>
      <c r="Q17" s="83">
        <v>33.176699999999997</v>
      </c>
      <c r="R17" s="83">
        <v>64.695300000000003</v>
      </c>
      <c r="S17" s="80">
        <v>4.3639999999999999</v>
      </c>
      <c r="T17" s="80">
        <v>1.0549999999999999</v>
      </c>
      <c r="U17" s="80">
        <v>4.5129999999999999</v>
      </c>
      <c r="V17" s="19">
        <f t="shared" si="44"/>
        <v>1.4868379818238797</v>
      </c>
      <c r="W17" s="19">
        <v>0.83709999999999996</v>
      </c>
      <c r="X17" s="23">
        <f t="shared" si="0"/>
        <v>4.1854999999999993</v>
      </c>
      <c r="Y17" s="23"/>
      <c r="Z17" s="23"/>
      <c r="AA17" s="23"/>
      <c r="AB17" s="80">
        <v>6.9779999999999998</v>
      </c>
      <c r="AC17" s="80">
        <v>193.34049999999999</v>
      </c>
      <c r="AD17" s="80">
        <v>629.92100000000005</v>
      </c>
      <c r="AE17" s="80">
        <v>11.513999999999999</v>
      </c>
      <c r="AF17" s="80">
        <v>18.031500000000001</v>
      </c>
      <c r="AG17" s="80">
        <v>61.6235</v>
      </c>
      <c r="AH17" s="80">
        <v>18.960999999999999</v>
      </c>
      <c r="AI17" s="80">
        <v>32.957599999999999</v>
      </c>
      <c r="AJ17" s="80">
        <v>64.261600000000001</v>
      </c>
      <c r="AK17" s="81">
        <v>4.3680000000000003</v>
      </c>
      <c r="AL17" s="81">
        <v>1.1126</v>
      </c>
      <c r="AM17" s="81">
        <v>4.8432000000000004</v>
      </c>
      <c r="AN17" s="16">
        <f t="shared" si="45"/>
        <v>1.5770918207458475</v>
      </c>
      <c r="AO17" s="16">
        <v>0.85870000000000002</v>
      </c>
      <c r="AP17" s="23">
        <f t="shared" si="9"/>
        <v>4.2934999999999999</v>
      </c>
      <c r="AQ17" s="23"/>
      <c r="AR17" s="23"/>
      <c r="AS17" s="23"/>
      <c r="AT17" s="81">
        <v>6.9850000000000003</v>
      </c>
      <c r="AU17" s="81">
        <v>197.69630000000001</v>
      </c>
      <c r="AV17" s="81">
        <v>639.37519999999995</v>
      </c>
      <c r="AW17" s="81">
        <v>11.515000000000001</v>
      </c>
      <c r="AX17" s="81">
        <v>18.038599999999999</v>
      </c>
      <c r="AY17" s="81">
        <v>61.643000000000001</v>
      </c>
      <c r="AZ17" s="81">
        <v>18.960999999999999</v>
      </c>
      <c r="BA17" s="81">
        <v>33.991900000000001</v>
      </c>
      <c r="BB17" s="81">
        <v>66.221500000000006</v>
      </c>
      <c r="BC17" s="82">
        <v>4.3650000000000002</v>
      </c>
      <c r="BD17" s="82">
        <v>1.012</v>
      </c>
      <c r="BE17" s="82">
        <v>4.3520000000000003</v>
      </c>
      <c r="BF17" s="18">
        <f t="shared" si="46"/>
        <v>1.4194609840175496</v>
      </c>
      <c r="BG17" s="18">
        <v>0.82089999999999996</v>
      </c>
      <c r="BH17" s="23">
        <f t="shared" si="1"/>
        <v>4.1044999999999998</v>
      </c>
      <c r="BI17" s="23"/>
      <c r="BJ17" s="23"/>
      <c r="BK17" s="23"/>
      <c r="BL17" s="82">
        <v>6.9809999999999999</v>
      </c>
      <c r="BM17" s="82">
        <v>197.0087</v>
      </c>
      <c r="BN17" s="82">
        <v>637.90880000000004</v>
      </c>
      <c r="BO17" s="82">
        <v>11.507999999999999</v>
      </c>
      <c r="BP17" s="82">
        <v>18.036899999999999</v>
      </c>
      <c r="BQ17" s="82">
        <v>61.648899999999998</v>
      </c>
      <c r="BR17" s="82">
        <v>18.954999999999998</v>
      </c>
      <c r="BS17" s="82">
        <v>33.887300000000003</v>
      </c>
      <c r="BT17" s="82">
        <v>66.036900000000003</v>
      </c>
      <c r="BX17" s="12">
        <f t="shared" si="2"/>
        <v>1.4868379818238797</v>
      </c>
      <c r="BY17" s="12">
        <f t="shared" si="3"/>
        <v>1.5770918207458475</v>
      </c>
      <c r="BZ17" s="12">
        <f t="shared" si="4"/>
        <v>1.4194609840175496</v>
      </c>
      <c r="CA17" s="12">
        <f t="shared" si="47"/>
        <v>1.5319649012848635</v>
      </c>
      <c r="CB17">
        <f t="shared" si="48"/>
        <v>6.3819101529841799E-2</v>
      </c>
      <c r="CC17">
        <v>3</v>
      </c>
      <c r="CD17">
        <v>3.18</v>
      </c>
      <c r="CE17" s="12">
        <f t="shared" si="49"/>
        <v>0.11717020192366764</v>
      </c>
      <c r="CG17" s="12">
        <f>'0 Set 2&amp;3'!C17</f>
        <v>958.73333333333335</v>
      </c>
      <c r="CH17" s="12">
        <f>'0 Set 2&amp;3'!U17</f>
        <v>1.8229908443540181</v>
      </c>
      <c r="CI17">
        <f t="shared" si="14"/>
        <v>4.1944999999999997</v>
      </c>
      <c r="CJ17">
        <f>'0 Set 2&amp;3'!$W17</f>
        <v>4.5335000000000001</v>
      </c>
      <c r="CQ17" t="s">
        <v>272</v>
      </c>
      <c r="CR17" s="14">
        <v>44494</v>
      </c>
      <c r="CS17" s="32">
        <v>0.47847222222222219</v>
      </c>
      <c r="CT17">
        <f>CW16+24</f>
        <v>715.86666666666667</v>
      </c>
      <c r="CU17">
        <v>-1</v>
      </c>
      <c r="CV17">
        <f t="shared" si="41"/>
        <v>42951</v>
      </c>
      <c r="CW17">
        <f t="shared" si="42"/>
        <v>715.85</v>
      </c>
      <c r="CX17">
        <f t="shared" si="43"/>
        <v>51.000000000001364</v>
      </c>
      <c r="CY17">
        <v>715</v>
      </c>
    </row>
    <row r="18" spans="1:108">
      <c r="A18" s="226" t="s">
        <v>239</v>
      </c>
      <c r="B18" s="14">
        <v>44491</v>
      </c>
      <c r="C18" s="12">
        <v>691.86666666666667</v>
      </c>
      <c r="D18" s="83">
        <v>4.3609999999999998</v>
      </c>
      <c r="E18" s="83">
        <v>0.18759999999999999</v>
      </c>
      <c r="F18" s="83">
        <v>0.95340000000000003</v>
      </c>
      <c r="G18" s="23">
        <f t="shared" si="50"/>
        <v>0.12770291444688187</v>
      </c>
      <c r="H18" s="23">
        <v>0.5111</v>
      </c>
      <c r="I18" s="23">
        <f t="shared" si="6"/>
        <v>2.5554999999999999</v>
      </c>
      <c r="J18" s="83">
        <v>6.9450000000000003</v>
      </c>
      <c r="K18" s="83">
        <v>159.32560000000001</v>
      </c>
      <c r="L18" s="83">
        <v>557.96640000000002</v>
      </c>
      <c r="M18" s="83">
        <v>11.505000000000001</v>
      </c>
      <c r="N18" s="83">
        <v>17.5395</v>
      </c>
      <c r="O18" s="83">
        <v>60.139800000000001</v>
      </c>
      <c r="P18" s="83">
        <v>18.995000000000001</v>
      </c>
      <c r="Q18" s="83">
        <v>22.854700000000001</v>
      </c>
      <c r="R18" s="83">
        <v>44.968899999999998</v>
      </c>
      <c r="S18" s="80">
        <v>4.3639999999999999</v>
      </c>
      <c r="T18" s="80">
        <v>0.81730000000000003</v>
      </c>
      <c r="U18" s="80">
        <v>4.3051000000000004</v>
      </c>
      <c r="V18" s="19">
        <f t="shared" si="44"/>
        <v>1.114384205578189</v>
      </c>
      <c r="W18" s="19">
        <v>0.74770000000000003</v>
      </c>
      <c r="X18" s="23">
        <f t="shared" si="0"/>
        <v>3.7385000000000002</v>
      </c>
      <c r="Y18" s="23"/>
      <c r="Z18" s="23"/>
      <c r="AA18" s="23"/>
      <c r="AB18" s="80">
        <v>6.9480000000000004</v>
      </c>
      <c r="AC18" s="80">
        <v>163.95529999999999</v>
      </c>
      <c r="AD18" s="80">
        <v>568.39520000000005</v>
      </c>
      <c r="AE18" s="80">
        <v>11.504</v>
      </c>
      <c r="AF18" s="80">
        <v>17.5703</v>
      </c>
      <c r="AG18" s="80">
        <v>60.264699999999998</v>
      </c>
      <c r="AH18" s="80">
        <v>18.994</v>
      </c>
      <c r="AI18" s="80">
        <v>23.016400000000001</v>
      </c>
      <c r="AJ18" s="80">
        <v>45.290300000000002</v>
      </c>
      <c r="AK18" s="81">
        <v>4.3639999999999999</v>
      </c>
      <c r="AL18" s="81">
        <v>0.85170000000000001</v>
      </c>
      <c r="AM18" s="81">
        <v>4.5491000000000001</v>
      </c>
      <c r="AN18" s="16">
        <f t="shared" si="45"/>
        <v>1.1682858038232529</v>
      </c>
      <c r="AO18" s="16">
        <v>0.76070000000000004</v>
      </c>
      <c r="AP18" s="23">
        <f t="shared" si="9"/>
        <v>3.8035000000000001</v>
      </c>
      <c r="AQ18" s="23"/>
      <c r="AR18" s="23"/>
      <c r="AS18" s="23"/>
      <c r="AT18" s="81">
        <v>6.9379999999999997</v>
      </c>
      <c r="AU18" s="81">
        <v>151.73050000000001</v>
      </c>
      <c r="AV18" s="81">
        <v>540.67539999999997</v>
      </c>
      <c r="AW18" s="81">
        <v>11.504</v>
      </c>
      <c r="AX18" s="81">
        <v>17.546800000000001</v>
      </c>
      <c r="AY18" s="81">
        <v>60.258600000000001</v>
      </c>
      <c r="AZ18" s="81">
        <v>19.007999999999999</v>
      </c>
      <c r="BA18" s="81">
        <v>20.3369</v>
      </c>
      <c r="BB18" s="81">
        <v>40.048699999999997</v>
      </c>
      <c r="BC18" s="82">
        <v>4.3410000000000002</v>
      </c>
      <c r="BD18" s="82">
        <v>1.2017</v>
      </c>
      <c r="BE18" s="82">
        <v>3.548</v>
      </c>
      <c r="BF18" s="18">
        <f t="shared" si="46"/>
        <v>1.716703227828267</v>
      </c>
      <c r="BG18" s="18">
        <v>0.89219999999999999</v>
      </c>
      <c r="BH18" s="23">
        <f t="shared" si="1"/>
        <v>4.4610000000000003</v>
      </c>
      <c r="BI18" s="23"/>
      <c r="BJ18" s="23"/>
      <c r="BK18" s="23"/>
      <c r="BL18" s="82">
        <v>7.3179999999999996</v>
      </c>
      <c r="BM18" s="82">
        <v>796.40800000000002</v>
      </c>
      <c r="BN18" s="82">
        <v>1361.4909</v>
      </c>
      <c r="BO18" s="82">
        <v>11.491</v>
      </c>
      <c r="BP18" s="82">
        <v>17.918900000000001</v>
      </c>
      <c r="BQ18" s="82">
        <v>61.200299999999999</v>
      </c>
      <c r="BR18" s="82">
        <v>18.504000000000001</v>
      </c>
      <c r="BS18" s="82">
        <v>166.03790000000001</v>
      </c>
      <c r="BT18" s="82">
        <v>258.4658</v>
      </c>
      <c r="BX18" s="12">
        <f t="shared" si="2"/>
        <v>1.114384205578189</v>
      </c>
      <c r="BY18" s="12">
        <f t="shared" si="3"/>
        <v>1.1682858038232529</v>
      </c>
      <c r="BZ18" s="12">
        <f t="shared" si="4"/>
        <v>1.716703227828267</v>
      </c>
      <c r="CA18" s="12">
        <f t="shared" si="47"/>
        <v>1.1413350047007209</v>
      </c>
      <c r="CB18">
        <f t="shared" si="48"/>
        <v>3.8114185635877602E-2</v>
      </c>
      <c r="CC18">
        <v>3</v>
      </c>
      <c r="CD18">
        <v>3.18</v>
      </c>
      <c r="CE18" s="12">
        <f t="shared" si="49"/>
        <v>6.9976648371079031E-2</v>
      </c>
      <c r="CG18" s="12">
        <f>'0 Set 2&amp;3'!C18</f>
        <v>1029.5999999999999</v>
      </c>
      <c r="CH18" s="12">
        <f>'0 Set 2&amp;3'!U18</f>
        <v>1.7530882139223949</v>
      </c>
      <c r="CI18">
        <f t="shared" si="14"/>
        <v>4.0010000000000003</v>
      </c>
      <c r="CJ18">
        <f>'0 Set 2&amp;3'!$W18</f>
        <v>4.4429999999999996</v>
      </c>
      <c r="CQ18" t="s">
        <v>270</v>
      </c>
      <c r="CR18" s="14">
        <v>44503</v>
      </c>
      <c r="CS18" s="32">
        <v>0.10069444444444443</v>
      </c>
      <c r="CT18">
        <f>CW17+(24*9)+3</f>
        <v>934.85</v>
      </c>
      <c r="CU18">
        <v>-4</v>
      </c>
      <c r="CV18">
        <f t="shared" si="41"/>
        <v>56087</v>
      </c>
      <c r="CW18">
        <f t="shared" si="42"/>
        <v>934.7833333333333</v>
      </c>
      <c r="CX18">
        <f t="shared" si="43"/>
        <v>46.999999999998181</v>
      </c>
      <c r="CY18">
        <v>934</v>
      </c>
    </row>
    <row r="19" spans="1:108">
      <c r="A19" s="226" t="s">
        <v>250</v>
      </c>
      <c r="B19" s="14">
        <v>44494</v>
      </c>
      <c r="C19" s="12">
        <v>715.85</v>
      </c>
      <c r="D19" s="144">
        <v>4.3840000000000003</v>
      </c>
      <c r="E19" s="144">
        <v>0.14899999999999999</v>
      </c>
      <c r="F19" s="144">
        <v>0.62409999999999999</v>
      </c>
      <c r="G19" s="23">
        <f>((E19+0.0848)/3.3937)*5</f>
        <v>0.34446179685888562</v>
      </c>
      <c r="H19" s="23">
        <v>0.49659999999999999</v>
      </c>
      <c r="I19" s="23">
        <f t="shared" si="6"/>
        <v>2.4830000000000001</v>
      </c>
      <c r="J19" s="144">
        <v>6.968</v>
      </c>
      <c r="K19" s="144">
        <v>189.47559999999999</v>
      </c>
      <c r="L19" s="131">
        <v>615.90449999999998</v>
      </c>
      <c r="M19" s="131">
        <v>11.428000000000001</v>
      </c>
      <c r="N19" s="131">
        <v>25.1373</v>
      </c>
      <c r="O19" s="131">
        <v>85.650499999999994</v>
      </c>
      <c r="P19" s="131">
        <v>18.878</v>
      </c>
      <c r="Q19" s="131">
        <v>27.442299999999999</v>
      </c>
      <c r="R19" s="131">
        <v>53.966099999999997</v>
      </c>
      <c r="S19" s="145">
        <v>4.3810000000000002</v>
      </c>
      <c r="T19" s="145">
        <v>0.88349999999999995</v>
      </c>
      <c r="U19" s="145">
        <v>3.4986999999999999</v>
      </c>
      <c r="V19" s="19">
        <f t="shared" ref="V19:V21" si="51">((T19+0.0848)/3.3937)*5</f>
        <v>1.4266140200960602</v>
      </c>
      <c r="W19" s="19">
        <v>0.77259999999999995</v>
      </c>
      <c r="X19" s="23">
        <f t="shared" si="0"/>
        <v>3.8629999999999995</v>
      </c>
      <c r="Y19" s="23"/>
      <c r="Z19" s="23"/>
      <c r="AA19" s="23"/>
      <c r="AB19" s="145">
        <v>6.9610000000000003</v>
      </c>
      <c r="AC19" s="145">
        <v>183.8484</v>
      </c>
      <c r="AD19" s="128">
        <v>604.32299999999998</v>
      </c>
      <c r="AE19" s="128">
        <v>11.425000000000001</v>
      </c>
      <c r="AF19" s="128">
        <v>25.243200000000002</v>
      </c>
      <c r="AG19" s="128">
        <v>86.023499999999999</v>
      </c>
      <c r="AH19" s="128">
        <v>18.878</v>
      </c>
      <c r="AI19" s="128">
        <v>26.3566</v>
      </c>
      <c r="AJ19" s="128">
        <v>51.841200000000001</v>
      </c>
      <c r="AK19" s="146">
        <v>4.3840000000000003</v>
      </c>
      <c r="AL19" s="146">
        <v>1.0305</v>
      </c>
      <c r="AM19" s="146">
        <v>4.1820000000000004</v>
      </c>
      <c r="AN19" s="16">
        <f t="shared" ref="AN19:AN21" si="52">((AL19+0.0848)/3.3937)*5</f>
        <v>1.643191796564222</v>
      </c>
      <c r="AO19" s="16">
        <v>0.82789999999999997</v>
      </c>
      <c r="AP19" s="23">
        <f t="shared" si="9"/>
        <v>4.1395</v>
      </c>
      <c r="AQ19" s="23"/>
      <c r="AR19" s="23"/>
      <c r="AS19" s="23"/>
      <c r="AT19" s="146">
        <v>6.9569999999999999</v>
      </c>
      <c r="AU19" s="146">
        <v>179.14089999999999</v>
      </c>
      <c r="AV19" s="129">
        <v>594.66959999999995</v>
      </c>
      <c r="AW19" s="129">
        <v>11.427</v>
      </c>
      <c r="AX19" s="129">
        <v>25.3291</v>
      </c>
      <c r="AY19" s="129">
        <v>86.266800000000003</v>
      </c>
      <c r="AZ19" s="129">
        <v>18.884</v>
      </c>
      <c r="BA19" s="129">
        <v>25.434999999999999</v>
      </c>
      <c r="BB19" s="129">
        <v>50.038200000000003</v>
      </c>
      <c r="BC19" s="147">
        <v>4.3810000000000002</v>
      </c>
      <c r="BD19" s="147">
        <v>1.0716000000000001</v>
      </c>
      <c r="BE19" s="147">
        <v>4.2088000000000001</v>
      </c>
      <c r="BF19" s="18">
        <f t="shared" ref="BF19:BF21" si="53">((BD19+0.0848)/3.3937)*5</f>
        <v>1.7037451748828714</v>
      </c>
      <c r="BG19" s="18">
        <v>0.84330000000000005</v>
      </c>
      <c r="BH19" s="23">
        <f t="shared" si="1"/>
        <v>4.2164999999999999</v>
      </c>
      <c r="BI19" s="23"/>
      <c r="BJ19" s="23"/>
      <c r="BK19" s="23"/>
      <c r="BL19" s="147">
        <v>7.008</v>
      </c>
      <c r="BM19" s="147">
        <v>241.10679999999999</v>
      </c>
      <c r="BN19" s="130">
        <v>712.92020000000002</v>
      </c>
      <c r="BO19" s="130">
        <v>11.428000000000001</v>
      </c>
      <c r="BP19" s="130">
        <v>25.2622</v>
      </c>
      <c r="BQ19" s="130">
        <v>85.832700000000003</v>
      </c>
      <c r="BR19" s="130">
        <v>18.783999999999999</v>
      </c>
      <c r="BS19" s="130">
        <v>48.993499999999997</v>
      </c>
      <c r="BT19" s="130">
        <v>93.75</v>
      </c>
      <c r="BX19" s="12">
        <f t="shared" ref="BX19:BX21" si="54">V19</f>
        <v>1.4266140200960602</v>
      </c>
      <c r="BY19" s="12">
        <f t="shared" ref="BY19:BY21" si="55">AN19</f>
        <v>1.643191796564222</v>
      </c>
      <c r="BZ19" s="12">
        <f t="shared" ref="BZ19:BZ21" si="56">BF19</f>
        <v>1.7037451748828714</v>
      </c>
      <c r="CA19" s="12">
        <f t="shared" ref="CA19:CA21" si="57">AVERAGE(BX19:BY19)</f>
        <v>1.5349029083301411</v>
      </c>
      <c r="CB19">
        <f t="shared" ref="CB19:CB21" si="58">STDEV(BX19:BY19)</f>
        <v>0.15314361439494148</v>
      </c>
      <c r="CC19">
        <v>3</v>
      </c>
      <c r="CD19">
        <v>3.18</v>
      </c>
      <c r="CE19" s="12">
        <f t="shared" ref="CE19:CE21" si="59">(CD19*CB19)/SQRT(CC19)</f>
        <v>0.28116767224598166</v>
      </c>
      <c r="CG19" s="12">
        <f>'0 Set 2&amp;3'!C19</f>
        <v>1080.9166666666665</v>
      </c>
      <c r="CH19" s="12">
        <f>'0 Set 2&amp;3'!U19</f>
        <v>1.9278301037854697</v>
      </c>
      <c r="CI19">
        <f t="shared" si="14"/>
        <v>4.0729999999999995</v>
      </c>
      <c r="CJ19" t="s">
        <v>182</v>
      </c>
      <c r="CQ19" t="s">
        <v>269</v>
      </c>
      <c r="CR19" s="14">
        <v>44504</v>
      </c>
      <c r="CS19" s="32">
        <v>0.42569444444444443</v>
      </c>
      <c r="CT19">
        <f>CW18+24-4</f>
        <v>954.7833333333333</v>
      </c>
      <c r="CU19">
        <v>-12</v>
      </c>
      <c r="CV19">
        <f t="shared" si="41"/>
        <v>57275</v>
      </c>
      <c r="CW19">
        <f t="shared" si="42"/>
        <v>954.58333333333337</v>
      </c>
      <c r="CX19">
        <f t="shared" si="43"/>
        <v>35.000000000002274</v>
      </c>
      <c r="CY19">
        <v>954</v>
      </c>
    </row>
    <row r="20" spans="1:108" s="41" customFormat="1" ht="16" thickBot="1">
      <c r="A20" s="236" t="s">
        <v>250</v>
      </c>
      <c r="B20" s="153">
        <v>44503</v>
      </c>
      <c r="C20" s="154">
        <v>934.7833333333333</v>
      </c>
      <c r="D20" s="105">
        <v>4.3840000000000003</v>
      </c>
      <c r="E20" s="105">
        <v>0.12920000000000001</v>
      </c>
      <c r="F20" s="167">
        <v>0.53890000000000005</v>
      </c>
      <c r="G20" s="164">
        <f t="shared" ref="G20:G21" si="60">((E20+0.0848)/3.3937)*5</f>
        <v>0.31529009635501082</v>
      </c>
      <c r="H20" s="164">
        <v>0.48920000000000002</v>
      </c>
      <c r="I20" s="23">
        <f t="shared" si="6"/>
        <v>2.4460000000000002</v>
      </c>
      <c r="J20" s="105">
        <v>6.931</v>
      </c>
      <c r="K20" s="105">
        <v>153.94229999999999</v>
      </c>
      <c r="L20" s="163">
        <v>540.52970000000005</v>
      </c>
      <c r="M20" s="163">
        <v>11.417999999999999</v>
      </c>
      <c r="N20" s="163">
        <v>27.007999999999999</v>
      </c>
      <c r="O20" s="163">
        <v>91.844200000000001</v>
      </c>
      <c r="P20" s="163">
        <v>18.888000000000002</v>
      </c>
      <c r="Q20" s="163">
        <v>22.4236</v>
      </c>
      <c r="R20" s="163">
        <v>44.2057</v>
      </c>
      <c r="S20" s="93">
        <v>4.3810000000000002</v>
      </c>
      <c r="T20" s="93">
        <v>0.90439999999999998</v>
      </c>
      <c r="U20" s="168">
        <v>3.617</v>
      </c>
      <c r="V20" s="158">
        <f t="shared" si="51"/>
        <v>1.4574063706279283</v>
      </c>
      <c r="W20" s="158">
        <v>0.78049999999999997</v>
      </c>
      <c r="X20" s="23">
        <f t="shared" si="0"/>
        <v>3.9024999999999999</v>
      </c>
      <c r="Y20" s="23"/>
      <c r="Z20" s="23"/>
      <c r="AA20" s="23"/>
      <c r="AB20" s="93">
        <v>6.9379999999999997</v>
      </c>
      <c r="AC20" s="93">
        <v>161.32830000000001</v>
      </c>
      <c r="AD20" s="157">
        <v>556.65629999999999</v>
      </c>
      <c r="AE20" s="157">
        <v>11.417999999999999</v>
      </c>
      <c r="AF20" s="157">
        <v>27.213100000000001</v>
      </c>
      <c r="AG20" s="157">
        <v>92.495000000000005</v>
      </c>
      <c r="AH20" s="157">
        <v>18.881</v>
      </c>
      <c r="AI20" s="157">
        <v>24.060500000000001</v>
      </c>
      <c r="AJ20" s="157">
        <v>47.420499999999997</v>
      </c>
      <c r="AK20" s="97">
        <v>4.3810000000000002</v>
      </c>
      <c r="AL20" s="97">
        <v>0.86729999999999996</v>
      </c>
      <c r="AM20" s="169">
        <v>3.4927999999999999</v>
      </c>
      <c r="AN20" s="160">
        <f t="shared" si="52"/>
        <v>1.4027462651383447</v>
      </c>
      <c r="AO20" s="160">
        <v>0.76649999999999996</v>
      </c>
      <c r="AP20" s="23">
        <f t="shared" si="9"/>
        <v>3.8324999999999996</v>
      </c>
      <c r="AQ20" s="23"/>
      <c r="AR20" s="23"/>
      <c r="AS20" s="23"/>
      <c r="AT20" s="97">
        <v>6.9240000000000004</v>
      </c>
      <c r="AU20" s="97">
        <v>147.45160000000001</v>
      </c>
      <c r="AV20" s="159">
        <v>525.16639999999995</v>
      </c>
      <c r="AW20" s="159">
        <v>11.414</v>
      </c>
      <c r="AX20" s="159">
        <v>27.0779</v>
      </c>
      <c r="AY20" s="159">
        <v>92.107500000000002</v>
      </c>
      <c r="AZ20" s="159">
        <v>18.888000000000002</v>
      </c>
      <c r="BA20" s="159">
        <v>21.284500000000001</v>
      </c>
      <c r="BB20" s="159">
        <v>41.9983</v>
      </c>
      <c r="BC20" s="101">
        <v>4.3810000000000002</v>
      </c>
      <c r="BD20" s="101">
        <v>0.79259999999999997</v>
      </c>
      <c r="BE20" s="170">
        <v>3.4657</v>
      </c>
      <c r="BF20" s="162">
        <f t="shared" si="53"/>
        <v>1.292689395055544</v>
      </c>
      <c r="BG20" s="162">
        <v>0.73850000000000005</v>
      </c>
      <c r="BH20" s="23">
        <f t="shared" si="1"/>
        <v>3.6925000000000003</v>
      </c>
      <c r="BI20" s="23"/>
      <c r="BJ20" s="23"/>
      <c r="BK20" s="23"/>
      <c r="BL20" s="101">
        <v>6.931</v>
      </c>
      <c r="BM20" s="101">
        <v>153.62</v>
      </c>
      <c r="BN20" s="161">
        <v>540.2115</v>
      </c>
      <c r="BO20" s="161">
        <v>11.417</v>
      </c>
      <c r="BP20" s="161">
        <v>27.0885</v>
      </c>
      <c r="BQ20" s="161">
        <v>92.1464</v>
      </c>
      <c r="BR20" s="161">
        <v>18.887</v>
      </c>
      <c r="BS20" s="161">
        <v>22.4969</v>
      </c>
      <c r="BT20" s="161">
        <v>44.372300000000003</v>
      </c>
      <c r="BX20" s="154">
        <f t="shared" si="54"/>
        <v>1.4574063706279283</v>
      </c>
      <c r="BY20" s="154">
        <f t="shared" si="55"/>
        <v>1.4027462651383447</v>
      </c>
      <c r="BZ20" s="154">
        <f t="shared" si="56"/>
        <v>1.292689395055544</v>
      </c>
      <c r="CA20" s="154">
        <f t="shared" si="57"/>
        <v>1.4300763178831364</v>
      </c>
      <c r="CB20" s="41">
        <f t="shared" si="58"/>
        <v>3.8650531252056641E-2</v>
      </c>
      <c r="CC20" s="41">
        <v>3</v>
      </c>
      <c r="CD20" s="41">
        <v>3.18</v>
      </c>
      <c r="CE20" s="154">
        <f t="shared" si="59"/>
        <v>7.0961364900176294E-2</v>
      </c>
      <c r="CG20" s="12">
        <f>'0 Set 2&amp;3'!C20</f>
        <v>1129.2166666666665</v>
      </c>
      <c r="CH20" s="12">
        <f>'0 Set 2&amp;3'!U20</f>
        <v>1.5992466685658215</v>
      </c>
      <c r="CI20">
        <f t="shared" si="14"/>
        <v>3.8091666666666666</v>
      </c>
      <c r="CJ20">
        <f>'0 Set 2&amp;3'!$W20</f>
        <v>4.6025</v>
      </c>
      <c r="CQ20" s="41" t="s">
        <v>268</v>
      </c>
      <c r="CR20" s="153">
        <v>44505</v>
      </c>
      <c r="CS20" s="166">
        <v>0.47430555555555554</v>
      </c>
      <c r="CT20" s="41">
        <f>CW19+24+1</f>
        <v>979.58333333333337</v>
      </c>
      <c r="CU20" s="41">
        <v>10</v>
      </c>
      <c r="CV20" s="41">
        <f t="shared" si="41"/>
        <v>58785</v>
      </c>
      <c r="CW20" s="41">
        <f t="shared" si="42"/>
        <v>979.75</v>
      </c>
      <c r="CX20" s="41">
        <f t="shared" si="43"/>
        <v>45</v>
      </c>
      <c r="CY20" s="41">
        <v>979</v>
      </c>
      <c r="DA20"/>
    </row>
    <row r="21" spans="1:108" ht="16" thickTop="1">
      <c r="A21" s="226" t="s">
        <v>250</v>
      </c>
      <c r="B21" s="14">
        <v>44504</v>
      </c>
      <c r="C21" s="12">
        <v>954.58333333333337</v>
      </c>
      <c r="D21" s="4">
        <v>4.3840000000000003</v>
      </c>
      <c r="E21" s="4">
        <v>7.7299999999999994E-2</v>
      </c>
      <c r="F21" s="83">
        <v>0.30499999999999999</v>
      </c>
      <c r="G21" s="23">
        <f t="shared" si="60"/>
        <v>0.23882488139788433</v>
      </c>
      <c r="H21" s="23">
        <v>0.46960000000000002</v>
      </c>
      <c r="I21" s="23">
        <f t="shared" si="6"/>
        <v>2.3479999999999999</v>
      </c>
      <c r="J21" s="4">
        <v>6.9610000000000003</v>
      </c>
      <c r="K21" s="4">
        <v>191.41569999999999</v>
      </c>
      <c r="L21" s="131">
        <v>616.68449999999996</v>
      </c>
      <c r="M21" s="131">
        <v>11.417999999999999</v>
      </c>
      <c r="N21" s="131">
        <v>23.9299</v>
      </c>
      <c r="O21" s="131">
        <v>81.534899999999993</v>
      </c>
      <c r="P21" s="131">
        <v>18.847999999999999</v>
      </c>
      <c r="Q21" s="131">
        <v>29.747599999999998</v>
      </c>
      <c r="R21" s="131">
        <v>58.448599999999999</v>
      </c>
      <c r="S21" s="1">
        <v>4.3810000000000002</v>
      </c>
      <c r="T21" s="1">
        <v>0.78239999999999998</v>
      </c>
      <c r="U21" s="80">
        <v>3.0405000000000002</v>
      </c>
      <c r="V21" s="19">
        <f t="shared" si="51"/>
        <v>1.2776615493414267</v>
      </c>
      <c r="W21" s="19">
        <v>0.73460000000000003</v>
      </c>
      <c r="X21" s="23">
        <f t="shared" si="0"/>
        <v>3.673</v>
      </c>
      <c r="Y21" s="23"/>
      <c r="Z21" s="23"/>
      <c r="AA21" s="23"/>
      <c r="AB21" s="1">
        <v>6.9580000000000002</v>
      </c>
      <c r="AC21" s="1">
        <v>186.5104</v>
      </c>
      <c r="AD21" s="128">
        <v>606.92089999999996</v>
      </c>
      <c r="AE21" s="128">
        <v>11.425000000000001</v>
      </c>
      <c r="AF21" s="128">
        <v>23.936499999999999</v>
      </c>
      <c r="AG21" s="128">
        <v>81.656300000000002</v>
      </c>
      <c r="AH21" s="128">
        <v>18.861000000000001</v>
      </c>
      <c r="AI21" s="128">
        <v>28.778199999999998</v>
      </c>
      <c r="AJ21" s="128">
        <v>56.570399999999999</v>
      </c>
      <c r="AK21" s="2">
        <v>4.3780000000000001</v>
      </c>
      <c r="AL21" s="2">
        <v>0.77380000000000004</v>
      </c>
      <c r="AM21" s="81">
        <v>2.9771000000000001</v>
      </c>
      <c r="AN21" s="16">
        <f t="shared" si="52"/>
        <v>1.2649910127589357</v>
      </c>
      <c r="AO21" s="16">
        <v>0.73140000000000005</v>
      </c>
      <c r="AP21" s="23">
        <f t="shared" si="9"/>
        <v>3.657</v>
      </c>
      <c r="AQ21" s="23"/>
      <c r="AR21" s="23"/>
      <c r="AS21" s="23"/>
      <c r="AT21" s="2">
        <v>6.9610000000000003</v>
      </c>
      <c r="AU21" s="2">
        <v>190.0728</v>
      </c>
      <c r="AV21" s="129">
        <v>614.87159999999994</v>
      </c>
      <c r="AW21" s="129">
        <v>11.417999999999999</v>
      </c>
      <c r="AX21" s="129">
        <v>23.927299999999999</v>
      </c>
      <c r="AY21" s="129">
        <v>81.624799999999993</v>
      </c>
      <c r="AZ21" s="129">
        <v>18.850999999999999</v>
      </c>
      <c r="BA21" s="129">
        <v>29.576699999999999</v>
      </c>
      <c r="BB21" s="129">
        <v>58.0931</v>
      </c>
      <c r="BC21" s="3">
        <v>4.3810000000000002</v>
      </c>
      <c r="BD21" s="3">
        <v>0.76400000000000001</v>
      </c>
      <c r="BE21" s="82">
        <v>2.9725000000000001</v>
      </c>
      <c r="BF21" s="18">
        <f t="shared" si="53"/>
        <v>1.2505524943277249</v>
      </c>
      <c r="BG21" s="18">
        <v>0.72770000000000001</v>
      </c>
      <c r="BH21" s="23">
        <f t="shared" si="1"/>
        <v>3.6385000000000001</v>
      </c>
      <c r="BI21" s="23"/>
      <c r="BJ21" s="23"/>
      <c r="BK21" s="23"/>
      <c r="BL21" s="3">
        <v>6.9580000000000002</v>
      </c>
      <c r="BM21" s="3">
        <v>186.59790000000001</v>
      </c>
      <c r="BN21" s="130">
        <v>608.16970000000003</v>
      </c>
      <c r="BO21" s="130">
        <v>11.420999999999999</v>
      </c>
      <c r="BP21" s="130">
        <v>23.8612</v>
      </c>
      <c r="BQ21" s="130">
        <v>81.436800000000005</v>
      </c>
      <c r="BR21" s="130">
        <v>18.858000000000001</v>
      </c>
      <c r="BS21" s="130">
        <v>28.8371</v>
      </c>
      <c r="BT21" s="130">
        <v>56.687199999999997</v>
      </c>
      <c r="BX21" s="12">
        <f t="shared" si="54"/>
        <v>1.2776615493414267</v>
      </c>
      <c r="BY21" s="12">
        <f t="shared" si="55"/>
        <v>1.2649910127589357</v>
      </c>
      <c r="BZ21" s="12">
        <f t="shared" si="56"/>
        <v>1.2505524943277249</v>
      </c>
      <c r="CA21" s="12">
        <f t="shared" si="57"/>
        <v>1.2713262810501811</v>
      </c>
      <c r="CB21">
        <f t="shared" si="58"/>
        <v>8.9594223387516551E-3</v>
      </c>
      <c r="CC21">
        <v>3</v>
      </c>
      <c r="CD21">
        <v>3.18</v>
      </c>
      <c r="CE21" s="12">
        <f t="shared" si="59"/>
        <v>1.6449265179016574E-2</v>
      </c>
      <c r="CG21" s="12">
        <f>'0 Set 2&amp;3'!C21</f>
        <v>1197.6666666666665</v>
      </c>
      <c r="CH21" s="12">
        <f>'0 Set 2&amp;3'!U21</f>
        <v>1.5212230557401956</v>
      </c>
      <c r="CI21">
        <f t="shared" si="14"/>
        <v>3.656166666666667</v>
      </c>
      <c r="CJ21">
        <f>'0 Set 2&amp;3'!$W21</f>
        <v>4.51</v>
      </c>
      <c r="CQ21" t="s">
        <v>265</v>
      </c>
      <c r="CR21" s="14">
        <v>44510</v>
      </c>
      <c r="CS21" s="32">
        <v>0.46527777777777773</v>
      </c>
      <c r="CT21">
        <f>CW20+(24*5)</f>
        <v>1099.75</v>
      </c>
      <c r="CU21">
        <v>-18</v>
      </c>
      <c r="CV21">
        <f t="shared" si="41"/>
        <v>65967</v>
      </c>
      <c r="CW21">
        <f t="shared" si="42"/>
        <v>1099.45</v>
      </c>
      <c r="CX21">
        <f t="shared" si="43"/>
        <v>27.000000000002728</v>
      </c>
      <c r="CY21">
        <v>1099</v>
      </c>
      <c r="DC21">
        <v>958.73333333333335</v>
      </c>
      <c r="DD21">
        <v>1.8229908443540181</v>
      </c>
    </row>
    <row r="22" spans="1:108">
      <c r="A22" s="226" t="s">
        <v>317</v>
      </c>
      <c r="B22" s="14">
        <v>44505</v>
      </c>
      <c r="C22" s="12">
        <v>979.75</v>
      </c>
      <c r="D22" s="83">
        <v>4.3739999999999997</v>
      </c>
      <c r="E22" s="83">
        <v>7.4700000000000003E-2</v>
      </c>
      <c r="F22" s="83">
        <v>0.32100000000000001</v>
      </c>
      <c r="G22" s="23">
        <f>((E22-0.0742)/3.3092)*5</f>
        <v>7.5546959990330058E-4</v>
      </c>
      <c r="H22" s="23">
        <v>0.46870000000000001</v>
      </c>
      <c r="I22" s="23">
        <f t="shared" si="6"/>
        <v>2.3435000000000001</v>
      </c>
      <c r="J22" s="83">
        <v>6.9210000000000003</v>
      </c>
      <c r="K22" s="83">
        <v>179.667</v>
      </c>
      <c r="L22" s="83">
        <v>586.71860000000004</v>
      </c>
      <c r="M22" s="83">
        <v>11.321</v>
      </c>
      <c r="N22" s="83">
        <v>26.2517</v>
      </c>
      <c r="O22" s="83">
        <v>91.284300000000002</v>
      </c>
      <c r="P22" s="83">
        <v>18.704000000000001</v>
      </c>
      <c r="Q22" s="83">
        <v>27.900600000000001</v>
      </c>
      <c r="R22" s="83">
        <v>55.595599999999997</v>
      </c>
      <c r="S22" s="80">
        <v>4.3680000000000003</v>
      </c>
      <c r="T22" s="80">
        <v>0.77480000000000004</v>
      </c>
      <c r="U22" s="80">
        <v>3.048</v>
      </c>
      <c r="V22" s="19">
        <f>((T22-0.0742)/3.3092)*5</f>
        <v>1.0585640033845038</v>
      </c>
      <c r="W22" s="19">
        <v>0.73180000000000001</v>
      </c>
      <c r="X22" s="23">
        <f t="shared" si="0"/>
        <v>3.6589999999999998</v>
      </c>
      <c r="Y22" s="23"/>
      <c r="Z22" s="23"/>
      <c r="AA22" s="23"/>
      <c r="AB22" s="80">
        <v>6.931</v>
      </c>
      <c r="AC22" s="80">
        <v>187.49019999999999</v>
      </c>
      <c r="AD22" s="80">
        <v>603.70299999999997</v>
      </c>
      <c r="AE22" s="80">
        <v>11.324999999999999</v>
      </c>
      <c r="AF22" s="80">
        <v>26.312000000000001</v>
      </c>
      <c r="AG22" s="80">
        <v>91.454899999999995</v>
      </c>
      <c r="AH22" s="80">
        <v>18.698</v>
      </c>
      <c r="AI22" s="80">
        <v>29.674299999999999</v>
      </c>
      <c r="AJ22" s="80">
        <v>59.050800000000002</v>
      </c>
      <c r="AK22" s="81">
        <v>4.3639999999999999</v>
      </c>
      <c r="AL22" s="81">
        <v>0.84740000000000004</v>
      </c>
      <c r="AM22" s="81">
        <v>3.3902999999999999</v>
      </c>
      <c r="AN22" s="16">
        <f>((AL22-0.0742)/3.3092)*5</f>
        <v>1.1682581892904629</v>
      </c>
      <c r="AO22" s="16">
        <v>0.7591</v>
      </c>
      <c r="AP22" s="23">
        <f t="shared" si="9"/>
        <v>3.7955000000000001</v>
      </c>
      <c r="AQ22" s="23"/>
      <c r="AR22" s="23"/>
      <c r="AS22" s="23"/>
      <c r="AT22" s="81">
        <v>6.9180000000000001</v>
      </c>
      <c r="AU22" s="81">
        <v>176.82400000000001</v>
      </c>
      <c r="AV22" s="81">
        <v>581.40689999999995</v>
      </c>
      <c r="AW22" s="81">
        <v>11.318</v>
      </c>
      <c r="AX22" s="81">
        <v>26.2775</v>
      </c>
      <c r="AY22" s="81">
        <v>91.341499999999996</v>
      </c>
      <c r="AZ22" s="81">
        <v>18.704000000000001</v>
      </c>
      <c r="BA22" s="81">
        <v>27.398099999999999</v>
      </c>
      <c r="BB22" s="81">
        <v>54.619100000000003</v>
      </c>
      <c r="BC22" s="82">
        <v>4.3680000000000003</v>
      </c>
      <c r="BD22" s="82">
        <v>0.86950000000000005</v>
      </c>
      <c r="BE22" s="82">
        <v>3.4746999999999999</v>
      </c>
      <c r="BF22" s="18">
        <f>((BD22-0.0742)/3.3092)*5</f>
        <v>1.2016499456061889</v>
      </c>
      <c r="BG22" s="18">
        <v>0.76739999999999997</v>
      </c>
      <c r="BH22" s="23">
        <f t="shared" si="1"/>
        <v>3.8369999999999997</v>
      </c>
      <c r="BI22" s="23"/>
      <c r="BJ22" s="23"/>
      <c r="BK22" s="23"/>
      <c r="BL22" s="82">
        <v>6.931</v>
      </c>
      <c r="BM22" s="82">
        <v>187.91909999999999</v>
      </c>
      <c r="BN22" s="82">
        <v>605.83590000000004</v>
      </c>
      <c r="BO22" s="82">
        <v>11.324</v>
      </c>
      <c r="BP22" s="82">
        <v>26.277799999999999</v>
      </c>
      <c r="BQ22" s="82">
        <v>91.370099999999994</v>
      </c>
      <c r="BR22" s="82">
        <v>18.698</v>
      </c>
      <c r="BS22" s="82">
        <v>29.744900000000001</v>
      </c>
      <c r="BT22" s="82">
        <v>59.193600000000004</v>
      </c>
      <c r="BX22" s="12">
        <f t="shared" ref="BX22:BX25" si="61">V22</f>
        <v>1.0585640033845038</v>
      </c>
      <c r="BY22" s="12">
        <f t="shared" ref="BY22:BY25" si="62">AN22</f>
        <v>1.1682581892904629</v>
      </c>
      <c r="BZ22" s="12">
        <f t="shared" ref="BZ22:BZ25" si="63">BF22</f>
        <v>1.2016499456061889</v>
      </c>
      <c r="CA22" s="12">
        <f t="shared" ref="CA22:CA25" si="64">AVERAGE(BX22:BY22)</f>
        <v>1.1134110963374835</v>
      </c>
      <c r="CB22">
        <f t="shared" ref="CB22:CB25" si="65">STDEV(BX22:BY22)</f>
        <v>7.7565502710841436E-2</v>
      </c>
      <c r="CC22">
        <v>3</v>
      </c>
      <c r="CD22">
        <v>3.18</v>
      </c>
      <c r="CE22" s="12">
        <f t="shared" ref="CE22:CE25" si="66">(CD22*CB22)/SQRT(CC22)</f>
        <v>0.14240823510638681</v>
      </c>
      <c r="CG22" s="12">
        <f>'0 Set 2&amp;3'!C22</f>
        <v>1246.0333333333331</v>
      </c>
      <c r="CH22" s="12">
        <f>'0 Set 2&amp;3'!U22</f>
        <v>1.6190476190476191</v>
      </c>
      <c r="CI22">
        <f t="shared" si="14"/>
        <v>3.7638333333333329</v>
      </c>
      <c r="CJ22">
        <f>'0 Set 2&amp;3'!$W22</f>
        <v>4.6204999999999998</v>
      </c>
      <c r="CQ22" t="s">
        <v>291</v>
      </c>
      <c r="CR22" s="37">
        <v>44512</v>
      </c>
      <c r="CS22" s="32">
        <v>0.47222222222222227</v>
      </c>
      <c r="CT22">
        <f>CW21+(24*2)</f>
        <v>1147.45</v>
      </c>
      <c r="CU22">
        <v>10</v>
      </c>
      <c r="CV22">
        <f t="shared" ref="CV22:CV37" si="67">(CT22*60)+CU22</f>
        <v>68857</v>
      </c>
      <c r="CW22">
        <f t="shared" ref="CW22:CW37" si="68">CV22/60</f>
        <v>1147.6166666666666</v>
      </c>
      <c r="CX22">
        <f t="shared" ref="CX22:CX37" si="69">(CW22-CY22)*60</f>
        <v>36.999999999993634</v>
      </c>
      <c r="CY22">
        <v>1147</v>
      </c>
      <c r="DC22">
        <v>1029.5999999999999</v>
      </c>
      <c r="DD22">
        <v>1.7530882139223949</v>
      </c>
    </row>
    <row r="23" spans="1:108">
      <c r="A23" s="226" t="s">
        <v>317</v>
      </c>
      <c r="B23" s="14">
        <v>44510</v>
      </c>
      <c r="C23" s="12">
        <v>1099.45</v>
      </c>
      <c r="D23" s="83">
        <v>4.3710000000000004</v>
      </c>
      <c r="E23" s="83">
        <v>0.16209999999999999</v>
      </c>
      <c r="F23" s="83">
        <v>0.31419999999999998</v>
      </c>
      <c r="G23" s="23">
        <f>((E23-0.0742)/3.3092)*5</f>
        <v>0.1328115556630001</v>
      </c>
      <c r="H23" s="23">
        <v>0.50149999999999995</v>
      </c>
      <c r="I23" s="23">
        <f t="shared" si="6"/>
        <v>2.5074999999999998</v>
      </c>
      <c r="J23" s="83">
        <v>6.9509999999999996</v>
      </c>
      <c r="K23" s="83">
        <v>220.57159999999999</v>
      </c>
      <c r="L23" s="83">
        <v>668.99919999999997</v>
      </c>
      <c r="M23" s="83">
        <v>11.308</v>
      </c>
      <c r="N23" s="83">
        <v>30.7623</v>
      </c>
      <c r="O23" s="83">
        <v>106.3173</v>
      </c>
      <c r="P23" s="83">
        <v>18.681000000000001</v>
      </c>
      <c r="Q23" s="83">
        <v>31.9223</v>
      </c>
      <c r="R23" s="83">
        <v>63.386099999999999</v>
      </c>
      <c r="S23" s="80">
        <v>4.3639999999999999</v>
      </c>
      <c r="T23" s="80">
        <v>0.7843</v>
      </c>
      <c r="U23" s="80">
        <v>3.0213000000000001</v>
      </c>
      <c r="V23" s="19">
        <f>((T23-0.0742)/3.3092)*5</f>
        <v>1.0729179257826664</v>
      </c>
      <c r="W23" s="19">
        <v>0.73529999999999995</v>
      </c>
      <c r="X23" s="23">
        <f t="shared" si="0"/>
        <v>3.6764999999999999</v>
      </c>
      <c r="Y23" s="23"/>
      <c r="Z23" s="23"/>
      <c r="AA23" s="23"/>
      <c r="AB23" s="80">
        <v>6.9480000000000004</v>
      </c>
      <c r="AC23" s="80">
        <v>214.6705</v>
      </c>
      <c r="AD23" s="80">
        <v>658.46119999999996</v>
      </c>
      <c r="AE23" s="80">
        <v>11.308</v>
      </c>
      <c r="AF23" s="80">
        <v>30.756399999999999</v>
      </c>
      <c r="AG23" s="80">
        <v>106.4037</v>
      </c>
      <c r="AH23" s="80">
        <v>18.684000000000001</v>
      </c>
      <c r="AI23" s="80">
        <v>30.794799999999999</v>
      </c>
      <c r="AJ23" s="80">
        <v>61.209099999999999</v>
      </c>
      <c r="AK23" s="81">
        <v>4.3639999999999999</v>
      </c>
      <c r="AL23" s="81">
        <v>0.85809999999999997</v>
      </c>
      <c r="AM23" s="81">
        <v>3.3889</v>
      </c>
      <c r="AN23" s="16">
        <f>((AL23-0.0742)/3.3092)*5</f>
        <v>1.1844252387283933</v>
      </c>
      <c r="AO23" s="16">
        <v>0.7631</v>
      </c>
      <c r="AP23" s="23">
        <f t="shared" si="9"/>
        <v>3.8155000000000001</v>
      </c>
      <c r="AQ23" s="23"/>
      <c r="AR23" s="23"/>
      <c r="AS23" s="23"/>
      <c r="AT23" s="81">
        <v>6.9340000000000002</v>
      </c>
      <c r="AU23" s="81">
        <v>202.7723</v>
      </c>
      <c r="AV23" s="81">
        <v>635.55769999999995</v>
      </c>
      <c r="AW23" s="81">
        <v>11.304</v>
      </c>
      <c r="AX23" s="81">
        <v>30.7727</v>
      </c>
      <c r="AY23" s="81">
        <v>106.4541</v>
      </c>
      <c r="AZ23" s="81">
        <v>18.690999999999999</v>
      </c>
      <c r="BA23" s="81">
        <v>28.613199999999999</v>
      </c>
      <c r="BB23" s="81">
        <v>56.987200000000001</v>
      </c>
      <c r="BC23" s="82">
        <v>4.3650000000000002</v>
      </c>
      <c r="BD23" s="82">
        <v>0.84940000000000004</v>
      </c>
      <c r="BE23" s="82">
        <v>3.3489</v>
      </c>
      <c r="BF23" s="18">
        <f>((BD23-0.0742)/3.3092)*5</f>
        <v>1.1712800676900761</v>
      </c>
      <c r="BG23" s="18">
        <v>0.75980000000000003</v>
      </c>
      <c r="BH23" s="23">
        <f t="shared" si="1"/>
        <v>3.7990000000000004</v>
      </c>
      <c r="BI23" s="23"/>
      <c r="BJ23" s="23"/>
      <c r="BK23" s="23"/>
      <c r="BL23" s="82">
        <v>6.9480000000000004</v>
      </c>
      <c r="BM23" s="82">
        <v>216.35329999999999</v>
      </c>
      <c r="BN23" s="82">
        <v>662.61339999999996</v>
      </c>
      <c r="BO23" s="82">
        <v>11.308</v>
      </c>
      <c r="BP23" s="82">
        <v>30.809200000000001</v>
      </c>
      <c r="BQ23" s="82">
        <v>106.4975</v>
      </c>
      <c r="BR23" s="82">
        <v>18.684999999999999</v>
      </c>
      <c r="BS23" s="82">
        <v>31.154800000000002</v>
      </c>
      <c r="BT23" s="82">
        <v>61.8992</v>
      </c>
      <c r="BX23" s="12">
        <f t="shared" si="61"/>
        <v>1.0729179257826664</v>
      </c>
      <c r="BY23" s="12">
        <f t="shared" si="62"/>
        <v>1.1844252387283933</v>
      </c>
      <c r="BZ23" s="12">
        <f t="shared" si="63"/>
        <v>1.1712800676900761</v>
      </c>
      <c r="CA23" s="12">
        <f t="shared" si="64"/>
        <v>1.1286715822555298</v>
      </c>
      <c r="CB23">
        <f t="shared" si="65"/>
        <v>7.8847577135814001E-2</v>
      </c>
      <c r="CC23">
        <v>3</v>
      </c>
      <c r="CD23">
        <v>3.18</v>
      </c>
      <c r="CE23" s="12">
        <f t="shared" si="66"/>
        <v>0.14476209023211217</v>
      </c>
      <c r="CG23" s="12">
        <f>'0 Set 2&amp;3'!C23</f>
        <v>1295.8499999999997</v>
      </c>
      <c r="CH23" s="12">
        <f>'0 Set 2&amp;3'!U23</f>
        <v>1.7085714285714286</v>
      </c>
      <c r="CI23">
        <f t="shared" si="14"/>
        <v>3.7636666666666669</v>
      </c>
      <c r="CJ23">
        <f>'0 Set 2&amp;3'!$W23</f>
        <v>4.7264999999999997</v>
      </c>
      <c r="CQ23" t="s">
        <v>292</v>
      </c>
      <c r="CR23" s="37">
        <v>44515</v>
      </c>
      <c r="CS23" s="32">
        <v>0.4694444444444445</v>
      </c>
      <c r="CT23">
        <f>CW22+(24*3)</f>
        <v>1219.6166666666666</v>
      </c>
      <c r="CU23">
        <v>-4</v>
      </c>
      <c r="CV23">
        <f t="shared" si="67"/>
        <v>73173</v>
      </c>
      <c r="CW23">
        <f t="shared" si="68"/>
        <v>1219.55</v>
      </c>
      <c r="CX23">
        <f t="shared" si="69"/>
        <v>32.999999999997272</v>
      </c>
      <c r="CY23">
        <v>1219</v>
      </c>
      <c r="DC23">
        <v>1080.9166666666665</v>
      </c>
      <c r="DD23">
        <v>1.9278301037854697</v>
      </c>
    </row>
    <row r="24" spans="1:108" ht="16" thickBot="1">
      <c r="A24" s="226" t="s">
        <v>325</v>
      </c>
      <c r="B24" s="14">
        <v>44512</v>
      </c>
      <c r="C24" s="12">
        <v>1147.6166666666666</v>
      </c>
      <c r="D24" s="131">
        <v>4.3609999999999998</v>
      </c>
      <c r="E24" s="131">
        <v>9.1200000000000003E-2</v>
      </c>
      <c r="F24" s="131">
        <v>0.33500000000000002</v>
      </c>
      <c r="G24" s="17">
        <f>((E24+0.3104)/3.4039)*5</f>
        <v>0.58991157202032962</v>
      </c>
      <c r="H24" s="17">
        <v>0.47489999999999999</v>
      </c>
      <c r="I24" s="23">
        <f t="shared" si="6"/>
        <v>2.3744999999999998</v>
      </c>
      <c r="J24" s="131">
        <v>6.8540000000000001</v>
      </c>
      <c r="K24" s="131">
        <v>198.22239999999999</v>
      </c>
      <c r="L24" s="131">
        <v>625.21420000000001</v>
      </c>
      <c r="M24" s="131">
        <v>11.093999999999999</v>
      </c>
      <c r="N24" s="131">
        <v>31.744</v>
      </c>
      <c r="O24" s="131">
        <v>107.5265</v>
      </c>
      <c r="P24" s="131">
        <v>18.274000000000001</v>
      </c>
      <c r="Q24" s="131">
        <v>24.673400000000001</v>
      </c>
      <c r="R24" s="131">
        <v>48.553600000000003</v>
      </c>
      <c r="S24" s="128">
        <v>4.351</v>
      </c>
      <c r="T24" s="128">
        <v>0.91039999999999999</v>
      </c>
      <c r="U24" s="128">
        <v>3.2665999999999999</v>
      </c>
      <c r="V24" s="17">
        <f>((T24+0.3104)/3.4039)*5</f>
        <v>1.7932371691295279</v>
      </c>
      <c r="W24" s="17">
        <v>0.78269999999999995</v>
      </c>
      <c r="X24" s="23">
        <f t="shared" si="0"/>
        <v>3.9135</v>
      </c>
      <c r="Y24" s="23"/>
      <c r="Z24" s="23"/>
      <c r="AA24" s="23"/>
      <c r="AB24" s="128">
        <v>6.8739999999999997</v>
      </c>
      <c r="AC24" s="128">
        <v>227.37520000000001</v>
      </c>
      <c r="AD24" s="128">
        <v>680.52229999999997</v>
      </c>
      <c r="AE24" s="128">
        <v>11.090999999999999</v>
      </c>
      <c r="AF24" s="128">
        <v>31.7072</v>
      </c>
      <c r="AG24" s="128">
        <v>107.1318</v>
      </c>
      <c r="AH24" s="128">
        <v>18.173999999999999</v>
      </c>
      <c r="AI24" s="128">
        <v>48.650599999999997</v>
      </c>
      <c r="AJ24" s="128">
        <v>93.283299999999997</v>
      </c>
      <c r="AK24" s="129">
        <v>4.351</v>
      </c>
      <c r="AL24" s="129">
        <v>1.0027999999999999</v>
      </c>
      <c r="AM24" s="129">
        <v>3.5712000000000002</v>
      </c>
      <c r="AN24" s="17">
        <f>((AL24+0.3104)/3.4039)*5</f>
        <v>1.9289638356003405</v>
      </c>
      <c r="AO24" s="17">
        <v>0.8175</v>
      </c>
      <c r="AP24" s="23">
        <f t="shared" si="9"/>
        <v>4.0875000000000004</v>
      </c>
      <c r="AQ24" s="23"/>
      <c r="AR24" s="23"/>
      <c r="AS24" s="23"/>
      <c r="AT24" s="129">
        <v>6.9009999999999998</v>
      </c>
      <c r="AU24" s="129">
        <v>267.0478</v>
      </c>
      <c r="AV24" s="129">
        <v>749.91610000000003</v>
      </c>
      <c r="AW24" s="129">
        <v>11.087999999999999</v>
      </c>
      <c r="AX24" s="129">
        <v>31.8721</v>
      </c>
      <c r="AY24" s="129">
        <v>107.6412</v>
      </c>
      <c r="AZ24" s="129">
        <v>18.123999999999999</v>
      </c>
      <c r="BA24" s="129">
        <v>62.042499999999997</v>
      </c>
      <c r="BB24" s="129">
        <v>116.5633</v>
      </c>
      <c r="BC24" s="130">
        <v>4.351</v>
      </c>
      <c r="BD24" s="130">
        <v>0.97030000000000005</v>
      </c>
      <c r="BE24" s="130">
        <v>3.4803000000000002</v>
      </c>
      <c r="BF24" s="17">
        <f>((BD24+0.3104)/3.4039)*5</f>
        <v>1.8812244778048706</v>
      </c>
      <c r="BG24" s="17">
        <v>0.80520000000000003</v>
      </c>
      <c r="BH24" s="23">
        <f t="shared" si="1"/>
        <v>4.0259999999999998</v>
      </c>
      <c r="BI24" s="23"/>
      <c r="BJ24" s="23"/>
      <c r="BK24" s="23"/>
      <c r="BL24" s="130">
        <v>6.9080000000000004</v>
      </c>
      <c r="BM24" s="130">
        <v>273.40370000000001</v>
      </c>
      <c r="BN24" s="130">
        <v>762.3261</v>
      </c>
      <c r="BO24" s="130">
        <v>11.087999999999999</v>
      </c>
      <c r="BP24" s="130">
        <v>31.806899999999999</v>
      </c>
      <c r="BQ24" s="130">
        <v>107.6786</v>
      </c>
      <c r="BR24" s="130">
        <v>18.167999999999999</v>
      </c>
      <c r="BS24" s="130">
        <v>48.215200000000003</v>
      </c>
      <c r="BT24" s="130">
        <v>92.541799999999995</v>
      </c>
      <c r="BX24" s="12">
        <f t="shared" si="61"/>
        <v>1.7932371691295279</v>
      </c>
      <c r="BY24" s="12">
        <f t="shared" si="62"/>
        <v>1.9289638356003405</v>
      </c>
      <c r="BZ24" s="12">
        <f t="shared" si="63"/>
        <v>1.8812244778048706</v>
      </c>
      <c r="CA24" s="12">
        <f t="shared" si="64"/>
        <v>1.8611005023649341</v>
      </c>
      <c r="CB24">
        <f t="shared" si="65"/>
        <v>9.5973246249356367E-2</v>
      </c>
      <c r="CC24">
        <v>3</v>
      </c>
      <c r="CD24">
        <v>3.18</v>
      </c>
      <c r="CE24" s="12">
        <f t="shared" si="66"/>
        <v>0.17620437099147671</v>
      </c>
      <c r="CG24" s="12">
        <f>'0 Set 2&amp;3'!C24</f>
        <v>1413.5999999999997</v>
      </c>
      <c r="CH24" s="12">
        <f>'0 Set 2&amp;3'!U24</f>
        <v>1.5503174603174605</v>
      </c>
      <c r="CI24">
        <f t="shared" si="14"/>
        <v>4.0090000000000003</v>
      </c>
      <c r="CJ24">
        <f>'0 Set 2&amp;3'!$W24</f>
        <v>4.5390000000000006</v>
      </c>
      <c r="CQ24" t="s">
        <v>315</v>
      </c>
      <c r="CR24" s="37">
        <v>44517</v>
      </c>
      <c r="CS24" s="32">
        <v>0.47638888888888892</v>
      </c>
      <c r="CT24">
        <f>CW23+(24*2)</f>
        <v>1267.55</v>
      </c>
      <c r="CU24">
        <v>10</v>
      </c>
      <c r="CV24">
        <f t="shared" si="67"/>
        <v>76063</v>
      </c>
      <c r="CW24">
        <f t="shared" si="68"/>
        <v>1267.7166666666667</v>
      </c>
      <c r="CX24">
        <f t="shared" si="69"/>
        <v>43.000000000001819</v>
      </c>
      <c r="CY24">
        <v>1267</v>
      </c>
      <c r="DC24" s="41">
        <v>1129.2166666666665</v>
      </c>
      <c r="DD24" s="41">
        <v>1.5992466685658215</v>
      </c>
    </row>
    <row r="25" spans="1:108" ht="16" thickTop="1">
      <c r="A25" s="226" t="s">
        <v>325</v>
      </c>
      <c r="B25" s="14">
        <v>44515</v>
      </c>
      <c r="C25" s="12">
        <v>1219.55</v>
      </c>
      <c r="D25" s="131">
        <v>4.3650000000000002</v>
      </c>
      <c r="E25" s="131">
        <v>9.11E-2</v>
      </c>
      <c r="F25" s="131">
        <v>0.3175</v>
      </c>
      <c r="G25" s="17">
        <f>((E25+0.3104)/3.4039)*5</f>
        <v>0.58976468168865126</v>
      </c>
      <c r="H25" s="17">
        <v>0.4748</v>
      </c>
      <c r="I25" s="23">
        <f t="shared" si="6"/>
        <v>2.3740000000000001</v>
      </c>
      <c r="J25" s="131">
        <v>6.8550000000000004</v>
      </c>
      <c r="K25" s="131">
        <v>199.99959999999999</v>
      </c>
      <c r="L25" s="131">
        <v>627.60509999999999</v>
      </c>
      <c r="M25" s="131">
        <v>11.087999999999999</v>
      </c>
      <c r="N25" s="131">
        <v>32.717300000000002</v>
      </c>
      <c r="O25" s="131">
        <v>111.0304</v>
      </c>
      <c r="P25" s="131">
        <v>18.265000000000001</v>
      </c>
      <c r="Q25" s="131">
        <v>24.5443</v>
      </c>
      <c r="R25" s="131">
        <v>48.397500000000001</v>
      </c>
      <c r="S25" s="128">
        <v>4.3540000000000001</v>
      </c>
      <c r="T25" s="128">
        <v>0.85109999999999997</v>
      </c>
      <c r="U25" s="128">
        <v>3.0992000000000002</v>
      </c>
      <c r="V25" s="17">
        <f>((T25+0.3104)/3.4039)*5</f>
        <v>1.7061312024442552</v>
      </c>
      <c r="W25" s="17">
        <v>0.76039999999999996</v>
      </c>
      <c r="X25" s="23">
        <f t="shared" si="0"/>
        <v>3.8019999999999996</v>
      </c>
      <c r="Y25" s="23"/>
      <c r="Z25" s="23"/>
      <c r="AA25" s="23"/>
      <c r="AB25" s="128">
        <v>6.851</v>
      </c>
      <c r="AC25" s="128">
        <v>194.86240000000001</v>
      </c>
      <c r="AD25" s="128">
        <v>617.51949999999999</v>
      </c>
      <c r="AE25" s="128">
        <v>11.087999999999999</v>
      </c>
      <c r="AF25" s="128">
        <v>32.960599999999999</v>
      </c>
      <c r="AG25" s="128">
        <v>110.8768</v>
      </c>
      <c r="AH25" s="128">
        <v>18.271000000000001</v>
      </c>
      <c r="AI25" s="128">
        <v>23.735199999999999</v>
      </c>
      <c r="AJ25" s="128">
        <v>46.8352</v>
      </c>
      <c r="AK25" s="129">
        <v>4.3540000000000001</v>
      </c>
      <c r="AL25" s="129">
        <v>0.92749999999999999</v>
      </c>
      <c r="AM25" s="129">
        <v>3.4422000000000001</v>
      </c>
      <c r="AN25" s="17">
        <f>((AL25+0.3104)/3.4039)*5</f>
        <v>1.8183554158465289</v>
      </c>
      <c r="AO25" s="17">
        <v>0.78910000000000002</v>
      </c>
      <c r="AP25" s="23">
        <f t="shared" si="9"/>
        <v>3.9455</v>
      </c>
      <c r="AQ25" s="23"/>
      <c r="AR25" s="23"/>
      <c r="AS25" s="23"/>
      <c r="AT25" s="129">
        <v>6.8440000000000003</v>
      </c>
      <c r="AU25" s="129">
        <v>193.0984</v>
      </c>
      <c r="AV25" s="129">
        <v>614.86099999999999</v>
      </c>
      <c r="AW25" s="129">
        <v>11.084</v>
      </c>
      <c r="AX25" s="129">
        <v>32.688400000000001</v>
      </c>
      <c r="AY25" s="129">
        <v>110.9331</v>
      </c>
      <c r="AZ25" s="129">
        <v>18.263999999999999</v>
      </c>
      <c r="BA25" s="129">
        <v>23.455400000000001</v>
      </c>
      <c r="BB25" s="129">
        <v>46.2697</v>
      </c>
      <c r="BC25" s="130">
        <v>4.3540000000000001</v>
      </c>
      <c r="BD25" s="130">
        <v>0.88729999999999998</v>
      </c>
      <c r="BE25" s="130">
        <v>3.2351999999999999</v>
      </c>
      <c r="BF25" s="17">
        <f>((BD25+0.3104)/3.4039)*5</f>
        <v>1.7593055025118245</v>
      </c>
      <c r="BG25" s="17">
        <v>0.77410000000000001</v>
      </c>
      <c r="BH25" s="23">
        <f t="shared" si="1"/>
        <v>3.8704999999999998</v>
      </c>
      <c r="BI25" s="23"/>
      <c r="BJ25" s="23"/>
      <c r="BK25" s="23"/>
      <c r="BL25" s="130">
        <v>6.8479999999999999</v>
      </c>
      <c r="BM25" s="130">
        <v>194.34829999999999</v>
      </c>
      <c r="BN25" s="130">
        <v>617.98609999999996</v>
      </c>
      <c r="BO25" s="130">
        <v>11.084</v>
      </c>
      <c r="BP25" s="130">
        <v>32.7577</v>
      </c>
      <c r="BQ25" s="130">
        <v>111.12309999999999</v>
      </c>
      <c r="BR25" s="130">
        <v>18.263999999999999</v>
      </c>
      <c r="BS25" s="130">
        <v>23.617799999999999</v>
      </c>
      <c r="BT25" s="130">
        <v>46.598300000000002</v>
      </c>
      <c r="BX25" s="12">
        <f t="shared" si="61"/>
        <v>1.7061312024442552</v>
      </c>
      <c r="BY25" s="12">
        <f t="shared" si="62"/>
        <v>1.8183554158465289</v>
      </c>
      <c r="BZ25" s="12">
        <f t="shared" si="63"/>
        <v>1.7593055025118245</v>
      </c>
      <c r="CA25" s="12">
        <f t="shared" si="64"/>
        <v>1.7622433091453922</v>
      </c>
      <c r="CB25">
        <f t="shared" si="65"/>
        <v>7.9354502310073988E-2</v>
      </c>
      <c r="CC25">
        <v>3</v>
      </c>
      <c r="CD25">
        <v>3.18</v>
      </c>
      <c r="CE25" s="12">
        <f t="shared" si="66"/>
        <v>0.14569279159901338</v>
      </c>
      <c r="CG25" s="12">
        <f>'0 Set 2&amp;3'!C25</f>
        <v>1461.333333333333</v>
      </c>
      <c r="CH25" s="12">
        <f>'0 Set 2&amp;3'!U25</f>
        <v>2.3676820047526466</v>
      </c>
      <c r="CI25">
        <f t="shared" si="14"/>
        <v>3.872666666666666</v>
      </c>
      <c r="CJ25">
        <f>'0 Set 2&amp;3'!$W25</f>
        <v>4.6219999999999999</v>
      </c>
      <c r="CQ25" t="s">
        <v>322</v>
      </c>
      <c r="CR25" s="37">
        <v>44519</v>
      </c>
      <c r="CS25" s="32">
        <v>0.39861111111111108</v>
      </c>
      <c r="CT25">
        <f>CW24+(24*2)-2</f>
        <v>1313.7166666666667</v>
      </c>
      <c r="CU25">
        <v>8</v>
      </c>
      <c r="CV25">
        <f t="shared" si="67"/>
        <v>78831</v>
      </c>
      <c r="CW25">
        <f t="shared" si="68"/>
        <v>1313.85</v>
      </c>
      <c r="CX25">
        <f t="shared" si="69"/>
        <v>50.999999999994543</v>
      </c>
      <c r="CY25">
        <v>1313</v>
      </c>
      <c r="DC25">
        <v>1197.6666666666665</v>
      </c>
      <c r="DD25">
        <v>1.5212230557401956</v>
      </c>
    </row>
    <row r="26" spans="1:108">
      <c r="A26" s="226" t="s">
        <v>335</v>
      </c>
      <c r="B26" s="14">
        <v>44517</v>
      </c>
      <c r="C26" s="12">
        <v>1267.7166666666667</v>
      </c>
      <c r="D26" s="79"/>
      <c r="E26" s="79"/>
      <c r="F26" s="79"/>
      <c r="G26" s="17">
        <v>0</v>
      </c>
      <c r="H26" s="17">
        <v>0</v>
      </c>
      <c r="I26" s="23">
        <f t="shared" si="6"/>
        <v>0</v>
      </c>
      <c r="J26" s="79">
        <v>6.8179999999999996</v>
      </c>
      <c r="K26" s="79">
        <v>149.92930000000001</v>
      </c>
      <c r="L26" s="79">
        <v>504.2645</v>
      </c>
      <c r="M26" s="79">
        <v>11.154999999999999</v>
      </c>
      <c r="N26" s="79">
        <v>7.1604999999999999</v>
      </c>
      <c r="O26" s="79">
        <v>24.557500000000001</v>
      </c>
      <c r="P26" s="79">
        <v>18.331</v>
      </c>
      <c r="Q26" s="79">
        <v>21.453700000000001</v>
      </c>
      <c r="R26" s="79">
        <v>42.632800000000003</v>
      </c>
      <c r="S26" s="79">
        <v>4.3639999999999999</v>
      </c>
      <c r="T26" s="79">
        <v>0.78759999999999997</v>
      </c>
      <c r="U26" s="79">
        <v>2.6415999999999999</v>
      </c>
      <c r="V26" s="17">
        <f>((T26-0.0771)/3.304)*5</f>
        <v>1.0752118644067796</v>
      </c>
      <c r="W26" s="17">
        <v>0.73660000000000003</v>
      </c>
      <c r="X26" s="23">
        <f t="shared" si="0"/>
        <v>3.6830000000000003</v>
      </c>
      <c r="Y26" s="23"/>
      <c r="Z26" s="23"/>
      <c r="AA26" s="23"/>
      <c r="AB26" s="79">
        <v>6.8140000000000001</v>
      </c>
      <c r="AC26" s="79">
        <v>148.9119</v>
      </c>
      <c r="AD26" s="79">
        <v>501.25310000000002</v>
      </c>
      <c r="AE26" s="79">
        <v>11.151</v>
      </c>
      <c r="AF26" s="79">
        <v>7.1571999999999996</v>
      </c>
      <c r="AG26" s="79">
        <v>24.546700000000001</v>
      </c>
      <c r="AH26" s="79">
        <v>18.331</v>
      </c>
      <c r="AI26" s="79">
        <v>21.330500000000001</v>
      </c>
      <c r="AJ26" s="79">
        <v>42.347900000000003</v>
      </c>
      <c r="AK26" s="79">
        <v>4.3650000000000002</v>
      </c>
      <c r="AL26" s="79">
        <v>0.87409999999999999</v>
      </c>
      <c r="AM26" s="79">
        <v>3.0257000000000001</v>
      </c>
      <c r="AN26" s="17">
        <f>((AL26-0.0771)/3.304)*5</f>
        <v>1.2061138014527844</v>
      </c>
      <c r="AO26" s="17">
        <v>0.76910000000000001</v>
      </c>
      <c r="AP26" s="23">
        <f t="shared" si="9"/>
        <v>3.8454999999999999</v>
      </c>
      <c r="AQ26" s="23"/>
      <c r="AR26" s="23"/>
      <c r="AS26" s="23"/>
      <c r="AT26" s="79">
        <v>6.8109999999999999</v>
      </c>
      <c r="AU26" s="79">
        <v>147.26740000000001</v>
      </c>
      <c r="AV26" s="79">
        <v>497.61130000000003</v>
      </c>
      <c r="AW26" s="79">
        <v>11.151</v>
      </c>
      <c r="AX26" s="79">
        <v>7.0782999999999996</v>
      </c>
      <c r="AY26" s="79">
        <v>24.253799999999998</v>
      </c>
      <c r="AZ26" s="79">
        <v>18.324999999999999</v>
      </c>
      <c r="BA26" s="79">
        <v>21.774799999999999</v>
      </c>
      <c r="BB26" s="79">
        <v>43.231299999999997</v>
      </c>
      <c r="BC26" s="79">
        <v>4.3639999999999999</v>
      </c>
      <c r="BD26" s="79">
        <v>0.84209999999999996</v>
      </c>
      <c r="BE26" s="79">
        <v>2.8813</v>
      </c>
      <c r="BF26" s="17">
        <f>((BD26-0.0771)/3.304)*5</f>
        <v>1.1576876513317189</v>
      </c>
      <c r="BG26" s="17">
        <v>0.7571</v>
      </c>
      <c r="BH26" s="23">
        <f t="shared" si="1"/>
        <v>3.7854999999999999</v>
      </c>
      <c r="BI26" s="23"/>
      <c r="BJ26" s="23"/>
      <c r="BK26" s="23"/>
      <c r="BL26" s="79">
        <v>6.8179999999999996</v>
      </c>
      <c r="BM26" s="79">
        <v>152.50640000000001</v>
      </c>
      <c r="BN26" s="79">
        <v>510.36309999999997</v>
      </c>
      <c r="BO26" s="79">
        <v>11.151</v>
      </c>
      <c r="BP26" s="79">
        <v>7.3312999999999997</v>
      </c>
      <c r="BQ26" s="79">
        <v>25.153099999999998</v>
      </c>
      <c r="BR26" s="79">
        <v>18.321000000000002</v>
      </c>
      <c r="BS26" s="79">
        <v>21.915400000000002</v>
      </c>
      <c r="BT26" s="79">
        <v>43.511400000000002</v>
      </c>
      <c r="BX26" s="12">
        <f t="shared" ref="BX26:BX28" si="70">V26</f>
        <v>1.0752118644067796</v>
      </c>
      <c r="BY26" s="12">
        <f t="shared" ref="BY26:BY28" si="71">AN26</f>
        <v>1.2061138014527844</v>
      </c>
      <c r="BZ26" s="12">
        <f t="shared" ref="BZ26:BZ28" si="72">BF26</f>
        <v>1.1576876513317189</v>
      </c>
      <c r="CA26" s="12">
        <f t="shared" ref="CA26:CA28" si="73">AVERAGE(BX26:BY26)</f>
        <v>1.1406628329297819</v>
      </c>
      <c r="CB26">
        <f t="shared" ref="CB26:CB28" si="74">STDEV(BX26:BY26)</f>
        <v>9.2561647355684479E-2</v>
      </c>
      <c r="CC26">
        <v>3</v>
      </c>
      <c r="CD26">
        <v>3.18</v>
      </c>
      <c r="CE26" s="12">
        <f t="shared" ref="CE26:CE28" si="75">(CD26*CB26)/SQRT(CC26)</f>
        <v>0.1699407646154581</v>
      </c>
      <c r="CG26" s="12">
        <f>'0 Set 2&amp;3'!C26</f>
        <v>1581.3499999999997</v>
      </c>
      <c r="CH26" s="12">
        <f>[2]Sets!G32</f>
        <v>2.4594944912508101</v>
      </c>
      <c r="CI26">
        <f t="shared" si="14"/>
        <v>3.7713333333333332</v>
      </c>
      <c r="CJ26">
        <f>[2]Sets!$I32</f>
        <v>4.734</v>
      </c>
      <c r="CQ26" t="s">
        <v>324</v>
      </c>
      <c r="CR26" s="37">
        <v>44522</v>
      </c>
      <c r="CS26" s="32">
        <v>0.18402777777777779</v>
      </c>
      <c r="CT26">
        <f>CW25+(24*3)+7</f>
        <v>1392.85</v>
      </c>
      <c r="CU26">
        <f>34-25</f>
        <v>9</v>
      </c>
      <c r="CV26">
        <f t="shared" si="67"/>
        <v>83580</v>
      </c>
      <c r="CW26">
        <f t="shared" si="68"/>
        <v>1393</v>
      </c>
      <c r="CX26">
        <f t="shared" si="69"/>
        <v>0</v>
      </c>
      <c r="CY26">
        <v>1393</v>
      </c>
      <c r="DC26">
        <v>1246.0333333333331</v>
      </c>
      <c r="DD26">
        <v>1.6190476190476191</v>
      </c>
    </row>
    <row r="27" spans="1:108">
      <c r="A27" s="226" t="s">
        <v>335</v>
      </c>
      <c r="B27" s="14">
        <v>44519</v>
      </c>
      <c r="C27" s="12">
        <v>1313.85</v>
      </c>
      <c r="D27" s="79"/>
      <c r="E27" s="79"/>
      <c r="F27" s="79"/>
      <c r="G27" s="17">
        <v>0</v>
      </c>
      <c r="H27" s="17">
        <v>0</v>
      </c>
      <c r="I27" s="23">
        <f t="shared" si="6"/>
        <v>0</v>
      </c>
      <c r="J27" s="79">
        <v>6.8079999999999998</v>
      </c>
      <c r="K27" s="79">
        <v>148.84059999999999</v>
      </c>
      <c r="L27" s="79">
        <v>501.77839999999998</v>
      </c>
      <c r="M27" s="79">
        <v>11.148</v>
      </c>
      <c r="N27" s="79">
        <v>6.1120999999999999</v>
      </c>
      <c r="O27" s="79">
        <v>20.863800000000001</v>
      </c>
      <c r="P27" s="79">
        <v>18.318000000000001</v>
      </c>
      <c r="Q27" s="79">
        <v>21.3719</v>
      </c>
      <c r="R27" s="79">
        <v>42.521500000000003</v>
      </c>
      <c r="S27" s="79">
        <v>4.3609999999999998</v>
      </c>
      <c r="T27" s="79">
        <v>0.78159999999999996</v>
      </c>
      <c r="U27" s="79">
        <v>2.6939000000000002</v>
      </c>
      <c r="V27" s="17">
        <f>((T27-0.0771)/3.304)*5</f>
        <v>1.0661319612590798</v>
      </c>
      <c r="W27" s="17">
        <v>0.73429999999999995</v>
      </c>
      <c r="X27" s="23">
        <f t="shared" si="0"/>
        <v>3.6715</v>
      </c>
      <c r="Y27" s="23"/>
      <c r="Z27" s="23"/>
      <c r="AA27" s="23"/>
      <c r="AB27" s="79">
        <v>6.8109999999999999</v>
      </c>
      <c r="AC27" s="79">
        <v>151.1448</v>
      </c>
      <c r="AD27" s="79">
        <v>507.11410000000001</v>
      </c>
      <c r="AE27" s="79">
        <v>11.144</v>
      </c>
      <c r="AF27" s="79">
        <v>6.1151999999999997</v>
      </c>
      <c r="AG27" s="79">
        <v>20.9239</v>
      </c>
      <c r="AH27" s="79">
        <v>18.317</v>
      </c>
      <c r="AI27" s="79">
        <v>21.183900000000001</v>
      </c>
      <c r="AJ27" s="79">
        <v>42.130699999999997</v>
      </c>
      <c r="AK27" s="79">
        <v>4.3639999999999999</v>
      </c>
      <c r="AL27" s="79">
        <v>0.88790000000000002</v>
      </c>
      <c r="AM27" s="79">
        <v>3.1613000000000002</v>
      </c>
      <c r="AN27" s="17">
        <f>((AL27-0.0771)/3.304)*5</f>
        <v>1.226997578692494</v>
      </c>
      <c r="AO27" s="17">
        <v>0.77429999999999999</v>
      </c>
      <c r="AP27" s="23">
        <f t="shared" si="9"/>
        <v>3.8715000000000002</v>
      </c>
      <c r="AQ27" s="23"/>
      <c r="AR27" s="23"/>
      <c r="AS27" s="23"/>
      <c r="AT27" s="79">
        <v>6.8079999999999998</v>
      </c>
      <c r="AU27" s="79">
        <v>146.7183</v>
      </c>
      <c r="AV27" s="79">
        <v>497.06849999999997</v>
      </c>
      <c r="AW27" s="79">
        <v>11.148</v>
      </c>
      <c r="AX27" s="79">
        <v>6.0679999999999996</v>
      </c>
      <c r="AY27" s="79">
        <v>20.743300000000001</v>
      </c>
      <c r="AZ27" s="79">
        <v>18.321000000000002</v>
      </c>
      <c r="BA27" s="79">
        <v>21.084</v>
      </c>
      <c r="BB27" s="79">
        <v>41.934800000000003</v>
      </c>
      <c r="BC27" s="79">
        <v>4.3609999999999998</v>
      </c>
      <c r="BD27" s="79">
        <v>0.84819999999999995</v>
      </c>
      <c r="BE27" s="79">
        <v>3.0009999999999999</v>
      </c>
      <c r="BF27" s="17">
        <f>((BD27-0.0771)/3.304)*5</f>
        <v>1.1669188861985471</v>
      </c>
      <c r="BG27" s="17">
        <v>0.75939999999999996</v>
      </c>
      <c r="BH27" s="23">
        <f t="shared" si="1"/>
        <v>3.7969999999999997</v>
      </c>
      <c r="BI27" s="23"/>
      <c r="BJ27" s="23"/>
      <c r="BK27" s="23"/>
      <c r="BL27" s="79">
        <v>6.8109999999999999</v>
      </c>
      <c r="BM27" s="79">
        <v>152.88800000000001</v>
      </c>
      <c r="BN27" s="79">
        <v>511.71409999999997</v>
      </c>
      <c r="BO27" s="79">
        <v>11.144</v>
      </c>
      <c r="BP27" s="79">
        <v>6.3308</v>
      </c>
      <c r="BQ27" s="79">
        <v>21.669</v>
      </c>
      <c r="BR27" s="79">
        <v>18.311</v>
      </c>
      <c r="BS27" s="79">
        <v>22.066700000000001</v>
      </c>
      <c r="BT27" s="79">
        <v>43.872599999999998</v>
      </c>
      <c r="BX27" s="12">
        <f t="shared" si="70"/>
        <v>1.0661319612590798</v>
      </c>
      <c r="BY27" s="12">
        <f t="shared" si="71"/>
        <v>1.226997578692494</v>
      </c>
      <c r="BZ27" s="12">
        <f t="shared" si="72"/>
        <v>1.1669188861985471</v>
      </c>
      <c r="CA27" s="12">
        <f t="shared" si="73"/>
        <v>1.1465647699757868</v>
      </c>
      <c r="CB27">
        <f t="shared" si="74"/>
        <v>0.11374916894692809</v>
      </c>
      <c r="CC27">
        <v>3</v>
      </c>
      <c r="CD27">
        <v>3.18</v>
      </c>
      <c r="CE27" s="12">
        <f t="shared" si="75"/>
        <v>0.20884050033090443</v>
      </c>
      <c r="CG27" s="12">
        <f>'0 Set 2&amp;3'!C27</f>
        <v>1701.5999999999997</v>
      </c>
      <c r="CH27" s="12">
        <f>[2]Sets!G33</f>
        <v>2.1687806684566242</v>
      </c>
      <c r="CI27">
        <f t="shared" si="14"/>
        <v>3.78</v>
      </c>
      <c r="CJ27">
        <f>[2]Sets!$I33</f>
        <v>4.38</v>
      </c>
      <c r="CQ27" t="s">
        <v>352</v>
      </c>
      <c r="CR27" s="37">
        <v>44524</v>
      </c>
      <c r="CS27" s="32">
        <v>0.18402777777777779</v>
      </c>
      <c r="CT27">
        <f>CW26+(24*2)</f>
        <v>1441</v>
      </c>
      <c r="CU27">
        <v>0</v>
      </c>
      <c r="CV27">
        <f t="shared" si="67"/>
        <v>86460</v>
      </c>
      <c r="CW27">
        <f t="shared" si="68"/>
        <v>1441</v>
      </c>
      <c r="CX27">
        <f t="shared" si="69"/>
        <v>0</v>
      </c>
      <c r="CY27">
        <v>1441</v>
      </c>
      <c r="DC27">
        <v>1295.8499999999997</v>
      </c>
      <c r="DD27">
        <v>1.7085714285714286</v>
      </c>
    </row>
    <row r="28" spans="1:108">
      <c r="A28" s="226" t="s">
        <v>335</v>
      </c>
      <c r="B28" s="14">
        <v>44522</v>
      </c>
      <c r="C28" s="12">
        <v>1393</v>
      </c>
      <c r="D28" s="79">
        <v>4.3680000000000003</v>
      </c>
      <c r="E28" s="79">
        <v>5.04E-2</v>
      </c>
      <c r="F28" s="79">
        <v>0.19239999999999999</v>
      </c>
      <c r="G28" s="17">
        <v>0</v>
      </c>
      <c r="H28" s="17">
        <v>0.45950000000000002</v>
      </c>
      <c r="I28" s="23">
        <f t="shared" si="6"/>
        <v>2.2975000000000003</v>
      </c>
      <c r="J28" s="151">
        <v>6.8109999999999999</v>
      </c>
      <c r="K28" s="151">
        <v>156.58760000000001</v>
      </c>
      <c r="L28" s="151">
        <v>520.42340000000002</v>
      </c>
      <c r="M28" s="79">
        <v>11.148</v>
      </c>
      <c r="N28" s="79">
        <v>1.4681</v>
      </c>
      <c r="O28" s="79">
        <v>4.8743999999999996</v>
      </c>
      <c r="P28" s="79">
        <v>18.300999999999998</v>
      </c>
      <c r="Q28" s="79">
        <v>22.133600000000001</v>
      </c>
      <c r="R28" s="79">
        <v>44.084099999999999</v>
      </c>
      <c r="S28" s="79">
        <v>4.3579999999999997</v>
      </c>
      <c r="T28" s="79">
        <v>0.85970000000000002</v>
      </c>
      <c r="U28" s="79">
        <v>3.052</v>
      </c>
      <c r="V28" s="17">
        <f>((T28-0.0771)/3.304)*5</f>
        <v>1.1843220338983051</v>
      </c>
      <c r="W28" s="17">
        <v>0.76370000000000005</v>
      </c>
      <c r="X28" s="23">
        <f t="shared" si="0"/>
        <v>3.8185000000000002</v>
      </c>
      <c r="Y28" s="23"/>
      <c r="Z28" s="23"/>
      <c r="AA28" s="23"/>
      <c r="AB28" s="151">
        <v>6.8550000000000004</v>
      </c>
      <c r="AC28" s="151">
        <v>205.53530000000001</v>
      </c>
      <c r="AD28" s="151">
        <v>620.96690000000001</v>
      </c>
      <c r="AE28" s="79">
        <v>11.148</v>
      </c>
      <c r="AF28" s="79">
        <v>1.5132000000000001</v>
      </c>
      <c r="AG28" s="79">
        <v>5.0292000000000003</v>
      </c>
      <c r="AH28" s="79">
        <v>18.285</v>
      </c>
      <c r="AI28" s="79">
        <v>25.606999999999999</v>
      </c>
      <c r="AJ28" s="79">
        <v>50.946899999999999</v>
      </c>
      <c r="AK28" s="79">
        <v>4.3440000000000003</v>
      </c>
      <c r="AL28" s="79">
        <v>0.66210000000000002</v>
      </c>
      <c r="AM28" s="79">
        <v>1.4634</v>
      </c>
      <c r="AN28" s="17">
        <f>((AL28-0.0771)/3.304)*5</f>
        <v>0.88529055690072633</v>
      </c>
      <c r="AO28" s="17">
        <v>0.68940000000000001</v>
      </c>
      <c r="AP28" s="23">
        <f t="shared" si="9"/>
        <v>3.4470000000000001</v>
      </c>
      <c r="AQ28" s="23"/>
      <c r="AR28" s="23"/>
      <c r="AS28" s="23"/>
      <c r="AT28" s="151">
        <v>7.3079999999999998</v>
      </c>
      <c r="AU28" s="151">
        <v>1000.6031</v>
      </c>
      <c r="AV28" s="151">
        <v>1577.2556999999999</v>
      </c>
      <c r="AW28" s="79">
        <v>11.148</v>
      </c>
      <c r="AX28" s="79">
        <v>1.5357000000000001</v>
      </c>
      <c r="AY28" s="79">
        <v>5.1050000000000004</v>
      </c>
      <c r="AZ28" s="79">
        <v>17.718</v>
      </c>
      <c r="BA28" s="79">
        <v>218.41419999999999</v>
      </c>
      <c r="BB28" s="79">
        <v>323.15339999999998</v>
      </c>
      <c r="BC28" s="79">
        <v>4.3579999999999997</v>
      </c>
      <c r="BD28" s="79">
        <v>0.99150000000000005</v>
      </c>
      <c r="BE28" s="79">
        <v>3.6698</v>
      </c>
      <c r="BF28" s="17">
        <f>((BD28-0.0771)/3.304)*5</f>
        <v>1.3837772397094432</v>
      </c>
      <c r="BG28" s="17">
        <v>0.81320000000000003</v>
      </c>
      <c r="BH28" s="23">
        <f t="shared" si="1"/>
        <v>4.0659999999999998</v>
      </c>
      <c r="BI28" s="23"/>
      <c r="BJ28" s="23"/>
      <c r="BK28" s="23"/>
      <c r="BL28" s="151">
        <v>6.8079999999999998</v>
      </c>
      <c r="BM28" s="151">
        <v>160.15600000000001</v>
      </c>
      <c r="BN28" s="151">
        <v>529.25189999999998</v>
      </c>
      <c r="BO28" s="79">
        <v>11.148</v>
      </c>
      <c r="BP28" s="79">
        <v>1.4854000000000001</v>
      </c>
      <c r="BQ28" s="79">
        <v>4.9387999999999996</v>
      </c>
      <c r="BR28" s="79">
        <v>18.300999999999998</v>
      </c>
      <c r="BS28" s="79">
        <v>22.548999999999999</v>
      </c>
      <c r="BT28" s="79">
        <v>44.968600000000002</v>
      </c>
      <c r="BX28" s="12">
        <f t="shared" si="70"/>
        <v>1.1843220338983051</v>
      </c>
      <c r="BY28" s="12">
        <f t="shared" si="71"/>
        <v>0.88529055690072633</v>
      </c>
      <c r="BZ28" s="12">
        <f t="shared" si="72"/>
        <v>1.3837772397094432</v>
      </c>
      <c r="CA28" s="12">
        <f t="shared" si="73"/>
        <v>1.0348062953995156</v>
      </c>
      <c r="CB28">
        <f t="shared" si="74"/>
        <v>0.21144718517321778</v>
      </c>
      <c r="CC28">
        <v>3</v>
      </c>
      <c r="CD28">
        <v>3.18</v>
      </c>
      <c r="CE28" s="12">
        <f t="shared" si="75"/>
        <v>0.38821150390768411</v>
      </c>
      <c r="CG28" s="12">
        <f>'0 Set 2&amp;3'!C28</f>
        <v>1749.133333333333</v>
      </c>
      <c r="CH28" s="12">
        <f>[2]Sets!G34</f>
        <v>2.0621359223300972</v>
      </c>
      <c r="CI28">
        <f t="shared" si="14"/>
        <v>3.7771666666666666</v>
      </c>
      <c r="CJ28">
        <f>[2]Sets!$I34</f>
        <v>4.8285</v>
      </c>
      <c r="CQ28" t="s">
        <v>351</v>
      </c>
      <c r="CR28" s="37">
        <v>44529</v>
      </c>
      <c r="CS28" s="32">
        <v>7.3611111111111113E-2</v>
      </c>
      <c r="CT28">
        <f>CW27+(24*5)-3</f>
        <v>1558</v>
      </c>
      <c r="CU28">
        <f>46-29</f>
        <v>17</v>
      </c>
      <c r="CV28">
        <f t="shared" si="67"/>
        <v>93497</v>
      </c>
      <c r="CW28">
        <f t="shared" si="68"/>
        <v>1558.2833333333333</v>
      </c>
      <c r="CX28">
        <f t="shared" si="69"/>
        <v>16.999999999998181</v>
      </c>
      <c r="CY28">
        <v>1558</v>
      </c>
      <c r="DC28">
        <v>1413.5999999999997</v>
      </c>
      <c r="DD28">
        <v>1.5503174603174605</v>
      </c>
    </row>
    <row r="29" spans="1:108">
      <c r="A29" s="226" t="s">
        <v>357</v>
      </c>
      <c r="B29" s="14">
        <v>44524</v>
      </c>
      <c r="C29" s="12">
        <v>1441</v>
      </c>
      <c r="D29" s="131">
        <v>0</v>
      </c>
      <c r="E29" s="131">
        <v>0</v>
      </c>
      <c r="F29" s="131">
        <v>0</v>
      </c>
      <c r="G29" s="17">
        <f>((E29+0.0454)/3.3186)*5</f>
        <v>6.8402338335442653E-2</v>
      </c>
      <c r="H29" s="17">
        <v>0</v>
      </c>
      <c r="I29" s="23">
        <f t="shared" si="6"/>
        <v>0</v>
      </c>
      <c r="J29" s="131">
        <v>6.7279999999999998</v>
      </c>
      <c r="K29" s="131">
        <v>161.36670000000001</v>
      </c>
      <c r="L29" s="131">
        <v>554.70950000000005</v>
      </c>
      <c r="M29" s="131">
        <v>10.935</v>
      </c>
      <c r="N29" s="131">
        <v>1.2817000000000001</v>
      </c>
      <c r="O29" s="131">
        <v>4.4187000000000003</v>
      </c>
      <c r="P29" s="131">
        <v>17.890999999999998</v>
      </c>
      <c r="Q29" s="131">
        <v>22.585999999999999</v>
      </c>
      <c r="R29" s="131">
        <v>47.003300000000003</v>
      </c>
      <c r="S29" s="128">
        <v>4.391</v>
      </c>
      <c r="T29" s="128">
        <v>1.3732</v>
      </c>
      <c r="U29" s="128">
        <v>2.6126999999999998</v>
      </c>
      <c r="V29" s="17">
        <f>((T29+0.0454)/3.3186)*5</f>
        <v>2.1373470740673781</v>
      </c>
      <c r="W29" s="17">
        <v>0.95669999999999999</v>
      </c>
      <c r="X29" s="23">
        <f t="shared" si="0"/>
        <v>4.7835000000000001</v>
      </c>
      <c r="Y29" s="23"/>
      <c r="Z29" s="23"/>
      <c r="AA29" s="23"/>
      <c r="AB29" s="128">
        <v>6.7240000000000002</v>
      </c>
      <c r="AC29" s="128">
        <v>157.9759</v>
      </c>
      <c r="AD29" s="128">
        <v>548.17650000000003</v>
      </c>
      <c r="AE29" s="128">
        <v>10.933999999999999</v>
      </c>
      <c r="AF29" s="128">
        <v>1.2702</v>
      </c>
      <c r="AG29" s="128">
        <v>4.3781999999999996</v>
      </c>
      <c r="AH29" s="128">
        <v>17.898</v>
      </c>
      <c r="AI29" s="128">
        <v>22.269100000000002</v>
      </c>
      <c r="AJ29" s="128">
        <v>46.3568</v>
      </c>
      <c r="AK29" s="129">
        <v>4.391</v>
      </c>
      <c r="AL29" s="129">
        <v>1.345</v>
      </c>
      <c r="AM29" s="129">
        <v>2.5541</v>
      </c>
      <c r="AN29" s="17">
        <f>((AL29+0.0454)/3.3186)*5</f>
        <v>2.0948592780087991</v>
      </c>
      <c r="AO29" s="17">
        <v>0.94610000000000005</v>
      </c>
      <c r="AP29" s="23">
        <f t="shared" si="9"/>
        <v>4.7305000000000001</v>
      </c>
      <c r="AQ29" s="23"/>
      <c r="AR29" s="23"/>
      <c r="AS29" s="23"/>
      <c r="AT29" s="129">
        <v>6.7249999999999996</v>
      </c>
      <c r="AU29" s="129">
        <v>154.55269999999999</v>
      </c>
      <c r="AV29" s="129">
        <v>540.09140000000002</v>
      </c>
      <c r="AW29" s="129">
        <v>10.938000000000001</v>
      </c>
      <c r="AX29" s="129">
        <v>1.2644</v>
      </c>
      <c r="AY29" s="129">
        <v>4.3600000000000003</v>
      </c>
      <c r="AZ29" s="129">
        <v>17.901</v>
      </c>
      <c r="BA29" s="129">
        <v>21.6508</v>
      </c>
      <c r="BB29" s="129">
        <v>45.0809</v>
      </c>
      <c r="BC29" s="130">
        <v>4.391</v>
      </c>
      <c r="BD29" s="130">
        <v>1.2721</v>
      </c>
      <c r="BE29" s="130">
        <v>2.3957000000000002</v>
      </c>
      <c r="BF29" s="17">
        <f>((BD29+0.0454)/3.3186)*5</f>
        <v>1.9850238052190685</v>
      </c>
      <c r="BG29" s="17">
        <v>0.91869999999999996</v>
      </c>
      <c r="BH29" s="23">
        <f t="shared" si="1"/>
        <v>4.5934999999999997</v>
      </c>
      <c r="BI29" s="23"/>
      <c r="BJ29" s="23"/>
      <c r="BK29" s="23"/>
      <c r="BL29" s="130">
        <v>6.7249999999999996</v>
      </c>
      <c r="BM29" s="130">
        <v>157.39439999999999</v>
      </c>
      <c r="BN29" s="130">
        <v>547.24120000000005</v>
      </c>
      <c r="BO29" s="130">
        <v>10.938000000000001</v>
      </c>
      <c r="BP29" s="130">
        <v>1.2713000000000001</v>
      </c>
      <c r="BQ29" s="130">
        <v>4.3792</v>
      </c>
      <c r="BR29" s="130">
        <v>17.898</v>
      </c>
      <c r="BS29" s="130">
        <v>22.085999999999999</v>
      </c>
      <c r="BT29" s="130">
        <v>45.953699999999998</v>
      </c>
      <c r="BX29" s="12">
        <f t="shared" ref="BX29:BX35" si="76">V29</f>
        <v>2.1373470740673781</v>
      </c>
      <c r="BY29" s="12">
        <f t="shared" ref="BY29:BY35" si="77">AN29</f>
        <v>2.0948592780087991</v>
      </c>
      <c r="BZ29" s="12">
        <f t="shared" ref="BZ29:BZ35" si="78">BF29</f>
        <v>1.9850238052190685</v>
      </c>
      <c r="CA29" s="12">
        <f t="shared" ref="CA29:CA35" si="79">AVERAGE(BX29:BY29)</f>
        <v>2.1161031760380888</v>
      </c>
      <c r="CB29">
        <f t="shared" ref="CB29:CB35" si="80">STDEV(BX29:BY29)</f>
        <v>3.0043408710692276E-2</v>
      </c>
      <c r="CC29">
        <v>3</v>
      </c>
      <c r="CD29">
        <v>3.18</v>
      </c>
      <c r="CE29" s="12">
        <f t="shared" ref="CE29:CE35" si="81">(CD29*CB29)/SQRT(CC29)</f>
        <v>5.5158912938644993E-2</v>
      </c>
      <c r="CG29" s="12">
        <f>'0 Set 2&amp;3'!C29</f>
        <v>1796.583333333333</v>
      </c>
      <c r="CH29" s="12">
        <f>[2]Sets!G35</f>
        <v>2.1169902912621361</v>
      </c>
      <c r="CI29">
        <f t="shared" si="14"/>
        <v>4.7024999999999997</v>
      </c>
      <c r="CJ29">
        <f>[2]Sets!$I35</f>
        <v>4.8920000000000003</v>
      </c>
      <c r="CQ29" t="s">
        <v>427</v>
      </c>
      <c r="CR29" s="37">
        <v>44533</v>
      </c>
      <c r="CS29" s="32">
        <v>0.43333333333333335</v>
      </c>
      <c r="CT29">
        <f>CW28+(24*4)-3</f>
        <v>1651.2833333333333</v>
      </c>
      <c r="CU29">
        <v>-22</v>
      </c>
      <c r="CV29">
        <f t="shared" si="67"/>
        <v>99055</v>
      </c>
      <c r="CW29">
        <f t="shared" si="68"/>
        <v>1650.9166666666667</v>
      </c>
      <c r="CX29">
        <f t="shared" si="69"/>
        <v>55.000000000004547</v>
      </c>
      <c r="CY29">
        <v>1650</v>
      </c>
      <c r="DC29">
        <v>1461.333333333333</v>
      </c>
      <c r="DD29">
        <v>2.3676820047526466</v>
      </c>
    </row>
    <row r="30" spans="1:108">
      <c r="A30" s="226" t="s">
        <v>357</v>
      </c>
      <c r="B30" s="14">
        <v>44529</v>
      </c>
      <c r="C30" s="12">
        <v>1558.2833333333333</v>
      </c>
      <c r="D30" s="131">
        <v>0</v>
      </c>
      <c r="E30" s="131">
        <v>0</v>
      </c>
      <c r="F30" s="131">
        <v>0</v>
      </c>
      <c r="G30" s="17">
        <f>((E30+0.0454)/3.3186)*5</f>
        <v>6.8402338335442653E-2</v>
      </c>
      <c r="H30" s="17">
        <v>0</v>
      </c>
      <c r="I30" s="23">
        <f t="shared" si="6"/>
        <v>0</v>
      </c>
      <c r="J30" s="131" t="s">
        <v>389</v>
      </c>
      <c r="K30" s="131" t="s">
        <v>390</v>
      </c>
      <c r="L30" s="131" t="s">
        <v>391</v>
      </c>
      <c r="M30" s="131">
        <v>10.928000000000001</v>
      </c>
      <c r="N30" s="131">
        <v>1.3386</v>
      </c>
      <c r="O30" s="131">
        <v>4.6041999999999996</v>
      </c>
      <c r="P30" s="131">
        <v>17.937999999999999</v>
      </c>
      <c r="Q30" s="131">
        <v>12.4237</v>
      </c>
      <c r="R30" s="131">
        <v>25.7105</v>
      </c>
      <c r="S30" s="128">
        <v>4.3810000000000002</v>
      </c>
      <c r="T30" s="128">
        <v>1.1276999999999999</v>
      </c>
      <c r="U30" s="128">
        <v>2.1595</v>
      </c>
      <c r="V30" s="17">
        <f>((T30+0.0454)/3.3186)*5</f>
        <v>1.7674621828481891</v>
      </c>
      <c r="W30" s="17">
        <v>0.86439999999999995</v>
      </c>
      <c r="X30" s="23">
        <f t="shared" si="0"/>
        <v>4.3220000000000001</v>
      </c>
      <c r="Y30" s="23"/>
      <c r="Z30" s="23"/>
      <c r="AA30" s="23"/>
      <c r="AB30" s="128">
        <v>6.6580000000000004</v>
      </c>
      <c r="AC30" s="128">
        <v>101.88590000000001</v>
      </c>
      <c r="AD30" s="128">
        <v>403.58359999999999</v>
      </c>
      <c r="AE30" s="128">
        <v>10.930999999999999</v>
      </c>
      <c r="AF30" s="128">
        <v>1.3483000000000001</v>
      </c>
      <c r="AG30" s="128">
        <v>4.641</v>
      </c>
      <c r="AH30" s="128">
        <v>17.940999999999999</v>
      </c>
      <c r="AI30" s="128">
        <v>12.2475</v>
      </c>
      <c r="AJ30" s="128">
        <v>25.3505</v>
      </c>
      <c r="AK30" s="129">
        <v>4.3810000000000002</v>
      </c>
      <c r="AL30" s="129">
        <v>1.2751999999999999</v>
      </c>
      <c r="AM30" s="129">
        <v>2.5468000000000002</v>
      </c>
      <c r="AN30" s="17">
        <f>((AL30+0.0454)/3.3186)*5</f>
        <v>1.9896944494666424</v>
      </c>
      <c r="AO30" s="17">
        <v>0.91979999999999995</v>
      </c>
      <c r="AP30" s="23">
        <f t="shared" si="9"/>
        <v>4.5990000000000002</v>
      </c>
      <c r="AQ30" s="23"/>
      <c r="AR30" s="23"/>
      <c r="AS30" s="23"/>
      <c r="AT30" s="129">
        <v>6.6509999999999998</v>
      </c>
      <c r="AU30" s="129">
        <v>98.5017</v>
      </c>
      <c r="AV30" s="129">
        <v>393.84589999999997</v>
      </c>
      <c r="AW30" s="129">
        <v>10.928000000000001</v>
      </c>
      <c r="AX30" s="129">
        <v>1.3487</v>
      </c>
      <c r="AY30" s="129">
        <v>4.6460999999999997</v>
      </c>
      <c r="AZ30" s="129">
        <v>17.937999999999999</v>
      </c>
      <c r="BA30" s="129">
        <v>11.846299999999999</v>
      </c>
      <c r="BB30" s="129">
        <v>24.503</v>
      </c>
      <c r="BC30" s="130">
        <v>4.3810000000000002</v>
      </c>
      <c r="BD30" s="130">
        <v>1.1063000000000001</v>
      </c>
      <c r="BE30" s="130">
        <v>2.1177000000000001</v>
      </c>
      <c r="BF30" s="17">
        <f>((BD30+0.0454)/3.3186)*5</f>
        <v>1.7352196709455798</v>
      </c>
      <c r="BG30" s="17">
        <v>0.85640000000000005</v>
      </c>
      <c r="BH30" s="23">
        <f t="shared" si="1"/>
        <v>4.282</v>
      </c>
      <c r="BI30" s="23"/>
      <c r="BJ30" s="23"/>
      <c r="BK30" s="23"/>
      <c r="BL30" s="130">
        <v>6.6609999999999996</v>
      </c>
      <c r="BM30" s="130">
        <v>102.6885</v>
      </c>
      <c r="BN30" s="130">
        <v>406.05770000000001</v>
      </c>
      <c r="BO30" s="130">
        <v>10.930999999999999</v>
      </c>
      <c r="BP30" s="130">
        <v>1.3433999999999999</v>
      </c>
      <c r="BQ30" s="130">
        <v>4.6341999999999999</v>
      </c>
      <c r="BR30" s="130">
        <v>17.945</v>
      </c>
      <c r="BS30" s="130">
        <v>12.3629</v>
      </c>
      <c r="BT30" s="130">
        <v>25.584599999999998</v>
      </c>
      <c r="BX30" s="12">
        <f t="shared" si="76"/>
        <v>1.7674621828481891</v>
      </c>
      <c r="BY30" s="12">
        <f t="shared" si="77"/>
        <v>1.9896944494666424</v>
      </c>
      <c r="BZ30" s="12">
        <f t="shared" si="78"/>
        <v>1.7352196709455798</v>
      </c>
      <c r="CA30" s="12">
        <f t="shared" si="79"/>
        <v>1.8785783161574159</v>
      </c>
      <c r="CB30">
        <f t="shared" si="80"/>
        <v>0.15714194272436516</v>
      </c>
      <c r="CC30">
        <v>3</v>
      </c>
      <c r="CD30">
        <v>3.18</v>
      </c>
      <c r="CE30" s="12">
        <f t="shared" si="81"/>
        <v>0.28850849852659971</v>
      </c>
      <c r="CG30" s="12">
        <f>'0 Set 2&amp;3'!C30</f>
        <v>1867.3999999999999</v>
      </c>
      <c r="CH30" s="12">
        <f>[2]Sets!G36</f>
        <v>1.6915873015873015</v>
      </c>
      <c r="CI30">
        <f t="shared" si="14"/>
        <v>4.4009999999999998</v>
      </c>
      <c r="CJ30">
        <f>[2]Sets!$I36</f>
        <v>4.3034999999999997</v>
      </c>
      <c r="CQ30" t="s">
        <v>426</v>
      </c>
      <c r="CR30" s="37">
        <v>44536</v>
      </c>
      <c r="CS30" s="32">
        <v>0.45902777777777781</v>
      </c>
      <c r="CT30">
        <f>CW29+(24*3)-1</f>
        <v>1721.9166666666667</v>
      </c>
      <c r="CU30">
        <v>23</v>
      </c>
      <c r="CV30">
        <f t="shared" si="67"/>
        <v>103338</v>
      </c>
      <c r="CW30">
        <f t="shared" si="68"/>
        <v>1722.3</v>
      </c>
      <c r="CX30">
        <f t="shared" si="69"/>
        <v>17.999999999997272</v>
      </c>
      <c r="CY30">
        <v>1722</v>
      </c>
      <c r="DC30">
        <v>1581.3499999999997</v>
      </c>
      <c r="DD30">
        <v>2.4594944912508101</v>
      </c>
    </row>
    <row r="31" spans="1:108">
      <c r="A31" s="226" t="s">
        <v>357</v>
      </c>
      <c r="B31" s="14">
        <v>44533</v>
      </c>
      <c r="C31" s="12">
        <v>1650.9166666666667</v>
      </c>
      <c r="G31" s="17">
        <f>((E31+0.0454)/3.3186)*5</f>
        <v>6.8402338335442653E-2</v>
      </c>
      <c r="H31" s="17">
        <v>0</v>
      </c>
      <c r="I31" s="23">
        <f t="shared" si="6"/>
        <v>0</v>
      </c>
      <c r="J31" s="131">
        <v>6.6710000000000003</v>
      </c>
      <c r="K31" s="131">
        <v>111.0393</v>
      </c>
      <c r="L31" s="131">
        <v>430.16500000000002</v>
      </c>
      <c r="M31" s="131">
        <v>10.930999999999999</v>
      </c>
      <c r="N31" s="131">
        <v>0.78580000000000005</v>
      </c>
      <c r="O31" s="131">
        <v>2.6798000000000002</v>
      </c>
      <c r="P31" s="131">
        <v>17.937999999999999</v>
      </c>
      <c r="Q31" s="131">
        <v>13.115600000000001</v>
      </c>
      <c r="R31" s="131">
        <v>27.172000000000001</v>
      </c>
      <c r="S31" s="128">
        <v>4.3739999999999997</v>
      </c>
      <c r="T31" s="128">
        <v>1.1652</v>
      </c>
      <c r="U31" s="128">
        <v>2.5634000000000001</v>
      </c>
      <c r="V31" s="17">
        <f>((T31+0.0454)/3.3186)*5</f>
        <v>1.823961911649491</v>
      </c>
      <c r="W31" s="17">
        <v>0.87849999999999995</v>
      </c>
      <c r="X31" s="23">
        <f t="shared" si="0"/>
        <v>4.3925000000000001</v>
      </c>
      <c r="Y31" s="23"/>
      <c r="Z31" s="23"/>
      <c r="AA31" s="23"/>
      <c r="AB31" s="128">
        <v>6.6779999999999999</v>
      </c>
      <c r="AC31" s="128">
        <v>119.7068</v>
      </c>
      <c r="AD31" s="128">
        <v>453.49540000000002</v>
      </c>
      <c r="AE31" s="128">
        <v>10.928000000000001</v>
      </c>
      <c r="AF31" s="128">
        <v>0.82550000000000001</v>
      </c>
      <c r="AG31" s="128">
        <v>2.8193000000000001</v>
      </c>
      <c r="AH31" s="128">
        <v>17.928000000000001</v>
      </c>
      <c r="AI31" s="128">
        <v>14.2555</v>
      </c>
      <c r="AJ31" s="128">
        <v>29.556100000000001</v>
      </c>
      <c r="AK31" s="129">
        <v>4.3739999999999997</v>
      </c>
      <c r="AL31" s="129">
        <v>1.2291000000000001</v>
      </c>
      <c r="AM31" s="129">
        <v>2.6107</v>
      </c>
      <c r="AN31" s="17">
        <f>((AL31+0.0454)/3.3186)*5</f>
        <v>1.9202374495269092</v>
      </c>
      <c r="AO31" s="17">
        <v>0.90249999999999997</v>
      </c>
      <c r="AP31" s="23">
        <f t="shared" si="9"/>
        <v>4.5125000000000002</v>
      </c>
      <c r="AQ31" s="23"/>
      <c r="AR31" s="23"/>
      <c r="AS31" s="23"/>
      <c r="AT31" s="129">
        <v>6.6710000000000003</v>
      </c>
      <c r="AU31" s="129">
        <v>113.5682</v>
      </c>
      <c r="AV31" s="129">
        <v>437.17149999999998</v>
      </c>
      <c r="AW31" s="129">
        <v>10.930999999999999</v>
      </c>
      <c r="AX31" s="129">
        <v>0.81730000000000003</v>
      </c>
      <c r="AY31" s="129">
        <v>2.7976000000000001</v>
      </c>
      <c r="AZ31" s="129">
        <v>17.934000000000001</v>
      </c>
      <c r="BA31" s="129">
        <v>13.4458</v>
      </c>
      <c r="BB31" s="129">
        <v>27.853300000000001</v>
      </c>
      <c r="BC31" s="130">
        <v>4.3710000000000004</v>
      </c>
      <c r="BD31" s="130">
        <v>1.2319</v>
      </c>
      <c r="BE31" s="130">
        <v>2.6213000000000002</v>
      </c>
      <c r="BF31" s="17">
        <f>((BD31+0.0454)/3.3186)*5</f>
        <v>1.9244560959440729</v>
      </c>
      <c r="BG31" s="17">
        <v>0.90359999999999996</v>
      </c>
      <c r="BH31" s="23">
        <f t="shared" si="1"/>
        <v>4.5179999999999998</v>
      </c>
      <c r="BI31" s="23"/>
      <c r="BJ31" s="23"/>
      <c r="BK31" s="23"/>
      <c r="BL31" s="130">
        <v>6.681</v>
      </c>
      <c r="BM31" s="130">
        <v>122.27970000000001</v>
      </c>
      <c r="BN31" s="130">
        <v>461.07619999999997</v>
      </c>
      <c r="BO31" s="130">
        <v>10.928000000000001</v>
      </c>
      <c r="BP31" s="130">
        <v>0.82740000000000002</v>
      </c>
      <c r="BQ31" s="130">
        <v>2.8237999999999999</v>
      </c>
      <c r="BR31" s="130">
        <v>17.928000000000001</v>
      </c>
      <c r="BS31" s="130">
        <v>14.578200000000001</v>
      </c>
      <c r="BT31" s="130">
        <v>30.230899999999998</v>
      </c>
      <c r="BX31" s="12">
        <f t="shared" si="76"/>
        <v>1.823961911649491</v>
      </c>
      <c r="BY31" s="12">
        <f t="shared" si="77"/>
        <v>1.9202374495269092</v>
      </c>
      <c r="BZ31" s="12">
        <f t="shared" si="78"/>
        <v>1.9244560959440729</v>
      </c>
      <c r="CA31" s="12">
        <f t="shared" si="79"/>
        <v>1.8720996805882</v>
      </c>
      <c r="CB31">
        <f t="shared" si="80"/>
        <v>6.807708569550476E-2</v>
      </c>
      <c r="CC31">
        <v>3</v>
      </c>
      <c r="CD31">
        <v>3.18</v>
      </c>
      <c r="CE31" s="12">
        <f t="shared" si="81"/>
        <v>0.12498774953118477</v>
      </c>
      <c r="CG31" s="12">
        <f>'0 Set 2&amp;3'!C31</f>
        <v>1916.1999999999998</v>
      </c>
      <c r="CH31" s="12">
        <f>'0 Set 2&amp;3'!U31</f>
        <v>1.6050793650793649</v>
      </c>
      <c r="CI31">
        <f t="shared" si="14"/>
        <v>4.4743333333333331</v>
      </c>
      <c r="CJ31">
        <f>'0 Set 2&amp;3'!$W31</f>
        <v>4.2009999999999996</v>
      </c>
      <c r="CQ31" t="s">
        <v>425</v>
      </c>
      <c r="CR31" s="37">
        <v>44538</v>
      </c>
      <c r="CS31" s="32">
        <v>0.47569444444444442</v>
      </c>
      <c r="CT31">
        <f>CW30+(24*2)</f>
        <v>1770.3</v>
      </c>
      <c r="CU31">
        <v>24</v>
      </c>
      <c r="CV31">
        <f t="shared" si="67"/>
        <v>106242</v>
      </c>
      <c r="CW31">
        <f t="shared" si="68"/>
        <v>1770.7</v>
      </c>
      <c r="CX31">
        <f t="shared" si="69"/>
        <v>42.000000000002728</v>
      </c>
      <c r="CY31">
        <v>1770</v>
      </c>
      <c r="DC31">
        <v>1701.5999999999997</v>
      </c>
      <c r="DD31">
        <v>2.1687806684566242</v>
      </c>
    </row>
    <row r="32" spans="1:108">
      <c r="A32" s="226" t="s">
        <v>429</v>
      </c>
      <c r="B32" s="14">
        <v>44536</v>
      </c>
      <c r="C32" s="12">
        <v>1722.3</v>
      </c>
      <c r="D32" s="131">
        <v>0</v>
      </c>
      <c r="E32" s="131">
        <v>0</v>
      </c>
      <c r="F32" s="131">
        <v>0</v>
      </c>
      <c r="G32" s="17">
        <f>((E32+0.0666)/3.3637)*5</f>
        <v>9.8998127062460986E-2</v>
      </c>
      <c r="H32" s="17">
        <v>0</v>
      </c>
      <c r="I32" s="23">
        <f t="shared" si="6"/>
        <v>0</v>
      </c>
      <c r="J32" s="131">
        <v>6.6379999999999999</v>
      </c>
      <c r="K32" s="131">
        <v>140.62700000000001</v>
      </c>
      <c r="L32" s="131">
        <v>511.78989999999999</v>
      </c>
      <c r="M32" s="131">
        <v>10.811</v>
      </c>
      <c r="N32" s="131">
        <v>0.53339999999999999</v>
      </c>
      <c r="O32" s="131">
        <v>1.84</v>
      </c>
      <c r="P32" s="131">
        <v>17.468</v>
      </c>
      <c r="Q32" s="131">
        <v>27.547599999999999</v>
      </c>
      <c r="R32" s="131">
        <v>58.596899999999998</v>
      </c>
      <c r="S32" s="128">
        <v>4.3710000000000004</v>
      </c>
      <c r="T32" s="128">
        <v>1.2810999999999999</v>
      </c>
      <c r="U32" s="128">
        <v>2.3931</v>
      </c>
      <c r="V32" s="17">
        <f>((T32+0.0666)/3.3637)*5</f>
        <v>2.0032999375687486</v>
      </c>
      <c r="W32" s="17">
        <v>0.92200000000000004</v>
      </c>
      <c r="X32" s="23">
        <f t="shared" si="0"/>
        <v>4.6100000000000003</v>
      </c>
      <c r="Y32" s="23"/>
      <c r="Z32" s="23"/>
      <c r="AA32" s="23"/>
      <c r="AB32" s="128">
        <v>6.6449999999999996</v>
      </c>
      <c r="AC32" s="128">
        <v>144.45160000000001</v>
      </c>
      <c r="AD32" s="128">
        <v>520.82349999999997</v>
      </c>
      <c r="AE32" s="128">
        <v>10.815</v>
      </c>
      <c r="AF32" s="128">
        <v>0.54300000000000004</v>
      </c>
      <c r="AG32" s="128">
        <v>1.871</v>
      </c>
      <c r="AH32" s="128">
        <v>17.468</v>
      </c>
      <c r="AI32" s="128">
        <v>28.4937</v>
      </c>
      <c r="AJ32" s="128">
        <v>60.539299999999997</v>
      </c>
      <c r="AK32" s="129">
        <v>4.3710000000000004</v>
      </c>
      <c r="AL32" s="129">
        <v>1.2190000000000001</v>
      </c>
      <c r="AM32" s="129">
        <v>2.246</v>
      </c>
      <c r="AN32" s="17">
        <f>((AL32+0.0666)/3.3637)*5</f>
        <v>1.9109908731456433</v>
      </c>
      <c r="AO32" s="17">
        <v>0.89870000000000005</v>
      </c>
      <c r="AP32" s="23">
        <f t="shared" si="9"/>
        <v>4.4935</v>
      </c>
      <c r="AQ32" s="23"/>
      <c r="AR32" s="23"/>
      <c r="AS32" s="23"/>
      <c r="AT32" s="129">
        <v>6.6310000000000002</v>
      </c>
      <c r="AU32" s="129">
        <v>131.80160000000001</v>
      </c>
      <c r="AV32" s="129">
        <v>490.59809999999999</v>
      </c>
      <c r="AW32" s="129">
        <v>10.811</v>
      </c>
      <c r="AX32" s="129">
        <v>0.53049999999999997</v>
      </c>
      <c r="AY32" s="129">
        <v>1.8318000000000001</v>
      </c>
      <c r="AZ32" s="129">
        <v>17.478000000000002</v>
      </c>
      <c r="BA32" s="129">
        <v>25.7288</v>
      </c>
      <c r="BB32" s="129">
        <v>54.772100000000002</v>
      </c>
      <c r="BC32" s="130">
        <v>4.3710000000000004</v>
      </c>
      <c r="BD32" s="130">
        <v>1.2883</v>
      </c>
      <c r="BE32" s="130">
        <v>2.4392999999999998</v>
      </c>
      <c r="BF32" s="17">
        <f>((BD32+0.0666)/3.3637)*5</f>
        <v>2.0140024377917172</v>
      </c>
      <c r="BG32" s="17">
        <v>0.92479999999999996</v>
      </c>
      <c r="BH32" s="23">
        <f t="shared" si="1"/>
        <v>4.6239999999999997</v>
      </c>
      <c r="BI32" s="23"/>
      <c r="BJ32" s="23"/>
      <c r="BK32" s="23"/>
      <c r="BL32" s="130">
        <v>6.6340000000000003</v>
      </c>
      <c r="BM32" s="130">
        <v>134.10929999999999</v>
      </c>
      <c r="BN32" s="130">
        <v>495.86160000000001</v>
      </c>
      <c r="BO32" s="130">
        <v>10.814</v>
      </c>
      <c r="BP32" s="130">
        <v>0.53080000000000005</v>
      </c>
      <c r="BQ32" s="130">
        <v>1.8357000000000001</v>
      </c>
      <c r="BR32" s="130">
        <v>17.478000000000002</v>
      </c>
      <c r="BS32" s="130">
        <v>26.218599999999999</v>
      </c>
      <c r="BT32" s="130">
        <v>55.816600000000001</v>
      </c>
      <c r="BX32" s="12">
        <f t="shared" si="76"/>
        <v>2.0032999375687486</v>
      </c>
      <c r="BY32" s="12">
        <f t="shared" si="77"/>
        <v>1.9109908731456433</v>
      </c>
      <c r="BZ32" s="12">
        <f t="shared" si="78"/>
        <v>2.0140024377917172</v>
      </c>
      <c r="CA32" s="12">
        <f t="shared" si="79"/>
        <v>1.9571454053571959</v>
      </c>
      <c r="CB32">
        <f t="shared" si="80"/>
        <v>6.5272365418563613E-2</v>
      </c>
      <c r="CC32">
        <v>3</v>
      </c>
      <c r="CD32">
        <v>3.18</v>
      </c>
      <c r="CE32" s="12">
        <f t="shared" si="81"/>
        <v>0.11983835642926322</v>
      </c>
      <c r="CG32" s="12">
        <f>'0 Set 2&amp;3'!C32</f>
        <v>1964.883333333333</v>
      </c>
      <c r="CH32" s="12">
        <f>'0 Set 2&amp;3'!U32</f>
        <v>1.6357142857142857</v>
      </c>
      <c r="CI32">
        <f t="shared" si="14"/>
        <v>4.5758333333333328</v>
      </c>
      <c r="CJ32">
        <f>'0 Set 2&amp;3'!$W32</f>
        <v>4.2374999999999998</v>
      </c>
      <c r="CQ32" t="s">
        <v>873</v>
      </c>
      <c r="CR32" s="37">
        <v>44908</v>
      </c>
      <c r="CS32" s="32">
        <v>0.48194444444444445</v>
      </c>
      <c r="CT32">
        <f>CW31+(24*5)</f>
        <v>1890.7</v>
      </c>
      <c r="CU32">
        <v>9</v>
      </c>
      <c r="CV32">
        <f t="shared" si="67"/>
        <v>113451</v>
      </c>
      <c r="CW32">
        <f t="shared" si="68"/>
        <v>1890.85</v>
      </c>
      <c r="CX32">
        <f t="shared" si="69"/>
        <v>50.999999999994543</v>
      </c>
      <c r="CY32">
        <v>1890</v>
      </c>
      <c r="DC32">
        <v>1749.133333333333</v>
      </c>
      <c r="DD32">
        <v>2.0621359223300972</v>
      </c>
    </row>
    <row r="33" spans="1:109">
      <c r="A33" s="226" t="s">
        <v>429</v>
      </c>
      <c r="B33" s="14">
        <v>44538</v>
      </c>
      <c r="C33" s="12">
        <v>1770.7</v>
      </c>
      <c r="D33" s="131">
        <v>0</v>
      </c>
      <c r="E33" s="131">
        <v>0</v>
      </c>
      <c r="F33" s="131">
        <v>0</v>
      </c>
      <c r="G33" s="17">
        <f>((E33+0.0666)/3.3637)*5</f>
        <v>9.8998127062460986E-2</v>
      </c>
      <c r="H33" s="17">
        <v>0</v>
      </c>
      <c r="I33" s="23">
        <f t="shared" si="6"/>
        <v>0</v>
      </c>
      <c r="J33" s="131">
        <v>6.641</v>
      </c>
      <c r="K33" s="131">
        <v>146.0556</v>
      </c>
      <c r="L33" s="131">
        <v>524.16669999999999</v>
      </c>
      <c r="M33" s="131">
        <v>10.804</v>
      </c>
      <c r="N33" s="131">
        <v>0.48199999999999998</v>
      </c>
      <c r="O33" s="131">
        <v>1.6563000000000001</v>
      </c>
      <c r="P33" s="131">
        <v>17.457999999999998</v>
      </c>
      <c r="Q33" s="131">
        <v>29.130299999999998</v>
      </c>
      <c r="R33" s="131">
        <v>61.881</v>
      </c>
      <c r="S33" s="128">
        <v>4.3609999999999998</v>
      </c>
      <c r="T33" s="128">
        <v>1.3863000000000001</v>
      </c>
      <c r="U33" s="128">
        <v>3.1705999999999999</v>
      </c>
      <c r="V33" s="17">
        <f>((T33+0.0666)/3.3637)*5</f>
        <v>2.1596753574932368</v>
      </c>
      <c r="W33" s="17">
        <v>0.96160000000000001</v>
      </c>
      <c r="X33" s="23">
        <f t="shared" si="0"/>
        <v>4.8079999999999998</v>
      </c>
      <c r="Y33" s="23"/>
      <c r="Z33" s="23"/>
      <c r="AA33" s="23"/>
      <c r="AB33" s="128">
        <v>6.6449999999999996</v>
      </c>
      <c r="AC33" s="128">
        <v>148.83949999999999</v>
      </c>
      <c r="AD33" s="128">
        <v>532.25930000000005</v>
      </c>
      <c r="AE33" s="128">
        <v>10.805</v>
      </c>
      <c r="AF33" s="128">
        <v>0.45240000000000002</v>
      </c>
      <c r="AG33" s="128">
        <v>1.5536000000000001</v>
      </c>
      <c r="AH33" s="128">
        <v>17.440999999999999</v>
      </c>
      <c r="AI33" s="128">
        <v>32.763199999999998</v>
      </c>
      <c r="AJ33" s="128">
        <v>69.365700000000004</v>
      </c>
      <c r="AK33" s="129">
        <v>4.3680000000000003</v>
      </c>
      <c r="AL33" s="129">
        <v>1.3885000000000001</v>
      </c>
      <c r="AM33" s="129">
        <v>2.7730999999999999</v>
      </c>
      <c r="AN33" s="17">
        <f>((AL33+0.0666)/3.3637)*5</f>
        <v>2.1629455658946992</v>
      </c>
      <c r="AO33" s="17">
        <v>0.96240000000000003</v>
      </c>
      <c r="AP33" s="23">
        <f t="shared" si="9"/>
        <v>4.8120000000000003</v>
      </c>
      <c r="AQ33" s="23"/>
      <c r="AR33" s="23"/>
      <c r="AS33" s="23"/>
      <c r="AT33" s="129">
        <v>6.758</v>
      </c>
      <c r="AU33" s="129">
        <v>296.82139999999998</v>
      </c>
      <c r="AV33" s="129">
        <v>825.85230000000001</v>
      </c>
      <c r="AW33" s="129">
        <v>10.794</v>
      </c>
      <c r="AX33" s="129">
        <v>0.44800000000000001</v>
      </c>
      <c r="AY33" s="129">
        <v>1.5336000000000001</v>
      </c>
      <c r="AZ33" s="129">
        <v>17.201000000000001</v>
      </c>
      <c r="BA33" s="129">
        <v>102.0091</v>
      </c>
      <c r="BB33" s="129">
        <v>192.55160000000001</v>
      </c>
      <c r="BC33" s="130">
        <v>4.3639999999999999</v>
      </c>
      <c r="BD33" s="130">
        <v>1.6374</v>
      </c>
      <c r="BE33" s="130">
        <v>3.5381</v>
      </c>
      <c r="BF33" s="17">
        <f>((BD33+0.0666)/3.3637)*5</f>
        <v>2.5329250527692722</v>
      </c>
      <c r="BG33" s="17">
        <v>1.0559000000000001</v>
      </c>
      <c r="BH33" s="23">
        <f t="shared" si="1"/>
        <v>5.2795000000000005</v>
      </c>
      <c r="BI33" s="23"/>
      <c r="BJ33" s="23"/>
      <c r="BK33" s="23"/>
      <c r="BL33" s="130">
        <v>6.6479999999999997</v>
      </c>
      <c r="BM33" s="130">
        <v>149.5521</v>
      </c>
      <c r="BN33" s="130">
        <v>533.8972</v>
      </c>
      <c r="BO33" s="130">
        <v>10.804</v>
      </c>
      <c r="BP33" s="130">
        <v>0.43049999999999999</v>
      </c>
      <c r="BQ33" s="130">
        <v>1.4765999999999999</v>
      </c>
      <c r="BR33" s="130">
        <v>17.448</v>
      </c>
      <c r="BS33" s="130">
        <v>32.707900000000002</v>
      </c>
      <c r="BT33" s="130">
        <v>69.224699999999999</v>
      </c>
      <c r="BX33" s="12">
        <f t="shared" si="76"/>
        <v>2.1596753574932368</v>
      </c>
      <c r="BY33" s="12">
        <f t="shared" si="77"/>
        <v>2.1629455658946992</v>
      </c>
      <c r="BZ33" s="12">
        <f t="shared" si="78"/>
        <v>2.5329250527692722</v>
      </c>
      <c r="CA33" s="12">
        <f t="shared" si="79"/>
        <v>2.1613104616939678</v>
      </c>
      <c r="CB33">
        <f t="shared" si="80"/>
        <v>2.3123865365672937E-3</v>
      </c>
      <c r="CC33">
        <v>3</v>
      </c>
      <c r="CD33">
        <v>3.18</v>
      </c>
      <c r="CE33" s="12">
        <f t="shared" si="81"/>
        <v>4.2454812261571474E-3</v>
      </c>
      <c r="CG33" s="12">
        <f>'0 Set 2&amp;3'!C33</f>
        <v>2060.8833333333332</v>
      </c>
      <c r="CH33" s="12">
        <f>'0 Set 2&amp;3'!U33</f>
        <v>2.7054717042112406</v>
      </c>
      <c r="CI33">
        <f t="shared" si="14"/>
        <v>4.9664999999999999</v>
      </c>
      <c r="CJ33">
        <f>'0 Set 2&amp;3'!$W33</f>
        <v>4.4630000000000001</v>
      </c>
      <c r="CQ33" t="s">
        <v>874</v>
      </c>
      <c r="CR33" s="37">
        <v>44911</v>
      </c>
      <c r="CS33" s="32">
        <v>0.43472222222222223</v>
      </c>
      <c r="CT33">
        <f>CW32+(24*3)-1</f>
        <v>1961.85</v>
      </c>
      <c r="CU33">
        <v>-8</v>
      </c>
      <c r="CV33">
        <f t="shared" si="67"/>
        <v>117703</v>
      </c>
      <c r="CW33">
        <f t="shared" si="68"/>
        <v>1961.7166666666667</v>
      </c>
      <c r="CX33">
        <f t="shared" si="69"/>
        <v>43.000000000001819</v>
      </c>
      <c r="CY33">
        <v>1961</v>
      </c>
      <c r="DC33">
        <v>1796.583333333333</v>
      </c>
      <c r="DD33">
        <v>2.1169902912621361</v>
      </c>
    </row>
    <row r="34" spans="1:109">
      <c r="A34" s="226" t="s">
        <v>458</v>
      </c>
      <c r="B34" s="14">
        <v>44543</v>
      </c>
      <c r="C34" s="12">
        <v>1890.85</v>
      </c>
      <c r="D34" s="131">
        <v>0</v>
      </c>
      <c r="E34" s="131">
        <v>0</v>
      </c>
      <c r="F34" s="131">
        <v>0</v>
      </c>
      <c r="G34" s="52">
        <f>((E34+0.0143)/3.4405)*5</f>
        <v>2.0781863101293416E-2</v>
      </c>
      <c r="H34" s="52">
        <v>0</v>
      </c>
      <c r="I34" s="23">
        <f t="shared" si="6"/>
        <v>0</v>
      </c>
      <c r="J34" s="131">
        <v>6.7210000000000001</v>
      </c>
      <c r="K34" s="131">
        <v>154.72569999999999</v>
      </c>
      <c r="L34" s="131">
        <v>529.04290000000003</v>
      </c>
      <c r="M34" s="131">
        <v>10.928000000000001</v>
      </c>
      <c r="N34" s="131">
        <v>0.83660000000000001</v>
      </c>
      <c r="O34" s="131">
        <v>2.8818999999999999</v>
      </c>
      <c r="P34" s="131">
        <v>18.100999999999999</v>
      </c>
      <c r="Q34" s="131">
        <v>20.438300000000002</v>
      </c>
      <c r="R34" s="131">
        <v>42.413400000000003</v>
      </c>
      <c r="S34" s="128">
        <v>4.4080000000000004</v>
      </c>
      <c r="T34" s="128">
        <v>1.4832000000000001</v>
      </c>
      <c r="U34" s="128">
        <v>2.8698999999999999</v>
      </c>
      <c r="V34" s="52">
        <f>((T34+0.0143)/3.4405)*5</f>
        <v>2.1762825170760065</v>
      </c>
      <c r="W34" s="52">
        <v>0.998</v>
      </c>
      <c r="X34" s="23">
        <f t="shared" si="0"/>
        <v>4.99</v>
      </c>
      <c r="Y34" s="23"/>
      <c r="Z34" s="23"/>
      <c r="AA34" s="23"/>
      <c r="AB34" s="128">
        <v>6.7350000000000003</v>
      </c>
      <c r="AC34" s="128">
        <v>165.059</v>
      </c>
      <c r="AD34" s="128">
        <v>549.14490000000001</v>
      </c>
      <c r="AE34" s="128">
        <v>10.925000000000001</v>
      </c>
      <c r="AF34" s="128">
        <v>0.82750000000000001</v>
      </c>
      <c r="AG34" s="128">
        <v>2.8494000000000002</v>
      </c>
      <c r="AH34" s="128">
        <v>18.097999999999999</v>
      </c>
      <c r="AI34" s="128">
        <v>22.121700000000001</v>
      </c>
      <c r="AJ34" s="128">
        <v>45.863199999999999</v>
      </c>
      <c r="AK34" s="129">
        <v>4.4080000000000004</v>
      </c>
      <c r="AL34" s="129">
        <v>1.4323999999999999</v>
      </c>
      <c r="AM34" s="129">
        <v>2.7690999999999999</v>
      </c>
      <c r="AN34" s="52">
        <f>((AL34+0.0143)/3.4405)*5</f>
        <v>2.1024560383665163</v>
      </c>
      <c r="AO34" s="52">
        <v>0.97889999999999999</v>
      </c>
      <c r="AP34" s="23">
        <f t="shared" si="9"/>
        <v>4.8944999999999999</v>
      </c>
      <c r="AQ34" s="23"/>
      <c r="AR34" s="23"/>
      <c r="AS34" s="23"/>
      <c r="AT34" s="129">
        <v>6.7210000000000001</v>
      </c>
      <c r="AU34" s="129">
        <v>151.36019999999999</v>
      </c>
      <c r="AV34" s="129">
        <v>521.33950000000004</v>
      </c>
      <c r="AW34" s="129">
        <v>10.930999999999999</v>
      </c>
      <c r="AX34" s="129">
        <v>0.83689999999999998</v>
      </c>
      <c r="AY34" s="129">
        <v>2.8853</v>
      </c>
      <c r="AZ34" s="129">
        <v>18.111000000000001</v>
      </c>
      <c r="BA34" s="129">
        <v>20.038699999999999</v>
      </c>
      <c r="BB34" s="129">
        <v>41.603200000000001</v>
      </c>
      <c r="BC34" s="130">
        <v>4.4039999999999999</v>
      </c>
      <c r="BD34" s="130">
        <v>1.5189999999999999</v>
      </c>
      <c r="BE34" s="130">
        <v>3.004</v>
      </c>
      <c r="BF34" s="52">
        <f>((BD34+0.0143)/3.4405)*5</f>
        <v>2.2283098386862372</v>
      </c>
      <c r="BG34" s="52">
        <v>1.0115000000000001</v>
      </c>
      <c r="BH34" s="23">
        <f t="shared" si="1"/>
        <v>5.0575000000000001</v>
      </c>
      <c r="BI34" s="23"/>
      <c r="BJ34" s="23"/>
      <c r="BK34" s="23"/>
      <c r="BL34" s="130">
        <v>6.7309999999999999</v>
      </c>
      <c r="BM34" s="130">
        <v>160.06989999999999</v>
      </c>
      <c r="BN34" s="130">
        <v>538.29719999999998</v>
      </c>
      <c r="BO34" s="130">
        <v>10.923999999999999</v>
      </c>
      <c r="BP34" s="130">
        <v>0.82289999999999996</v>
      </c>
      <c r="BQ34" s="130">
        <v>2.8311000000000002</v>
      </c>
      <c r="BR34" s="130">
        <v>18.100999999999999</v>
      </c>
      <c r="BS34" s="130">
        <v>21.345800000000001</v>
      </c>
      <c r="BT34" s="130">
        <v>44.280500000000004</v>
      </c>
      <c r="BX34" s="12">
        <f t="shared" si="76"/>
        <v>2.1762825170760065</v>
      </c>
      <c r="BY34" s="12">
        <f t="shared" si="77"/>
        <v>2.1024560383665163</v>
      </c>
      <c r="BZ34" s="12">
        <f t="shared" si="78"/>
        <v>2.2283098386862372</v>
      </c>
      <c r="CA34" s="12">
        <f t="shared" si="79"/>
        <v>2.1393692777212614</v>
      </c>
      <c r="CB34">
        <f t="shared" si="80"/>
        <v>5.2203203726604808E-2</v>
      </c>
      <c r="CC34">
        <v>3</v>
      </c>
      <c r="CD34">
        <v>3.18</v>
      </c>
      <c r="CE34" s="12">
        <f t="shared" si="81"/>
        <v>9.5843717242689405E-2</v>
      </c>
      <c r="CG34" s="12">
        <f>'0 Set 2&amp;3'!C34</f>
        <v>2116.3666666666668</v>
      </c>
      <c r="CH34" s="12">
        <f>'0 Set 2&amp;3'!U34</f>
        <v>2.629359102808571</v>
      </c>
      <c r="CI34">
        <f t="shared" si="14"/>
        <v>4.980666666666667</v>
      </c>
      <c r="CJ34">
        <f>'0 Set 2&amp;3'!$W34</f>
        <v>4.3745000000000003</v>
      </c>
      <c r="CQ34" t="s">
        <v>877</v>
      </c>
      <c r="CR34" s="205">
        <v>44580</v>
      </c>
      <c r="CS34" s="32">
        <v>7.5694444444444439E-2</v>
      </c>
      <c r="CT34">
        <f>(CW33+1)+((24*2)+1)+1</f>
        <v>2012.7166666666667</v>
      </c>
      <c r="CU34">
        <v>19</v>
      </c>
      <c r="CV34">
        <f t="shared" si="67"/>
        <v>120782</v>
      </c>
      <c r="CW34">
        <f t="shared" si="68"/>
        <v>2013.0333333333333</v>
      </c>
      <c r="CX34">
        <f t="shared" si="69"/>
        <v>1.999999999998181</v>
      </c>
      <c r="CY34">
        <v>2013</v>
      </c>
      <c r="DC34">
        <v>1867.3999999999999</v>
      </c>
      <c r="DD34">
        <v>1.6915873015873015</v>
      </c>
    </row>
    <row r="35" spans="1:109" ht="16" thickBot="1">
      <c r="A35" s="226" t="s">
        <v>458</v>
      </c>
      <c r="B35" s="14">
        <v>44546</v>
      </c>
      <c r="C35" s="12">
        <v>1961.7166666666667</v>
      </c>
      <c r="D35" s="131">
        <v>0</v>
      </c>
      <c r="E35" s="131">
        <v>0</v>
      </c>
      <c r="F35" s="131">
        <v>0</v>
      </c>
      <c r="G35" s="52">
        <f>((E35+0.0143)/3.4405)*5</f>
        <v>2.0781863101293416E-2</v>
      </c>
      <c r="H35" s="52">
        <v>0</v>
      </c>
      <c r="I35" s="23">
        <f t="shared" si="6"/>
        <v>0</v>
      </c>
      <c r="J35" s="131">
        <v>6.7140000000000004</v>
      </c>
      <c r="K35" s="131">
        <v>153.9391</v>
      </c>
      <c r="L35" s="131">
        <v>529.779</v>
      </c>
      <c r="M35" s="131">
        <v>10.923999999999999</v>
      </c>
      <c r="N35" s="131">
        <v>1.0769</v>
      </c>
      <c r="O35" s="131">
        <v>3.7174999999999998</v>
      </c>
      <c r="P35" s="131">
        <v>18.088000000000001</v>
      </c>
      <c r="Q35" s="131">
        <v>23.593</v>
      </c>
      <c r="R35" s="131">
        <v>48.895899999999997</v>
      </c>
      <c r="S35" s="128">
        <v>4.4009999999999998</v>
      </c>
      <c r="T35" s="128">
        <v>1.3931</v>
      </c>
      <c r="U35" s="128">
        <v>2.7549999999999999</v>
      </c>
      <c r="V35" s="52">
        <f>((T35+0.0143)/3.4405)*5</f>
        <v>2.0453422467664586</v>
      </c>
      <c r="W35" s="52">
        <v>0.96409999999999996</v>
      </c>
      <c r="X35" s="23">
        <f t="shared" si="0"/>
        <v>4.8205</v>
      </c>
      <c r="Y35" s="23"/>
      <c r="Z35" s="23"/>
      <c r="AA35" s="23"/>
      <c r="AB35" s="128">
        <v>6.7279999999999998</v>
      </c>
      <c r="AC35" s="128">
        <v>161.6985</v>
      </c>
      <c r="AD35" s="128">
        <v>544.41200000000003</v>
      </c>
      <c r="AE35" s="128">
        <v>10.925000000000001</v>
      </c>
      <c r="AF35" s="128">
        <v>1.0654999999999999</v>
      </c>
      <c r="AG35" s="128">
        <v>3.68</v>
      </c>
      <c r="AH35" s="128">
        <v>18.081</v>
      </c>
      <c r="AI35" s="128">
        <v>25.0991</v>
      </c>
      <c r="AJ35" s="128">
        <v>52.005299999999998</v>
      </c>
      <c r="AK35" s="129">
        <v>4.4039999999999999</v>
      </c>
      <c r="AL35" s="129">
        <v>1.8225</v>
      </c>
      <c r="AM35" s="129">
        <v>3.8540000000000001</v>
      </c>
      <c r="AN35" s="52">
        <f>((AL35+0.0143)/3.4405)*5</f>
        <v>2.6693794506612409</v>
      </c>
      <c r="AO35" s="52">
        <v>1.1254999999999999</v>
      </c>
      <c r="AP35" s="23">
        <f t="shared" si="9"/>
        <v>5.6274999999999995</v>
      </c>
      <c r="AQ35" s="23"/>
      <c r="AR35" s="23"/>
      <c r="AS35" s="23"/>
      <c r="AT35" s="129">
        <v>6.7309999999999999</v>
      </c>
      <c r="AU35" s="129">
        <v>159.07830000000001</v>
      </c>
      <c r="AV35" s="129">
        <v>535.20510000000002</v>
      </c>
      <c r="AW35" s="129">
        <v>10.920999999999999</v>
      </c>
      <c r="AX35" s="129">
        <v>1.3265</v>
      </c>
      <c r="AY35" s="129">
        <v>4.5972999999999997</v>
      </c>
      <c r="AZ35" s="129">
        <v>18.074000000000002</v>
      </c>
      <c r="BA35" s="129">
        <v>26.0945</v>
      </c>
      <c r="BB35" s="129">
        <v>54.05</v>
      </c>
      <c r="BC35" s="130">
        <v>4.4009999999999998</v>
      </c>
      <c r="BD35" s="130">
        <v>1.5539000000000001</v>
      </c>
      <c r="BE35" s="130">
        <v>3.2098</v>
      </c>
      <c r="BF35" s="52">
        <f>((BD35+0.0143)/3.4405)*5</f>
        <v>2.279029210870513</v>
      </c>
      <c r="BG35" s="52">
        <v>1.0246</v>
      </c>
      <c r="BH35" s="23">
        <f t="shared" si="1"/>
        <v>5.1229999999999993</v>
      </c>
      <c r="BI35" s="23"/>
      <c r="BJ35" s="23"/>
      <c r="BK35" s="23"/>
      <c r="BL35" s="130">
        <v>6.7249999999999996</v>
      </c>
      <c r="BM35" s="130">
        <v>156.64320000000001</v>
      </c>
      <c r="BN35" s="130">
        <v>533.14430000000004</v>
      </c>
      <c r="BO35" s="130">
        <v>10.925000000000001</v>
      </c>
      <c r="BP35" s="130">
        <v>1.0668</v>
      </c>
      <c r="BQ35" s="130">
        <v>3.6886999999999999</v>
      </c>
      <c r="BR35" s="130">
        <v>18.088000000000001</v>
      </c>
      <c r="BS35" s="130">
        <v>24.204899999999999</v>
      </c>
      <c r="BT35" s="130">
        <v>50.182000000000002</v>
      </c>
      <c r="BX35" s="12">
        <f t="shared" si="76"/>
        <v>2.0453422467664586</v>
      </c>
      <c r="BY35" s="12">
        <f t="shared" si="77"/>
        <v>2.6693794506612409</v>
      </c>
      <c r="BZ35" s="12">
        <f t="shared" si="78"/>
        <v>2.279029210870513</v>
      </c>
      <c r="CA35" s="12">
        <f t="shared" si="79"/>
        <v>2.3573608487138498</v>
      </c>
      <c r="CB35">
        <f t="shared" si="80"/>
        <v>0.44126093858669441</v>
      </c>
      <c r="CC35">
        <v>3</v>
      </c>
      <c r="CD35">
        <v>3.18</v>
      </c>
      <c r="CE35" s="12">
        <f t="shared" si="81"/>
        <v>0.81014354692934598</v>
      </c>
      <c r="CG35" s="12">
        <f>'0 Set 2&amp;3'!C35</f>
        <v>2162.9499999999998</v>
      </c>
      <c r="CH35" s="12">
        <f>'0 Set 2&amp;3'!U35</f>
        <v>2.2388831437435366</v>
      </c>
      <c r="CI35">
        <f t="shared" si="14"/>
        <v>5.1903333333333324</v>
      </c>
      <c r="CJ35">
        <f>'0 Set 2&amp;3'!$W35</f>
        <v>4.4535</v>
      </c>
      <c r="CQ35" t="s">
        <v>878</v>
      </c>
      <c r="CR35" s="37">
        <v>44582</v>
      </c>
      <c r="CS35" s="32">
        <v>8.819444444444445E-2</v>
      </c>
      <c r="CT35">
        <f>CW34+(24*2)</f>
        <v>2061.0333333333333</v>
      </c>
      <c r="CU35">
        <v>18</v>
      </c>
      <c r="CV35">
        <f t="shared" si="67"/>
        <v>123680</v>
      </c>
      <c r="CW35">
        <f t="shared" si="68"/>
        <v>2061.3333333333335</v>
      </c>
      <c r="CX35">
        <f t="shared" si="69"/>
        <v>20.000000000009095</v>
      </c>
      <c r="CY35">
        <v>2061</v>
      </c>
      <c r="DC35">
        <v>1916.1999999999998</v>
      </c>
      <c r="DD35">
        <v>1.6050793650793649</v>
      </c>
    </row>
    <row r="36" spans="1:109" ht="16" thickTop="1">
      <c r="A36" s="226" t="s">
        <v>940</v>
      </c>
      <c r="B36" s="14">
        <v>44580</v>
      </c>
      <c r="C36" s="422">
        <v>2013.0333333333333</v>
      </c>
      <c r="D36" s="131">
        <v>0</v>
      </c>
      <c r="E36" s="131">
        <v>0</v>
      </c>
      <c r="F36" s="131">
        <v>0</v>
      </c>
      <c r="G36" s="52">
        <f>((E36+0.105)/3.3338)*5</f>
        <v>0.15747795308656787</v>
      </c>
      <c r="H36" s="52">
        <v>0</v>
      </c>
      <c r="I36" s="23">
        <f t="shared" si="6"/>
        <v>0</v>
      </c>
      <c r="J36" s="131">
        <v>6.6680000000000001</v>
      </c>
      <c r="K36" s="131">
        <v>174.69720000000001</v>
      </c>
      <c r="L36" s="131">
        <v>573.69410000000005</v>
      </c>
      <c r="M36" s="131">
        <v>10.688000000000001</v>
      </c>
      <c r="N36" s="131">
        <v>0.67249999999999999</v>
      </c>
      <c r="O36" s="131">
        <v>2.3693</v>
      </c>
      <c r="P36" s="131">
        <v>17.658000000000001</v>
      </c>
      <c r="Q36" s="131">
        <v>25.353899999999999</v>
      </c>
      <c r="R36" s="131">
        <v>53.752499999999998</v>
      </c>
      <c r="S36" s="128">
        <v>4.3780000000000001</v>
      </c>
      <c r="T36" s="128">
        <v>1.2177</v>
      </c>
      <c r="U36" s="128">
        <v>2.3938999999999999</v>
      </c>
      <c r="V36" s="52">
        <f>((T36+0.105)/3.3338)*5</f>
        <v>1.9837722718819364</v>
      </c>
      <c r="W36" s="52">
        <v>0.8982</v>
      </c>
      <c r="X36" s="23">
        <f t="shared" si="0"/>
        <v>4.4909999999999997</v>
      </c>
      <c r="Y36" s="23"/>
      <c r="Z36" s="23"/>
      <c r="AA36" s="23"/>
      <c r="AB36" s="128">
        <v>6.6580000000000004</v>
      </c>
      <c r="AC36" s="128">
        <v>163.17009999999999</v>
      </c>
      <c r="AD36" s="128">
        <v>548.5204</v>
      </c>
      <c r="AE36" s="128">
        <v>10.685</v>
      </c>
      <c r="AF36" s="128">
        <v>0.67359999999999998</v>
      </c>
      <c r="AG36" s="128">
        <v>2.3774000000000002</v>
      </c>
      <c r="AH36" s="128">
        <v>17.664999999999999</v>
      </c>
      <c r="AI36" s="128">
        <v>23.478000000000002</v>
      </c>
      <c r="AJ36" s="128">
        <v>49.796799999999998</v>
      </c>
      <c r="AK36" s="129">
        <v>4.3810000000000002</v>
      </c>
      <c r="AL36" s="129">
        <v>1.4326000000000001</v>
      </c>
      <c r="AM36" s="129">
        <v>2.9843000000000002</v>
      </c>
      <c r="AN36" s="52">
        <f>((AL36+0.105)/3.3338)*5</f>
        <v>2.3060771491991123</v>
      </c>
      <c r="AO36" s="52">
        <v>0.97899999999999998</v>
      </c>
      <c r="AP36" s="23">
        <f t="shared" si="9"/>
        <v>4.8949999999999996</v>
      </c>
      <c r="AQ36" s="23"/>
      <c r="AR36" s="23"/>
      <c r="AS36" s="23"/>
      <c r="AT36" s="129">
        <v>6.681</v>
      </c>
      <c r="AU36" s="129">
        <v>182.0814</v>
      </c>
      <c r="AV36" s="129">
        <v>587.34580000000005</v>
      </c>
      <c r="AW36" s="129">
        <v>10.688000000000001</v>
      </c>
      <c r="AX36" s="129">
        <v>0.67</v>
      </c>
      <c r="AY36" s="129">
        <v>2.3603999999999998</v>
      </c>
      <c r="AZ36" s="129">
        <v>17.648</v>
      </c>
      <c r="BA36" s="129">
        <v>26.822600000000001</v>
      </c>
      <c r="BB36" s="129">
        <v>56.818899999999999</v>
      </c>
      <c r="BC36" s="130">
        <v>4.3810000000000002</v>
      </c>
      <c r="BD36" s="130">
        <v>1.2935000000000001</v>
      </c>
      <c r="BE36" s="130">
        <v>2.6713</v>
      </c>
      <c r="BF36" s="52">
        <f>((BD36+0.105)/3.3338)*5</f>
        <v>2.0974563561101447</v>
      </c>
      <c r="BG36" s="52">
        <v>0.92669999999999997</v>
      </c>
      <c r="BH36" s="23">
        <v>0.88419999999999999</v>
      </c>
      <c r="BI36" s="23"/>
      <c r="BJ36" s="23"/>
      <c r="BK36" s="23"/>
      <c r="BL36" s="130">
        <v>6.6680000000000001</v>
      </c>
      <c r="BM36" s="130">
        <v>170.14429999999999</v>
      </c>
      <c r="BN36" s="130">
        <v>562.45169999999996</v>
      </c>
      <c r="BO36" s="130">
        <v>10.688000000000001</v>
      </c>
      <c r="BP36" s="130">
        <v>0.6704</v>
      </c>
      <c r="BQ36" s="130">
        <v>2.3468</v>
      </c>
      <c r="BR36" s="130">
        <v>17.658000000000001</v>
      </c>
      <c r="BS36" s="130">
        <v>24.8688</v>
      </c>
      <c r="BT36" s="130">
        <v>52.734999999999999</v>
      </c>
      <c r="BX36" s="12">
        <f>V36</f>
        <v>1.9837722718819364</v>
      </c>
      <c r="BY36" s="12">
        <f>AN36</f>
        <v>2.3060771491991123</v>
      </c>
      <c r="BZ36" s="12">
        <f>BF36</f>
        <v>2.0974563561101447</v>
      </c>
      <c r="CA36" s="12">
        <f t="shared" ref="CA36:CA39" si="82">AVERAGE(BX36:BY36)</f>
        <v>2.1449247105405242</v>
      </c>
      <c r="CB36">
        <f t="shared" ref="CB36:CB39" si="83">STDEV(BX36:BY36)</f>
        <v>0.22790396436047339</v>
      </c>
      <c r="CC36">
        <v>3</v>
      </c>
      <c r="CD36">
        <v>3.18</v>
      </c>
      <c r="CE36" s="12">
        <f t="shared" ref="CE36:CE39" si="84">(CD36*CB36)/SQRT(CC36)</f>
        <v>0.41842572024982899</v>
      </c>
      <c r="CG36" s="12">
        <f>'0 Set 2&amp;3'!C36</f>
        <v>0</v>
      </c>
      <c r="CH36" s="12">
        <f>'0 Set 2&amp;3'!U36</f>
        <v>0</v>
      </c>
      <c r="CI36">
        <f t="shared" si="14"/>
        <v>3.4233999999999996</v>
      </c>
      <c r="CJ36">
        <f>'0 Set 2&amp;3'!$W36</f>
        <v>0</v>
      </c>
      <c r="CQ36" t="s">
        <v>879</v>
      </c>
      <c r="CR36" s="37">
        <v>44585</v>
      </c>
      <c r="CS36" s="32">
        <v>0.44027777777777777</v>
      </c>
      <c r="CT36">
        <f>CW35+(24*3)-4</f>
        <v>2129.3333333333335</v>
      </c>
      <c r="CU36">
        <f>34-7</f>
        <v>27</v>
      </c>
      <c r="CV36">
        <f t="shared" si="67"/>
        <v>127787.00000000001</v>
      </c>
      <c r="CW36">
        <f t="shared" si="68"/>
        <v>2129.7833333333338</v>
      </c>
      <c r="CX36">
        <f t="shared" si="69"/>
        <v>47.000000000025466</v>
      </c>
      <c r="CY36">
        <v>2129</v>
      </c>
      <c r="DA36">
        <f>((DD36-V36)+(DD36-AN36)+(DD36-BF36))/3</f>
        <v>-0.49338764001611213</v>
      </c>
      <c r="DC36">
        <v>1964.883333333333</v>
      </c>
      <c r="DD36">
        <v>1.6357142857142857</v>
      </c>
    </row>
    <row r="37" spans="1:109">
      <c r="A37" s="195" t="s">
        <v>905</v>
      </c>
      <c r="B37" s="14">
        <v>44582</v>
      </c>
      <c r="C37" s="12">
        <v>2061.3333333333335</v>
      </c>
      <c r="D37" s="131">
        <v>0</v>
      </c>
      <c r="E37" s="131">
        <v>0</v>
      </c>
      <c r="F37" s="131">
        <v>0</v>
      </c>
      <c r="G37" s="52">
        <v>0</v>
      </c>
      <c r="H37" s="52">
        <v>0</v>
      </c>
      <c r="I37" s="23">
        <f t="shared" si="6"/>
        <v>0</v>
      </c>
      <c r="J37" s="131">
        <v>6.5910000000000002</v>
      </c>
      <c r="K37" s="131">
        <v>163.85210000000001</v>
      </c>
      <c r="L37" s="131">
        <v>551.46159999999998</v>
      </c>
      <c r="M37" s="131">
        <v>10.541</v>
      </c>
      <c r="N37" s="131">
        <v>0.60829999999999995</v>
      </c>
      <c r="O37" s="131">
        <v>2.1656</v>
      </c>
      <c r="P37" s="131">
        <v>17.280999999999999</v>
      </c>
      <c r="Q37" s="131">
        <v>22.889900000000001</v>
      </c>
      <c r="R37" s="131">
        <v>49.652200000000001</v>
      </c>
      <c r="S37" s="128">
        <v>4.3840000000000003</v>
      </c>
      <c r="T37" s="128">
        <v>1.246</v>
      </c>
      <c r="U37" s="128">
        <v>2.1025</v>
      </c>
      <c r="V37" s="52">
        <f>5*((T37-0.2666)/3.1593)</f>
        <v>1.5500269046940778</v>
      </c>
      <c r="W37" s="50">
        <v>0.90890000000000004</v>
      </c>
      <c r="X37" s="23">
        <f t="shared" si="0"/>
        <v>4.5445000000000002</v>
      </c>
      <c r="Y37" s="23"/>
      <c r="Z37" s="23"/>
      <c r="AA37" s="23"/>
      <c r="AB37" s="128" t="s">
        <v>912</v>
      </c>
      <c r="AC37" s="128" t="s">
        <v>913</v>
      </c>
      <c r="AD37" s="128" t="s">
        <v>914</v>
      </c>
      <c r="AE37" s="128">
        <v>10.541</v>
      </c>
      <c r="AF37" s="128">
        <v>0.62409999999999999</v>
      </c>
      <c r="AG37" s="128">
        <v>2.2181999999999999</v>
      </c>
      <c r="AH37" s="128">
        <v>17.277999999999999</v>
      </c>
      <c r="AI37" s="128">
        <v>23.9739</v>
      </c>
      <c r="AJ37" s="128">
        <v>51.882599999999996</v>
      </c>
      <c r="AK37" s="129">
        <v>4.3840000000000003</v>
      </c>
      <c r="AL37" s="129">
        <v>1.2758</v>
      </c>
      <c r="AM37" s="129">
        <v>2.1859000000000002</v>
      </c>
      <c r="AN37" s="52">
        <f>5*((AL37-0.2666)/3.1593)</f>
        <v>1.5971892507834016</v>
      </c>
      <c r="AO37" s="48">
        <v>0.92</v>
      </c>
      <c r="AP37" s="23">
        <f t="shared" si="9"/>
        <v>4.6000000000000005</v>
      </c>
      <c r="AQ37" s="23"/>
      <c r="AR37" s="23"/>
      <c r="AS37" s="23"/>
      <c r="AT37" s="129">
        <v>6.5880000000000001</v>
      </c>
      <c r="AU37" s="129">
        <v>158.89930000000001</v>
      </c>
      <c r="AV37" s="129">
        <v>542.76469999999995</v>
      </c>
      <c r="AW37" s="129">
        <v>10.544</v>
      </c>
      <c r="AX37" s="129">
        <v>0.61380000000000001</v>
      </c>
      <c r="AY37" s="129">
        <v>2.1842999999999999</v>
      </c>
      <c r="AZ37" s="129">
        <v>17.288</v>
      </c>
      <c r="BA37" s="129">
        <v>22.182300000000001</v>
      </c>
      <c r="BB37" s="129">
        <v>48.096299999999999</v>
      </c>
      <c r="BC37" s="130">
        <v>4.3849999999999998</v>
      </c>
      <c r="BD37" s="130">
        <v>1.1903999999999999</v>
      </c>
      <c r="BE37" s="130">
        <v>2.0028000000000001</v>
      </c>
      <c r="BF37" s="52">
        <f>5*((BD37-0.2666)/3.1593)</f>
        <v>1.4620327287690311</v>
      </c>
      <c r="BG37" s="46">
        <v>0.88800000000000001</v>
      </c>
      <c r="BH37" s="23">
        <f t="shared" ref="BH37:BH46" si="85">BG37*5</f>
        <v>4.4400000000000004</v>
      </c>
      <c r="BI37" s="23"/>
      <c r="BJ37" s="23"/>
      <c r="BK37" s="23"/>
      <c r="BL37" s="130">
        <v>6.5979999999999999</v>
      </c>
      <c r="BM37" s="130">
        <v>167.97710000000001</v>
      </c>
      <c r="BN37" s="130">
        <v>560.28110000000004</v>
      </c>
      <c r="BO37" s="130">
        <v>10.545</v>
      </c>
      <c r="BP37" s="130">
        <v>0.62519999999999998</v>
      </c>
      <c r="BQ37" s="130">
        <v>2.2198000000000002</v>
      </c>
      <c r="BR37" s="130">
        <v>17.280999999999999</v>
      </c>
      <c r="BS37" s="130">
        <v>23.610399999999998</v>
      </c>
      <c r="BT37" s="130">
        <v>51.142299999999999</v>
      </c>
      <c r="BX37" s="12">
        <f>V37</f>
        <v>1.5500269046940778</v>
      </c>
      <c r="BY37" s="12">
        <f>AN37</f>
        <v>1.5971892507834016</v>
      </c>
      <c r="BZ37" s="12">
        <f>BF37</f>
        <v>1.4620327287690311</v>
      </c>
      <c r="CA37" s="12">
        <f t="shared" si="82"/>
        <v>1.5736080777387396</v>
      </c>
      <c r="CB37">
        <f t="shared" si="83"/>
        <v>3.3348814736427701E-2</v>
      </c>
      <c r="CC37">
        <v>3</v>
      </c>
      <c r="CD37">
        <v>3.18</v>
      </c>
      <c r="CE37" s="12">
        <f t="shared" si="84"/>
        <v>6.1227551985436147E-2</v>
      </c>
      <c r="CI37">
        <f t="shared" si="14"/>
        <v>4.5281666666666673</v>
      </c>
      <c r="CQ37" t="s">
        <v>880</v>
      </c>
      <c r="CR37" s="37">
        <v>44587</v>
      </c>
      <c r="CS37" s="32">
        <v>0.45555555555555555</v>
      </c>
      <c r="CT37">
        <f>CW36+(24*2)</f>
        <v>2177.7833333333338</v>
      </c>
      <c r="CU37">
        <f>56-34</f>
        <v>22</v>
      </c>
      <c r="CV37">
        <f t="shared" si="67"/>
        <v>130689.00000000003</v>
      </c>
      <c r="CW37">
        <f t="shared" si="68"/>
        <v>2178.1500000000005</v>
      </c>
      <c r="CX37">
        <f t="shared" si="69"/>
        <v>9.0000000000327418</v>
      </c>
      <c r="CY37">
        <v>2178</v>
      </c>
      <c r="DA37">
        <f>((DD37-V37)+(DD37-AN37)+(DD37-BF37))/3</f>
        <v>1.1690554094624039</v>
      </c>
      <c r="DC37">
        <v>2060.8833333333332</v>
      </c>
      <c r="DD37">
        <v>2.7054717042112406</v>
      </c>
    </row>
    <row r="38" spans="1:109">
      <c r="A38" s="195" t="s">
        <v>905</v>
      </c>
      <c r="B38" s="14">
        <v>44585</v>
      </c>
      <c r="C38" s="12">
        <v>2129.7833333333338</v>
      </c>
      <c r="D38" s="131">
        <v>4.968</v>
      </c>
      <c r="E38" s="131">
        <v>0.42520000000000002</v>
      </c>
      <c r="F38" s="131">
        <v>1.6711</v>
      </c>
      <c r="G38" s="52">
        <f t="shared" ref="G38" si="86">5*((E38-0.2666)/3.1593)</f>
        <v>0.25100496945525913</v>
      </c>
      <c r="H38" s="52">
        <v>0</v>
      </c>
      <c r="I38" s="23">
        <f t="shared" si="6"/>
        <v>0</v>
      </c>
      <c r="J38" s="131">
        <v>6.6109999999999998</v>
      </c>
      <c r="K38" s="131">
        <v>181.44630000000001</v>
      </c>
      <c r="L38" s="131">
        <v>587.04250000000002</v>
      </c>
      <c r="M38" s="131">
        <v>10.538</v>
      </c>
      <c r="N38" s="131">
        <v>0.4854</v>
      </c>
      <c r="O38" s="131">
        <v>1.7161999999999999</v>
      </c>
      <c r="P38" s="131">
        <v>17.228000000000002</v>
      </c>
      <c r="Q38" s="131">
        <v>34.725499999999997</v>
      </c>
      <c r="R38" s="131">
        <v>74.514700000000005</v>
      </c>
      <c r="S38" s="1">
        <v>4.3780000000000001</v>
      </c>
      <c r="T38" s="1">
        <v>1.3398000000000001</v>
      </c>
      <c r="U38" s="1">
        <v>2.4386999999999999</v>
      </c>
      <c r="V38" s="52">
        <f>5*((T38-0.2666)/3.1593)</f>
        <v>1.6984775108410095</v>
      </c>
      <c r="W38" s="1">
        <v>0.94410000000000005</v>
      </c>
      <c r="X38" s="1">
        <f t="shared" si="0"/>
        <v>4.7205000000000004</v>
      </c>
      <c r="Y38" s="1">
        <v>4.9710000000000001</v>
      </c>
      <c r="Z38" s="1">
        <v>0.36520000000000002</v>
      </c>
      <c r="AA38" s="1">
        <v>1.7492000000000001</v>
      </c>
      <c r="AB38" s="128">
        <v>6.6109999999999998</v>
      </c>
      <c r="AC38" s="128">
        <v>180.4034</v>
      </c>
      <c r="AD38" s="128">
        <v>584.22839999999997</v>
      </c>
      <c r="AE38" s="128">
        <v>10.541</v>
      </c>
      <c r="AF38" s="128">
        <v>0.46410000000000001</v>
      </c>
      <c r="AG38" s="128">
        <v>1.6469</v>
      </c>
      <c r="AH38" s="128">
        <v>17.231000000000002</v>
      </c>
      <c r="AI38" s="128">
        <v>34.5244</v>
      </c>
      <c r="AJ38" s="128">
        <v>74.087400000000002</v>
      </c>
      <c r="AK38" s="2">
        <v>4.3780000000000001</v>
      </c>
      <c r="AL38" s="2">
        <v>1.1271</v>
      </c>
      <c r="AM38" s="2">
        <v>2.5522</v>
      </c>
      <c r="AN38" s="52">
        <f>5*((AL38-0.2666)/3.1593)</f>
        <v>1.3618523090558035</v>
      </c>
      <c r="AO38" s="2">
        <v>0.86419999999999997</v>
      </c>
      <c r="AP38" s="2">
        <f t="shared" si="9"/>
        <v>4.3209999999999997</v>
      </c>
      <c r="AQ38" s="2">
        <v>4.9740000000000002</v>
      </c>
      <c r="AR38" s="2">
        <v>0.11550000000000001</v>
      </c>
      <c r="AS38" s="2">
        <v>0.28370000000000001</v>
      </c>
      <c r="AT38" s="129">
        <v>6.6040000000000001</v>
      </c>
      <c r="AU38" s="129">
        <v>170.47819999999999</v>
      </c>
      <c r="AV38" s="129">
        <v>563.57669999999996</v>
      </c>
      <c r="AW38" s="129">
        <v>10.538</v>
      </c>
      <c r="AX38" s="129">
        <v>0.46429999999999999</v>
      </c>
      <c r="AY38" s="129">
        <v>1.6435999999999999</v>
      </c>
      <c r="AZ38" s="129">
        <v>17.238</v>
      </c>
      <c r="BA38" s="129">
        <v>32.503399999999999</v>
      </c>
      <c r="BB38" s="129">
        <v>69.932599999999994</v>
      </c>
      <c r="BC38" s="130">
        <v>4.3780000000000001</v>
      </c>
      <c r="BD38" s="130">
        <v>1.3822000000000001</v>
      </c>
      <c r="BE38" s="130">
        <v>2.5529000000000002</v>
      </c>
      <c r="BF38" s="52">
        <f t="shared" ref="BF38:BF39" si="87">5*((BD38-0.2666)/3.1593)</f>
        <v>1.7655809831291744</v>
      </c>
      <c r="BG38" s="46">
        <v>0.96009999999999995</v>
      </c>
      <c r="BH38" s="23">
        <f t="shared" si="85"/>
        <v>4.8004999999999995</v>
      </c>
      <c r="BI38" s="23"/>
      <c r="BJ38" s="23"/>
      <c r="BK38" s="23"/>
      <c r="BL38" s="130">
        <v>6.6109999999999998</v>
      </c>
      <c r="BM38" s="130">
        <v>178.1712</v>
      </c>
      <c r="BN38" s="130">
        <v>579.58019999999999</v>
      </c>
      <c r="BO38" s="130">
        <v>10.538</v>
      </c>
      <c r="BP38" s="130">
        <v>0.46310000000000001</v>
      </c>
      <c r="BQ38" s="130">
        <v>1.6439999999999999</v>
      </c>
      <c r="BR38" s="130">
        <v>17.228000000000002</v>
      </c>
      <c r="BS38" s="130">
        <v>34.095300000000002</v>
      </c>
      <c r="BT38" s="130">
        <v>73.269400000000005</v>
      </c>
      <c r="BX38" s="12">
        <f>[2]Sets!P19</f>
        <v>0.99753109866109591</v>
      </c>
      <c r="BY38" s="12">
        <f>[2]Sets!Y19</f>
        <v>1.5446459658785174</v>
      </c>
      <c r="BZ38" s="12">
        <f>BF38</f>
        <v>1.7655809831291744</v>
      </c>
      <c r="CA38" s="12">
        <f t="shared" si="82"/>
        <v>1.2710885322698067</v>
      </c>
      <c r="CB38">
        <f t="shared" si="83"/>
        <v>0.38686863269741628</v>
      </c>
      <c r="CC38">
        <v>3</v>
      </c>
      <c r="CD38">
        <v>3.18</v>
      </c>
      <c r="CE38" s="12">
        <f t="shared" si="84"/>
        <v>0.7102806953478249</v>
      </c>
      <c r="CI38">
        <f>(BH38+[2]Sets!AA19+[2]Sets!R19)/3</f>
        <v>4.4089999999999998</v>
      </c>
      <c r="CQ38" t="s">
        <v>1006</v>
      </c>
      <c r="CR38" s="37">
        <v>44589</v>
      </c>
      <c r="CS38" s="32">
        <v>0.53125</v>
      </c>
      <c r="CT38">
        <f>CW37+(24*2)+2</f>
        <v>2228.1500000000005</v>
      </c>
      <c r="CU38">
        <v>-11</v>
      </c>
      <c r="CV38">
        <f t="shared" ref="CV38:CV44" si="88">(CT38*60)+CU38</f>
        <v>133678.00000000003</v>
      </c>
      <c r="CW38">
        <f t="shared" ref="CW38:CW44" si="89">CV38/60</f>
        <v>2227.9666666666672</v>
      </c>
      <c r="CX38">
        <f t="shared" ref="CX38:CX44" si="90">(CW38-CY38)*60</f>
        <v>58.000000000029104</v>
      </c>
      <c r="CY38">
        <v>2227</v>
      </c>
      <c r="DA38">
        <f>((DD38-[2]Sets!P19)+(DD38-[2]Sets!Y19)+(DD38-BF38))/3</f>
        <v>1.1934397535856418</v>
      </c>
      <c r="DC38">
        <v>2116.3666666666668</v>
      </c>
      <c r="DD38">
        <v>2.629359102808571</v>
      </c>
    </row>
    <row r="39" spans="1:109">
      <c r="A39" s="195" t="s">
        <v>920</v>
      </c>
      <c r="B39" s="14">
        <v>44587</v>
      </c>
      <c r="C39" s="12">
        <v>2178.1500000000005</v>
      </c>
      <c r="D39" s="131">
        <v>4.9710000000000001</v>
      </c>
      <c r="E39" s="131">
        <v>0.18</v>
      </c>
      <c r="F39" s="131">
        <v>0.93689999999999996</v>
      </c>
      <c r="G39" s="52">
        <v>0</v>
      </c>
      <c r="H39" s="52">
        <v>0</v>
      </c>
      <c r="I39" s="23">
        <f t="shared" si="6"/>
        <v>0</v>
      </c>
      <c r="J39" s="131">
        <v>6.4779999999999998</v>
      </c>
      <c r="K39" s="131">
        <v>74.042100000000005</v>
      </c>
      <c r="L39" s="131">
        <v>332.50630000000001</v>
      </c>
      <c r="M39" s="131">
        <v>10.544</v>
      </c>
      <c r="N39" s="131">
        <v>0.78280000000000005</v>
      </c>
      <c r="O39" s="131">
        <v>2.7909999999999999</v>
      </c>
      <c r="P39" s="131">
        <v>17.341000000000001</v>
      </c>
      <c r="Q39" s="131">
        <v>11.4017</v>
      </c>
      <c r="R39" s="131">
        <v>24.6189</v>
      </c>
      <c r="S39" s="128">
        <v>4.3780000000000001</v>
      </c>
      <c r="T39" s="128">
        <v>1.5266</v>
      </c>
      <c r="U39" s="128">
        <v>2.8565999999999998</v>
      </c>
      <c r="V39" s="52">
        <f t="shared" ref="V39" si="91">5*((T39-0.2666)/3.1593)</f>
        <v>1.9941126198841517</v>
      </c>
      <c r="W39" s="50">
        <v>1.0143</v>
      </c>
      <c r="X39" s="23">
        <f t="shared" si="0"/>
        <v>5.0715000000000003</v>
      </c>
      <c r="Y39" s="23"/>
      <c r="Z39" s="23"/>
      <c r="AA39" s="23"/>
      <c r="AB39" s="128">
        <v>6.4779999999999998</v>
      </c>
      <c r="AC39" s="128">
        <v>71.953699999999998</v>
      </c>
      <c r="AD39" s="128">
        <v>326.19029999999998</v>
      </c>
      <c r="AE39" s="128">
        <v>10.544</v>
      </c>
      <c r="AF39" s="128">
        <v>0.79</v>
      </c>
      <c r="AG39" s="128">
        <v>2.8248000000000002</v>
      </c>
      <c r="AH39" s="128">
        <v>17.338000000000001</v>
      </c>
      <c r="AI39" s="128">
        <v>11.2232</v>
      </c>
      <c r="AJ39" s="128">
        <v>24.212299999999999</v>
      </c>
      <c r="AK39" s="2">
        <v>4.3780000000000001</v>
      </c>
      <c r="AL39" s="2">
        <v>1.4101999999999999</v>
      </c>
      <c r="AM39" s="2">
        <v>2.8218999999999999</v>
      </c>
      <c r="AN39" s="52">
        <f>5*((AL39-0.2666)/3.1593)</f>
        <v>1.8098945969043776</v>
      </c>
      <c r="AO39" s="2">
        <v>0.97060000000000002</v>
      </c>
      <c r="AP39" s="2">
        <f t="shared" si="9"/>
        <v>4.8529999999999998</v>
      </c>
      <c r="AQ39" s="2">
        <v>4.9740000000000002</v>
      </c>
      <c r="AR39" s="2">
        <v>0.2455</v>
      </c>
      <c r="AS39" s="2">
        <v>1.0788</v>
      </c>
      <c r="AT39" s="129">
        <v>6.4740000000000002</v>
      </c>
      <c r="AU39" s="129">
        <v>69.867699999999999</v>
      </c>
      <c r="AV39" s="129">
        <v>321.02300000000002</v>
      </c>
      <c r="AW39" s="129">
        <v>10.541</v>
      </c>
      <c r="AX39" s="129">
        <v>0.79320000000000002</v>
      </c>
      <c r="AY39" s="129">
        <v>2.8279000000000001</v>
      </c>
      <c r="AZ39" s="129">
        <v>17.341000000000001</v>
      </c>
      <c r="BA39" s="129">
        <v>10.696300000000001</v>
      </c>
      <c r="BB39" s="129">
        <v>23.058700000000002</v>
      </c>
      <c r="BC39" s="4">
        <v>4.3739999999999997</v>
      </c>
      <c r="BD39" s="4">
        <v>1.4186000000000001</v>
      </c>
      <c r="BE39" s="4">
        <v>2.7841999999999998</v>
      </c>
      <c r="BF39" s="52">
        <f t="shared" si="87"/>
        <v>1.8231886810369389</v>
      </c>
      <c r="BG39" s="4">
        <v>0.97370000000000001</v>
      </c>
      <c r="BH39" s="4">
        <f t="shared" si="85"/>
        <v>4.8685</v>
      </c>
      <c r="BI39" s="4">
        <v>4.9740000000000002</v>
      </c>
      <c r="BJ39" s="4">
        <v>0.17319999999999999</v>
      </c>
      <c r="BK39" s="4">
        <v>0.78069999999999995</v>
      </c>
      <c r="BL39" s="130">
        <v>6.4740000000000002</v>
      </c>
      <c r="BM39" s="130">
        <v>70.671099999999996</v>
      </c>
      <c r="BN39" s="130">
        <v>321.49869999999999</v>
      </c>
      <c r="BO39" s="130">
        <v>10.541</v>
      </c>
      <c r="BP39" s="130">
        <v>0.78879999999999995</v>
      </c>
      <c r="BQ39" s="130">
        <v>2.8146</v>
      </c>
      <c r="BR39" s="130">
        <v>17.341000000000001</v>
      </c>
      <c r="BS39" s="130">
        <v>10.7845</v>
      </c>
      <c r="BT39" s="130">
        <v>23.256900000000002</v>
      </c>
      <c r="BX39" s="12">
        <f>V39</f>
        <v>1.9941126198841517</v>
      </c>
      <c r="BY39" s="12">
        <f>[2]Sets!Y20</f>
        <v>1.1719368214477894</v>
      </c>
      <c r="BZ39" s="12">
        <f>[2]Sets!AH20</f>
        <v>1.1654480422878486</v>
      </c>
      <c r="CA39" s="12">
        <f t="shared" si="82"/>
        <v>1.5830247206659704</v>
      </c>
      <c r="CB39">
        <f t="shared" si="83"/>
        <v>0.58136608240181709</v>
      </c>
      <c r="CC39">
        <v>3</v>
      </c>
      <c r="CD39">
        <v>3.18</v>
      </c>
      <c r="CE39" s="12">
        <f t="shared" si="84"/>
        <v>1.0673729280682551</v>
      </c>
      <c r="CI39">
        <f>([2]Sets!AJ20+[2]Sets!AA20+X39)/3</f>
        <v>4.4183333333333339</v>
      </c>
      <c r="CQ39" t="s">
        <v>1007</v>
      </c>
      <c r="CR39" s="37">
        <v>44594</v>
      </c>
      <c r="CS39" s="32">
        <v>0.4375</v>
      </c>
      <c r="CT39">
        <f>CW38+(24*5)-2</f>
        <v>2345.9666666666672</v>
      </c>
      <c r="CU39">
        <v>-15</v>
      </c>
      <c r="CV39">
        <f t="shared" si="88"/>
        <v>140743.00000000003</v>
      </c>
      <c r="CW39">
        <f t="shared" si="89"/>
        <v>2345.7166666666672</v>
      </c>
      <c r="CX39">
        <f t="shared" si="90"/>
        <v>43.000000000029104</v>
      </c>
      <c r="CY39">
        <v>2345</v>
      </c>
      <c r="DA39">
        <f>((DD39-V39)+(DD39-[2]Sets!Y20)+(DD39-[2]Sets!AH20))/3</f>
        <v>0.79505064920360669</v>
      </c>
      <c r="DC39">
        <v>2162.9499999999998</v>
      </c>
      <c r="DD39">
        <v>2.2388831437435366</v>
      </c>
    </row>
    <row r="40" spans="1:109">
      <c r="A40" s="195" t="s">
        <v>947</v>
      </c>
      <c r="B40" s="14">
        <v>44589</v>
      </c>
      <c r="C40" s="12">
        <v>2227.9666666666672</v>
      </c>
      <c r="D40" s="131">
        <v>4.9740000000000002</v>
      </c>
      <c r="E40" s="131">
        <v>5.8599999999999999E-2</v>
      </c>
      <c r="F40" s="131">
        <v>0.309</v>
      </c>
      <c r="G40" s="212">
        <v>0</v>
      </c>
      <c r="H40" s="52">
        <v>0</v>
      </c>
      <c r="I40" s="52">
        <f t="shared" si="6"/>
        <v>0</v>
      </c>
      <c r="J40" s="131">
        <v>6.4909999999999997</v>
      </c>
      <c r="K40" s="131">
        <v>73.12</v>
      </c>
      <c r="L40" s="131">
        <v>308.05709999999999</v>
      </c>
      <c r="M40" s="131">
        <v>10.521000000000001</v>
      </c>
      <c r="N40" s="131">
        <v>1.7468999999999999</v>
      </c>
      <c r="O40" s="131">
        <v>6.3002000000000002</v>
      </c>
      <c r="P40" s="131">
        <v>17.297999999999998</v>
      </c>
      <c r="Q40" s="131">
        <v>11.9002</v>
      </c>
      <c r="R40" s="131">
        <v>25.751899999999999</v>
      </c>
      <c r="S40" s="128">
        <v>4.4039999999999999</v>
      </c>
      <c r="T40" s="128">
        <v>1.587</v>
      </c>
      <c r="U40" s="128">
        <v>2.4615999999999998</v>
      </c>
      <c r="V40" s="212">
        <f t="shared" ref="V40:V41" si="92">((T40-0.2666)/3.15)*5</f>
        <v>2.0958730158730159</v>
      </c>
      <c r="W40" s="50">
        <v>1.0369999999999999</v>
      </c>
      <c r="X40" s="50">
        <f t="shared" si="0"/>
        <v>5.1849999999999996</v>
      </c>
      <c r="AB40" s="128">
        <v>6.4909999999999997</v>
      </c>
      <c r="AC40" s="128">
        <v>74.146600000000007</v>
      </c>
      <c r="AD40" s="128">
        <v>312.93889999999999</v>
      </c>
      <c r="AE40" s="128">
        <v>10.521000000000001</v>
      </c>
      <c r="AF40" s="128">
        <v>1.7290000000000001</v>
      </c>
      <c r="AG40" s="128">
        <v>6.2450999999999999</v>
      </c>
      <c r="AH40" s="128">
        <v>17.294</v>
      </c>
      <c r="AI40" s="128">
        <v>11.610200000000001</v>
      </c>
      <c r="AJ40" s="128">
        <v>25.113900000000001</v>
      </c>
      <c r="AK40" s="2">
        <v>4.4039999999999999</v>
      </c>
      <c r="AL40" s="2">
        <v>1.4283999999999999</v>
      </c>
      <c r="AM40" s="2">
        <v>2.2742</v>
      </c>
      <c r="AN40" s="212">
        <f>((AL40-0.2666)/3.15)*5</f>
        <v>1.8441269841269841</v>
      </c>
      <c r="AO40" s="2">
        <v>0.97740000000000005</v>
      </c>
      <c r="AP40" s="2">
        <f t="shared" si="9"/>
        <v>4.8870000000000005</v>
      </c>
      <c r="AQ40" s="2">
        <v>4.9710000000000001</v>
      </c>
      <c r="AR40" s="2">
        <v>0.185</v>
      </c>
      <c r="AS40" s="2">
        <v>0.85770000000000002</v>
      </c>
      <c r="AT40" s="129">
        <v>6.4710000000000001</v>
      </c>
      <c r="AU40" s="129">
        <v>66.142300000000006</v>
      </c>
      <c r="AV40" s="129">
        <v>290.55509999999998</v>
      </c>
      <c r="AW40" s="129">
        <v>10.518000000000001</v>
      </c>
      <c r="AX40" s="129">
        <v>1.7739</v>
      </c>
      <c r="AY40" s="129">
        <v>6.4116999999999997</v>
      </c>
      <c r="AZ40" s="129">
        <v>17.297999999999998</v>
      </c>
      <c r="BA40" s="129">
        <v>10.296200000000001</v>
      </c>
      <c r="BB40" s="129">
        <v>22.216899999999999</v>
      </c>
      <c r="BC40" s="480">
        <v>4.4039999999999999</v>
      </c>
      <c r="BD40" s="480">
        <v>1.611</v>
      </c>
      <c r="BE40" s="480">
        <v>2.5478999999999998</v>
      </c>
      <c r="BF40" s="132">
        <f>((BD40-0.2666)/3.15)*5</f>
        <v>2.1339682539682543</v>
      </c>
      <c r="BG40" s="46">
        <v>1.046</v>
      </c>
      <c r="BH40" s="46">
        <f t="shared" si="85"/>
        <v>5.23</v>
      </c>
      <c r="BL40" s="130">
        <v>6.4980000000000002</v>
      </c>
      <c r="BM40" s="130">
        <v>74.835999999999999</v>
      </c>
      <c r="BN40" s="130">
        <v>310.95519999999999</v>
      </c>
      <c r="BO40" s="130">
        <v>10.521000000000001</v>
      </c>
      <c r="BP40" s="130">
        <v>1.7315</v>
      </c>
      <c r="BQ40" s="130">
        <v>6.2412000000000001</v>
      </c>
      <c r="BR40" s="130">
        <v>17.294</v>
      </c>
      <c r="BS40" s="130">
        <v>11.6906</v>
      </c>
      <c r="BT40" s="130">
        <v>25.293299999999999</v>
      </c>
      <c r="BX40" s="12">
        <f>V40</f>
        <v>2.0958730158730159</v>
      </c>
      <c r="BY40" s="12">
        <f>[2]Sets!Y21</f>
        <v>1.0280952380952382</v>
      </c>
      <c r="BZ40" s="12">
        <f>'Set 3 IC'!BF40</f>
        <v>2.1339682539682543</v>
      </c>
      <c r="CA40" s="12">
        <f t="shared" ref="CA40:CA45" si="93">AVERAGE(BX40:BY40)</f>
        <v>1.561984126984127</v>
      </c>
      <c r="CB40">
        <f t="shared" ref="CB40:CB45" si="94">STDEV(BX40:BY40)</f>
        <v>0.75503290746696927</v>
      </c>
      <c r="CC40">
        <v>3</v>
      </c>
      <c r="CD40">
        <v>3.18</v>
      </c>
      <c r="CE40" s="12">
        <f t="shared" ref="CE40:CE45" si="95">(CD40*CB40)/SQRT(CC40)</f>
        <v>1.3862206785463962</v>
      </c>
      <c r="CI40">
        <f>('Set 3 IC'!BH40+[2]Sets!AA21+X40)/3</f>
        <v>4.7786666666666662</v>
      </c>
      <c r="CQ40" t="s">
        <v>1008</v>
      </c>
      <c r="CR40" s="37">
        <v>44596</v>
      </c>
      <c r="CS40" s="32">
        <v>0.42638888888888887</v>
      </c>
      <c r="CT40">
        <f>CW39+(24*2)</f>
        <v>2393.7166666666672</v>
      </c>
      <c r="CU40">
        <v>-16</v>
      </c>
      <c r="CV40">
        <f t="shared" si="88"/>
        <v>143607.00000000003</v>
      </c>
      <c r="CW40">
        <f t="shared" si="89"/>
        <v>2393.4500000000003</v>
      </c>
      <c r="CX40">
        <f t="shared" si="90"/>
        <v>27.000000000016371</v>
      </c>
      <c r="CY40">
        <v>2393</v>
      </c>
      <c r="DA40">
        <f>((DD40-V40)+(DD40-[2]Sets!Y21)+(DD40-'Set 3 IC'!BF40))/3</f>
        <v>0.36631633633171656</v>
      </c>
      <c r="DD40">
        <f>AVERAGE(DD3:DD16,DD21:DD39)</f>
        <v>2.1189618389772193</v>
      </c>
      <c r="DE40" t="s">
        <v>1557</v>
      </c>
    </row>
    <row r="41" spans="1:109">
      <c r="A41" s="195" t="s">
        <v>947</v>
      </c>
      <c r="B41" s="14">
        <v>44594</v>
      </c>
      <c r="C41" s="12">
        <v>2345.7166666666672</v>
      </c>
      <c r="D41" s="131">
        <v>0</v>
      </c>
      <c r="E41" s="131">
        <v>0</v>
      </c>
      <c r="F41" s="131">
        <v>0</v>
      </c>
      <c r="G41" s="212">
        <v>0</v>
      </c>
      <c r="H41" s="52">
        <v>0</v>
      </c>
      <c r="I41" s="52">
        <f t="shared" si="6"/>
        <v>0</v>
      </c>
      <c r="J41" s="131">
        <v>6.5579999999999998</v>
      </c>
      <c r="K41" s="131">
        <v>131.8065</v>
      </c>
      <c r="L41" s="131">
        <v>476.17189999999999</v>
      </c>
      <c r="M41" s="131">
        <v>10.515000000000001</v>
      </c>
      <c r="N41" s="131">
        <v>0.77459999999999996</v>
      </c>
      <c r="O41" s="131">
        <v>2.7646000000000002</v>
      </c>
      <c r="P41" s="131">
        <v>17.238</v>
      </c>
      <c r="Q41" s="131">
        <v>21.0762</v>
      </c>
      <c r="R41" s="131">
        <v>45.879800000000003</v>
      </c>
      <c r="S41" s="128">
        <v>4.3840000000000003</v>
      </c>
      <c r="T41" s="128">
        <v>1.6194999999999999</v>
      </c>
      <c r="U41" s="128">
        <v>2.9300999999999999</v>
      </c>
      <c r="V41" s="212">
        <f t="shared" si="92"/>
        <v>2.1474603174603173</v>
      </c>
      <c r="W41" s="50">
        <v>1.0491999999999999</v>
      </c>
      <c r="X41" s="50">
        <f t="shared" si="0"/>
        <v>5.2459999999999996</v>
      </c>
      <c r="AB41" s="128">
        <v>6.5579999999999998</v>
      </c>
      <c r="AC41" s="128">
        <v>129.44540000000001</v>
      </c>
      <c r="AD41" s="128">
        <v>469.41750000000002</v>
      </c>
      <c r="AE41" s="128">
        <v>10.518000000000001</v>
      </c>
      <c r="AF41" s="128">
        <v>0.77170000000000005</v>
      </c>
      <c r="AG41" s="128">
        <v>2.7523</v>
      </c>
      <c r="AH41" s="128">
        <v>17.241</v>
      </c>
      <c r="AI41" s="128">
        <v>20.666399999999999</v>
      </c>
      <c r="AJ41" s="128">
        <v>45</v>
      </c>
      <c r="AK41" s="129">
        <v>4.3849999999999998</v>
      </c>
      <c r="AL41" s="129">
        <v>1.5967</v>
      </c>
      <c r="AM41" s="129">
        <v>2.8959000000000001</v>
      </c>
      <c r="AN41" s="212">
        <f>((AL41-0.2666)/3.15)*5</f>
        <v>2.1112698412698414</v>
      </c>
      <c r="AO41" s="48">
        <v>1.0407</v>
      </c>
      <c r="AP41" s="48">
        <f t="shared" si="9"/>
        <v>5.2035</v>
      </c>
      <c r="AT41" s="129">
        <v>6.5579999999999998</v>
      </c>
      <c r="AU41" s="129">
        <v>130.40610000000001</v>
      </c>
      <c r="AV41" s="129">
        <v>471.75369999999998</v>
      </c>
      <c r="AW41" s="129">
        <v>10.518000000000001</v>
      </c>
      <c r="AX41" s="129">
        <v>0.77980000000000005</v>
      </c>
      <c r="AY41" s="129">
        <v>2.7824</v>
      </c>
      <c r="AZ41" s="129">
        <v>17.241</v>
      </c>
      <c r="BA41" s="129">
        <v>20.863700000000001</v>
      </c>
      <c r="BB41" s="129">
        <v>45.384300000000003</v>
      </c>
      <c r="BC41" s="130">
        <v>4.3810000000000002</v>
      </c>
      <c r="BD41" s="130">
        <v>1.6096999999999999</v>
      </c>
      <c r="BE41" s="130">
        <v>2.9510000000000001</v>
      </c>
      <c r="BF41" s="212">
        <f>((BD41-0.2666)/3.15)*5</f>
        <v>2.131904761904762</v>
      </c>
      <c r="BG41" s="46">
        <v>1.0456000000000001</v>
      </c>
      <c r="BH41" s="46">
        <f t="shared" si="85"/>
        <v>5.2280000000000006</v>
      </c>
      <c r="BL41" s="130">
        <v>6.5650000000000004</v>
      </c>
      <c r="BM41" s="130">
        <v>134.0205</v>
      </c>
      <c r="BN41" s="130">
        <v>479.70769999999999</v>
      </c>
      <c r="BO41" s="130">
        <v>10.515000000000001</v>
      </c>
      <c r="BP41" s="130">
        <v>0.78649999999999998</v>
      </c>
      <c r="BQ41" s="130">
        <v>2.8068</v>
      </c>
      <c r="BR41" s="130">
        <v>17.234999999999999</v>
      </c>
      <c r="BS41" s="130">
        <v>21.482399999999998</v>
      </c>
      <c r="BT41" s="130">
        <v>46.748800000000003</v>
      </c>
      <c r="BX41" s="12">
        <f>V41</f>
        <v>2.1474603174603173</v>
      </c>
      <c r="BY41" s="12">
        <f>AN41</f>
        <v>2.1112698412698414</v>
      </c>
      <c r="BZ41" s="12">
        <f>BF41</f>
        <v>2.131904761904762</v>
      </c>
      <c r="CA41" s="12">
        <f t="shared" si="93"/>
        <v>2.1293650793650793</v>
      </c>
      <c r="CB41">
        <f t="shared" si="94"/>
        <v>2.5590531128655791E-2</v>
      </c>
      <c r="CC41">
        <v>3</v>
      </c>
      <c r="CD41">
        <v>3.18</v>
      </c>
      <c r="CE41" s="12">
        <f t="shared" si="95"/>
        <v>4.6983546113955041E-2</v>
      </c>
      <c r="CI41">
        <f>(BH41+AP41+X41)/3</f>
        <v>5.2258333333333331</v>
      </c>
      <c r="CQ41" t="s">
        <v>1009</v>
      </c>
      <c r="CR41" s="37">
        <v>44601</v>
      </c>
      <c r="CS41" s="32">
        <v>0.42708333333333331</v>
      </c>
      <c r="CT41">
        <f>CW40+(24*5)</f>
        <v>2513.4500000000003</v>
      </c>
      <c r="CU41">
        <v>1</v>
      </c>
      <c r="CV41">
        <f t="shared" si="88"/>
        <v>150808.00000000003</v>
      </c>
      <c r="CW41">
        <f t="shared" si="89"/>
        <v>2513.4666666666672</v>
      </c>
      <c r="CX41">
        <f t="shared" si="90"/>
        <v>28.000000000029104</v>
      </c>
      <c r="CY41">
        <v>2513</v>
      </c>
      <c r="DA41">
        <f>((DD41-V41)+(DD41-AN41)+(DD41-BF41))/3</f>
        <v>-2.1302116402116402</v>
      </c>
    </row>
    <row r="42" spans="1:109">
      <c r="A42" s="195" t="s">
        <v>1025</v>
      </c>
      <c r="B42" s="39">
        <v>44596</v>
      </c>
      <c r="C42" s="12">
        <v>2393.4500000000003</v>
      </c>
      <c r="D42" s="131">
        <v>0</v>
      </c>
      <c r="E42" s="131">
        <v>0</v>
      </c>
      <c r="F42" s="131">
        <v>0</v>
      </c>
      <c r="G42" s="212">
        <v>0</v>
      </c>
      <c r="H42" s="52">
        <v>0</v>
      </c>
      <c r="I42" s="52">
        <f t="shared" si="6"/>
        <v>0</v>
      </c>
      <c r="J42" s="131">
        <v>6.5510000000000002</v>
      </c>
      <c r="K42" s="131">
        <v>142.44049999999999</v>
      </c>
      <c r="L42" s="131">
        <v>508.23480000000001</v>
      </c>
      <c r="M42" s="131">
        <v>10.398</v>
      </c>
      <c r="N42" s="131">
        <v>0.67879999999999996</v>
      </c>
      <c r="O42" s="131">
        <v>2.4992000000000001</v>
      </c>
      <c r="P42" s="131">
        <v>16.971</v>
      </c>
      <c r="Q42" s="131">
        <v>18.241099999999999</v>
      </c>
      <c r="R42" s="131">
        <v>40.576799999999999</v>
      </c>
      <c r="S42" s="1">
        <v>4.3780000000000001</v>
      </c>
      <c r="T42" s="1">
        <v>1.4198999999999999</v>
      </c>
      <c r="U42" s="1">
        <v>2.7976000000000001</v>
      </c>
      <c r="V42" s="132">
        <f>((T42+0.247)/3.2403)*5</f>
        <v>2.5721383822485571</v>
      </c>
      <c r="W42" s="1">
        <v>0.97419999999999995</v>
      </c>
      <c r="X42" s="1">
        <f t="shared" si="0"/>
        <v>4.8709999999999996</v>
      </c>
      <c r="Y42" s="1">
        <v>4.9640000000000004</v>
      </c>
      <c r="Z42" s="1">
        <v>9.74E-2</v>
      </c>
      <c r="AA42" s="1">
        <v>0.26340000000000002</v>
      </c>
      <c r="AB42" s="128">
        <v>6.5579999999999998</v>
      </c>
      <c r="AC42" s="128">
        <v>151.38509999999999</v>
      </c>
      <c r="AD42" s="128">
        <v>531.03589999999997</v>
      </c>
      <c r="AE42" s="128">
        <v>10.394</v>
      </c>
      <c r="AF42" s="128">
        <v>0.65349999999999997</v>
      </c>
      <c r="AG42" s="128">
        <v>2.4014000000000002</v>
      </c>
      <c r="AH42" s="128">
        <v>16.917999999999999</v>
      </c>
      <c r="AI42" s="128">
        <v>29.509799999999998</v>
      </c>
      <c r="AJ42" s="128">
        <v>65.301400000000001</v>
      </c>
      <c r="AK42" s="2">
        <v>4.375</v>
      </c>
      <c r="AL42" s="2">
        <v>1.4416</v>
      </c>
      <c r="AM42" s="2">
        <v>2.7566000000000002</v>
      </c>
      <c r="AN42" s="212">
        <f>((AL42+0.247)/3.2403)*5</f>
        <v>2.6056229361478875</v>
      </c>
      <c r="AO42" s="2">
        <v>0.98660000000000003</v>
      </c>
      <c r="AP42" s="2">
        <f t="shared" si="9"/>
        <v>4.9329999999999998</v>
      </c>
      <c r="AQ42" s="2">
        <v>4.9349999999999996</v>
      </c>
      <c r="AR42" s="2">
        <v>3.5999999999999997E-2</v>
      </c>
      <c r="AS42" s="2">
        <v>0.22689999999999999</v>
      </c>
      <c r="AT42" s="129">
        <v>6.5609999999999999</v>
      </c>
      <c r="AU42" s="129">
        <v>158.0889</v>
      </c>
      <c r="AV42" s="129">
        <v>546.9307</v>
      </c>
      <c r="AW42" s="129">
        <v>10.391</v>
      </c>
      <c r="AX42" s="129">
        <v>0.67020000000000002</v>
      </c>
      <c r="AY42" s="129">
        <v>2.4611000000000001</v>
      </c>
      <c r="AZ42" s="129">
        <v>16.861000000000001</v>
      </c>
      <c r="BA42" s="129">
        <v>43.007199999999997</v>
      </c>
      <c r="BB42" s="129">
        <v>93.456800000000001</v>
      </c>
      <c r="BC42" s="4">
        <v>4.375</v>
      </c>
      <c r="BD42" s="4">
        <v>1.2824</v>
      </c>
      <c r="BE42" s="4">
        <v>2.5916000000000001</v>
      </c>
      <c r="BF42" s="212">
        <f>((BD42+0.247)/3.2403)*5</f>
        <v>2.3599666697528003</v>
      </c>
      <c r="BG42" s="4">
        <v>0.92249999999999999</v>
      </c>
      <c r="BH42" s="4">
        <f t="shared" si="85"/>
        <v>4.6124999999999998</v>
      </c>
      <c r="BI42" s="4">
        <v>4.9610000000000003</v>
      </c>
      <c r="BJ42" s="4">
        <v>0.26590000000000003</v>
      </c>
      <c r="BK42" s="4">
        <v>1.0692999999999999</v>
      </c>
      <c r="BL42" s="130">
        <v>6.548</v>
      </c>
      <c r="BM42" s="130">
        <v>139.1951</v>
      </c>
      <c r="BN42" s="130">
        <v>501.97800000000001</v>
      </c>
      <c r="BO42" s="130">
        <v>10.395</v>
      </c>
      <c r="BP42" s="130">
        <v>0.65920000000000001</v>
      </c>
      <c r="BQ42" s="130">
        <v>2.4256000000000002</v>
      </c>
      <c r="BR42" s="130">
        <v>16.975000000000001</v>
      </c>
      <c r="BS42" s="130">
        <v>17.424700000000001</v>
      </c>
      <c r="BT42" s="130">
        <v>38.722700000000003</v>
      </c>
      <c r="BX42" s="12">
        <f>[2]Sets!P23</f>
        <v>2.6622534950467545</v>
      </c>
      <c r="BY42" s="12">
        <f>[2]Sets!Y23</f>
        <v>2.6056229361478875</v>
      </c>
      <c r="BZ42" s="12">
        <f>[2]Sets!AH23</f>
        <v>1.8680369101626391</v>
      </c>
      <c r="CA42" s="12">
        <f t="shared" si="93"/>
        <v>2.633938215597321</v>
      </c>
      <c r="CB42">
        <f t="shared" si="94"/>
        <v>4.0043852219772982E-2</v>
      </c>
      <c r="CC42">
        <v>3</v>
      </c>
      <c r="CD42">
        <v>3.18</v>
      </c>
      <c r="CE42" s="12">
        <f t="shared" si="95"/>
        <v>7.3519465769952178E-2</v>
      </c>
      <c r="CI42">
        <f>([2]Sets!AJ23+[2]Sets!AA23+[2]Sets!R23)/3</f>
        <v>4.6354999999999995</v>
      </c>
      <c r="CQ42" t="s">
        <v>1010</v>
      </c>
      <c r="CR42" s="37">
        <v>44606</v>
      </c>
      <c r="CS42" s="32">
        <v>0.4375</v>
      </c>
      <c r="CT42">
        <f>CW41+(24*5)</f>
        <v>2633.4666666666672</v>
      </c>
      <c r="CU42">
        <v>15</v>
      </c>
      <c r="CV42">
        <f t="shared" si="88"/>
        <v>158023.00000000003</v>
      </c>
      <c r="CW42">
        <f t="shared" si="89"/>
        <v>2633.7166666666672</v>
      </c>
      <c r="CX42">
        <f t="shared" si="90"/>
        <v>43.000000000029104</v>
      </c>
      <c r="CY42">
        <v>2633</v>
      </c>
      <c r="DA42">
        <f>((DD42-[2]Sets!P23)+(DD42-[2]Sets!Y23)+(DD42-[2]Sets!AH23))/3</f>
        <v>-2.378637780452427</v>
      </c>
    </row>
    <row r="43" spans="1:109">
      <c r="A43" s="195" t="s">
        <v>1025</v>
      </c>
      <c r="B43" s="39">
        <v>44601</v>
      </c>
      <c r="C43" s="12">
        <v>2513.4666666666672</v>
      </c>
      <c r="D43" s="131">
        <v>0</v>
      </c>
      <c r="E43" s="131">
        <v>0</v>
      </c>
      <c r="F43" s="131">
        <v>0</v>
      </c>
      <c r="G43" s="212">
        <v>0</v>
      </c>
      <c r="H43" s="52">
        <v>0</v>
      </c>
      <c r="I43" s="52">
        <f t="shared" si="6"/>
        <v>0</v>
      </c>
      <c r="J43" s="131">
        <v>6.5540000000000003</v>
      </c>
      <c r="K43" s="131">
        <v>148.63630000000001</v>
      </c>
      <c r="L43" s="131">
        <v>524.7242</v>
      </c>
      <c r="M43" s="131">
        <v>10.388</v>
      </c>
      <c r="N43" s="131">
        <v>3.1863000000000001</v>
      </c>
      <c r="O43" s="131">
        <v>12.0893</v>
      </c>
      <c r="P43" s="131">
        <v>16.981000000000002</v>
      </c>
      <c r="Q43" s="131">
        <v>18.439299999999999</v>
      </c>
      <c r="R43" s="131">
        <v>41.056199999999997</v>
      </c>
      <c r="S43" s="1">
        <v>4.3710000000000004</v>
      </c>
      <c r="T43" s="1">
        <v>1.4654</v>
      </c>
      <c r="U43" s="1">
        <v>3.1478999999999999</v>
      </c>
      <c r="V43" s="132">
        <f>((T43+0.247)/3.2403)*5</f>
        <v>2.6423479307471531</v>
      </c>
      <c r="W43" s="1">
        <v>0.99129999999999996</v>
      </c>
      <c r="X43" s="1">
        <f t="shared" si="0"/>
        <v>4.9565000000000001</v>
      </c>
      <c r="Y43" s="1">
        <v>4.9610000000000003</v>
      </c>
      <c r="Z43" s="1">
        <v>0.21729999999999999</v>
      </c>
      <c r="AA43" s="1">
        <v>0.78310000000000002</v>
      </c>
      <c r="AB43" s="128">
        <v>6.5709999999999997</v>
      </c>
      <c r="AC43" s="128">
        <v>166.57239999999999</v>
      </c>
      <c r="AD43" s="128">
        <v>567.6114</v>
      </c>
      <c r="AE43" s="128">
        <v>10.391</v>
      </c>
      <c r="AF43" s="128">
        <v>3.1886999999999999</v>
      </c>
      <c r="AG43" s="128">
        <v>12.071199999999999</v>
      </c>
      <c r="AH43" s="128">
        <v>16.948</v>
      </c>
      <c r="AI43" s="128">
        <v>26.985700000000001</v>
      </c>
      <c r="AJ43" s="128">
        <v>59.8339</v>
      </c>
      <c r="AK43" s="2">
        <v>4.3710000000000004</v>
      </c>
      <c r="AL43" s="2">
        <v>1.4321999999999999</v>
      </c>
      <c r="AM43" s="2">
        <v>3.0865999999999998</v>
      </c>
      <c r="AN43" s="212">
        <f>((AL43+0.247)/3.2403)*5</f>
        <v>2.5911181063481776</v>
      </c>
      <c r="AO43" s="2">
        <v>0.97889999999999999</v>
      </c>
      <c r="AP43" s="2">
        <f t="shared" si="9"/>
        <v>4.8944999999999999</v>
      </c>
      <c r="AQ43" s="2">
        <v>4.9610000000000003</v>
      </c>
      <c r="AR43" s="2">
        <v>0.19220000000000001</v>
      </c>
      <c r="AS43" s="2">
        <v>0.61229999999999996</v>
      </c>
      <c r="AT43" s="129">
        <v>6.5880000000000001</v>
      </c>
      <c r="AU43" s="129">
        <v>187.4881</v>
      </c>
      <c r="AV43" s="129">
        <v>615.43899999999996</v>
      </c>
      <c r="AW43" s="129">
        <v>10.388</v>
      </c>
      <c r="AX43" s="129">
        <v>3.1511</v>
      </c>
      <c r="AY43" s="129">
        <v>11.916600000000001</v>
      </c>
      <c r="AZ43" s="129">
        <v>16.895</v>
      </c>
      <c r="BA43" s="129">
        <v>39.067700000000002</v>
      </c>
      <c r="BB43" s="129">
        <v>85.415099999999995</v>
      </c>
      <c r="BC43" s="4">
        <v>4.3710000000000004</v>
      </c>
      <c r="BD43" s="4">
        <v>1.3349</v>
      </c>
      <c r="BE43" s="4">
        <v>2.9527999999999999</v>
      </c>
      <c r="BF43" s="212">
        <f>((BD43+0.247)/3.2403)*5</f>
        <v>2.4409776872511806</v>
      </c>
      <c r="BG43" s="4">
        <v>0.94230000000000003</v>
      </c>
      <c r="BH43" s="4">
        <f t="shared" si="85"/>
        <v>4.7115</v>
      </c>
      <c r="BI43" s="4">
        <v>4.9809999999999999</v>
      </c>
      <c r="BJ43" s="4">
        <v>0.1096</v>
      </c>
      <c r="BK43" s="4">
        <v>0.15090000000000001</v>
      </c>
      <c r="BL43" s="130">
        <v>6.5609999999999999</v>
      </c>
      <c r="BM43" s="130">
        <v>155.24369999999999</v>
      </c>
      <c r="BN43" s="130">
        <v>542.79089999999997</v>
      </c>
      <c r="BO43" s="130">
        <v>10.391</v>
      </c>
      <c r="BP43" s="130">
        <v>3.181</v>
      </c>
      <c r="BQ43" s="130">
        <v>12.0527</v>
      </c>
      <c r="BR43" s="130">
        <v>16.981000000000002</v>
      </c>
      <c r="BS43" s="130">
        <v>19.1751</v>
      </c>
      <c r="BT43" s="130">
        <v>42.649500000000003</v>
      </c>
      <c r="BX43" s="12">
        <f>[2]Sets!P24</f>
        <v>3.1225503811375495</v>
      </c>
      <c r="BY43" s="12">
        <f>[2]Sets!Y24</f>
        <v>3.0693145696386139</v>
      </c>
      <c r="BZ43" s="12">
        <f>[2]Sets!AH24</f>
        <v>2.557170632348857</v>
      </c>
      <c r="CA43" s="12">
        <f t="shared" si="93"/>
        <v>3.0959324753880817</v>
      </c>
      <c r="CB43">
        <f t="shared" si="94"/>
        <v>3.7643403312866093E-2</v>
      </c>
      <c r="CC43">
        <v>3</v>
      </c>
      <c r="CD43">
        <v>3.18</v>
      </c>
      <c r="CE43" s="12">
        <f t="shared" si="95"/>
        <v>6.9112304334152108E-2</v>
      </c>
      <c r="CI43">
        <f>([2]Sets!AJ24+[2]Sets!AA24+[2]Sets!R24)/3</f>
        <v>5.2903333333333329</v>
      </c>
      <c r="CQ43" t="s">
        <v>1011</v>
      </c>
      <c r="CR43" s="37">
        <v>44608</v>
      </c>
      <c r="CS43" s="32">
        <v>0.41805555555555557</v>
      </c>
      <c r="CT43">
        <f>CW42+(24*2)</f>
        <v>2681.7166666666672</v>
      </c>
      <c r="CU43">
        <v>-28</v>
      </c>
      <c r="CV43">
        <f t="shared" si="88"/>
        <v>160875.00000000003</v>
      </c>
      <c r="CW43">
        <f t="shared" si="89"/>
        <v>2681.2500000000005</v>
      </c>
      <c r="CX43">
        <f t="shared" si="90"/>
        <v>15.000000000027285</v>
      </c>
      <c r="CY43">
        <v>2681</v>
      </c>
      <c r="DA43">
        <f>((DD43-[2]Sets!P24)+(DD43-[2]Sets!Y24)+(DD43-[2]Sets!AH24))/3</f>
        <v>-2.9163451943750069</v>
      </c>
    </row>
    <row r="44" spans="1:109">
      <c r="A44" s="195" t="s">
        <v>1060</v>
      </c>
      <c r="B44" s="39">
        <v>44606</v>
      </c>
      <c r="C44" s="12">
        <v>2633.7166666666672</v>
      </c>
      <c r="D44" s="131">
        <v>4.4249999999999998</v>
      </c>
      <c r="E44" s="131">
        <v>1.1827000000000001</v>
      </c>
      <c r="F44" s="131">
        <v>3.8797999999999999</v>
      </c>
      <c r="G44" s="212">
        <f t="shared" ref="G44" si="96">((E44+0.247)/3.2403)*5</f>
        <v>2.2061228898558776</v>
      </c>
      <c r="H44" s="52">
        <v>0.8851</v>
      </c>
      <c r="I44" s="52">
        <f t="shared" si="6"/>
        <v>4.4254999999999995</v>
      </c>
      <c r="J44" s="131">
        <v>6.5709999999999997</v>
      </c>
      <c r="K44" s="131">
        <v>163.4751</v>
      </c>
      <c r="L44" s="131">
        <v>565.90949999999998</v>
      </c>
      <c r="M44" s="131">
        <v>10.391</v>
      </c>
      <c r="N44" s="131">
        <v>3.2683</v>
      </c>
      <c r="O44" s="131">
        <v>12.3012</v>
      </c>
      <c r="P44" s="131">
        <v>16.971</v>
      </c>
      <c r="Q44" s="131">
        <v>21.0291</v>
      </c>
      <c r="R44" s="131">
        <v>46.700699999999998</v>
      </c>
      <c r="S44" s="1">
        <v>4.4009999999999998</v>
      </c>
      <c r="T44" s="1">
        <v>2.4521000000000002</v>
      </c>
      <c r="U44" s="1">
        <v>5.5876999999999999</v>
      </c>
      <c r="V44" s="212">
        <f>((T44-0.1228)/3.09)*5</f>
        <v>3.7690938511326868</v>
      </c>
      <c r="W44" s="1">
        <v>1.3622000000000001</v>
      </c>
      <c r="X44" s="1">
        <f t="shared" si="0"/>
        <v>6.8109999999999999</v>
      </c>
      <c r="AB44" s="128">
        <v>6.5709999999999997</v>
      </c>
      <c r="AC44" s="128">
        <v>163.06039999999999</v>
      </c>
      <c r="AD44" s="128">
        <v>562.47439999999995</v>
      </c>
      <c r="AE44" s="128">
        <v>10.391</v>
      </c>
      <c r="AF44" s="128">
        <v>3.2193999999999998</v>
      </c>
      <c r="AG44" s="128">
        <v>12.148300000000001</v>
      </c>
      <c r="AH44" s="128">
        <v>16.963999999999999</v>
      </c>
      <c r="AI44" s="128">
        <v>21.9267</v>
      </c>
      <c r="AJ44" s="128">
        <v>48.699599999999997</v>
      </c>
      <c r="AK44" s="2">
        <v>4.3879999999999999</v>
      </c>
      <c r="AL44" s="2">
        <v>2.0375999999999999</v>
      </c>
      <c r="AM44" s="2">
        <v>4.3749000000000002</v>
      </c>
      <c r="AN44" s="132">
        <f>((AL44-0.1228)/3.09)*5</f>
        <v>3.0983818770226534</v>
      </c>
      <c r="AO44" s="479">
        <v>1.2063999999999999</v>
      </c>
      <c r="AP44" s="479">
        <f t="shared" si="9"/>
        <v>6.032</v>
      </c>
      <c r="AQ44" s="2">
        <v>4.931</v>
      </c>
      <c r="AR44" s="2">
        <v>3.5099999999999999E-2</v>
      </c>
      <c r="AS44" s="2">
        <v>0.23050000000000001</v>
      </c>
      <c r="AT44" s="129">
        <v>6.5579999999999998</v>
      </c>
      <c r="AU44" s="129">
        <v>155.70240000000001</v>
      </c>
      <c r="AV44" s="129">
        <v>544.39340000000004</v>
      </c>
      <c r="AW44" s="129">
        <v>10.385</v>
      </c>
      <c r="AX44" s="129">
        <v>3.3010999999999999</v>
      </c>
      <c r="AY44" s="129">
        <v>12.473000000000001</v>
      </c>
      <c r="AZ44" s="129">
        <v>16.951000000000001</v>
      </c>
      <c r="BA44" s="129">
        <v>23.247599999999998</v>
      </c>
      <c r="BB44" s="129">
        <v>51.567399999999999</v>
      </c>
      <c r="BC44" s="4">
        <v>4.3710000000000004</v>
      </c>
      <c r="BD44" s="4">
        <v>1.5373000000000001</v>
      </c>
      <c r="BE44" s="4">
        <v>3.2904</v>
      </c>
      <c r="BF44" s="212">
        <f t="shared" ref="BF44:BF46" si="97">((BD44-0.1228)/3.09)*5</f>
        <v>2.2888349514563107</v>
      </c>
      <c r="BG44" s="479">
        <v>1.0184</v>
      </c>
      <c r="BH44" s="479">
        <f t="shared" si="85"/>
        <v>5.0919999999999996</v>
      </c>
      <c r="BI44" s="4">
        <v>4.9580000000000002</v>
      </c>
      <c r="BJ44" s="4">
        <v>0.27229999999999999</v>
      </c>
      <c r="BK44" s="4">
        <v>1.3767</v>
      </c>
      <c r="BL44" s="130">
        <v>6.5640000000000001</v>
      </c>
      <c r="BM44" s="130">
        <v>159.28739999999999</v>
      </c>
      <c r="BN44" s="130">
        <v>553.23559999999998</v>
      </c>
      <c r="BO44" s="130">
        <v>10.388</v>
      </c>
      <c r="BP44" s="130">
        <v>3.2551000000000001</v>
      </c>
      <c r="BQ44" s="130">
        <v>12.297800000000001</v>
      </c>
      <c r="BR44" s="130">
        <v>16.968</v>
      </c>
      <c r="BS44" s="130">
        <v>20.214200000000002</v>
      </c>
      <c r="BT44" s="130">
        <v>44.875399999999999</v>
      </c>
      <c r="BX44" s="12">
        <f>[2]Sets!P25</f>
        <v>4.4594636299108101</v>
      </c>
      <c r="BY44" s="12">
        <f>[2]Sets!Y25</f>
        <v>3.8163133043236734</v>
      </c>
      <c r="BZ44" s="12">
        <f>[2]Sets!AH25</f>
        <v>2.2155355985556895</v>
      </c>
      <c r="CA44" s="12">
        <f t="shared" si="93"/>
        <v>4.137888467117242</v>
      </c>
      <c r="CB44">
        <f t="shared" si="94"/>
        <v>0.45477595654500025</v>
      </c>
      <c r="CC44">
        <v>3</v>
      </c>
      <c r="CD44">
        <v>3.18</v>
      </c>
      <c r="CE44" s="12">
        <f t="shared" si="95"/>
        <v>0.83495676656447704</v>
      </c>
      <c r="CI44">
        <f>([2]Sets!AJ25+[2]Sets!AA25+[2]Sets!R25)/3</f>
        <v>5.9974999999999996</v>
      </c>
      <c r="CQ44" t="s">
        <v>1174</v>
      </c>
      <c r="CR44" s="37">
        <v>44610</v>
      </c>
      <c r="CS44" s="32">
        <v>0.39513888888888887</v>
      </c>
      <c r="CT44">
        <f>CW43+(24*2)</f>
        <v>2729.2500000000005</v>
      </c>
      <c r="CU44">
        <v>-33</v>
      </c>
      <c r="CV44">
        <f t="shared" si="88"/>
        <v>163722.00000000003</v>
      </c>
      <c r="CW44">
        <f t="shared" si="89"/>
        <v>2728.7000000000003</v>
      </c>
      <c r="CX44">
        <f t="shared" si="90"/>
        <v>42.000000000016371</v>
      </c>
      <c r="CY44">
        <v>2728</v>
      </c>
      <c r="DA44">
        <f>((DD44-V44)+(DD44-[2]Sets!Y25)+(DD44-[2]Sets!AH25))/3</f>
        <v>-3.2669809180040166</v>
      </c>
    </row>
    <row r="45" spans="1:109">
      <c r="A45" s="195" t="s">
        <v>1060</v>
      </c>
      <c r="B45" s="39">
        <v>44608</v>
      </c>
      <c r="C45" s="12">
        <v>2681.2500000000005</v>
      </c>
      <c r="D45" s="131">
        <v>0</v>
      </c>
      <c r="E45" s="131">
        <v>0</v>
      </c>
      <c r="F45" s="131">
        <v>0</v>
      </c>
      <c r="G45" s="212">
        <v>0</v>
      </c>
      <c r="H45" s="52">
        <v>0</v>
      </c>
      <c r="I45" s="52">
        <f t="shared" si="6"/>
        <v>0</v>
      </c>
      <c r="J45" s="131">
        <v>6.524</v>
      </c>
      <c r="K45" s="131">
        <v>128.7938</v>
      </c>
      <c r="L45" s="131">
        <v>472.23090000000002</v>
      </c>
      <c r="M45" s="131">
        <v>10.381</v>
      </c>
      <c r="N45" s="131">
        <v>1.2089000000000001</v>
      </c>
      <c r="O45" s="131">
        <v>4.4873000000000003</v>
      </c>
      <c r="P45" s="131">
        <v>16.988</v>
      </c>
      <c r="Q45" s="131">
        <v>15.4527</v>
      </c>
      <c r="R45" s="131">
        <v>34.278599999999997</v>
      </c>
      <c r="S45" s="1">
        <v>4.375</v>
      </c>
      <c r="T45" s="1">
        <v>1.4745999999999999</v>
      </c>
      <c r="U45" s="1">
        <v>3.0809000000000002</v>
      </c>
      <c r="V45" s="212">
        <f>((T45-0.1228)/3.09)*5</f>
        <v>2.1873786407766991</v>
      </c>
      <c r="W45" s="1">
        <v>0.99480000000000002</v>
      </c>
      <c r="X45" s="1">
        <f t="shared" si="0"/>
        <v>4.9740000000000002</v>
      </c>
      <c r="Y45" s="1">
        <v>4.9550000000000001</v>
      </c>
      <c r="Z45" s="1">
        <v>0.1946</v>
      </c>
      <c r="AA45" s="1">
        <v>0.90610000000000002</v>
      </c>
      <c r="AB45" s="128">
        <v>6.5449999999999999</v>
      </c>
      <c r="AC45" s="128">
        <v>150.3724</v>
      </c>
      <c r="AD45" s="128">
        <v>525.68280000000004</v>
      </c>
      <c r="AE45" s="128">
        <v>10.378</v>
      </c>
      <c r="AF45" s="128">
        <v>1.1809000000000001</v>
      </c>
      <c r="AG45" s="128">
        <v>4.3863000000000003</v>
      </c>
      <c r="AH45" s="128">
        <v>16.951000000000001</v>
      </c>
      <c r="AI45" s="128">
        <v>21.550799999999999</v>
      </c>
      <c r="AJ45" s="128">
        <v>47.913499999999999</v>
      </c>
      <c r="AK45" s="2">
        <v>4.3710000000000004</v>
      </c>
      <c r="AL45" s="2">
        <v>1.3482000000000001</v>
      </c>
      <c r="AM45" s="2">
        <v>2.8163</v>
      </c>
      <c r="AN45" s="132">
        <f>((AL45-0.1228)/3.09)*5</f>
        <v>1.9828478964401297</v>
      </c>
      <c r="AO45" s="2">
        <v>0.94730000000000003</v>
      </c>
      <c r="AP45" s="2">
        <f t="shared" si="9"/>
        <v>4.7365000000000004</v>
      </c>
      <c r="AQ45" s="2">
        <v>4.9539999999999997</v>
      </c>
      <c r="AR45" s="2">
        <v>0.34410000000000002</v>
      </c>
      <c r="AS45" s="2">
        <v>1.6787000000000001</v>
      </c>
      <c r="AT45" s="129">
        <v>6.5510000000000002</v>
      </c>
      <c r="AU45" s="129">
        <v>159.94540000000001</v>
      </c>
      <c r="AV45" s="129">
        <v>548.19669999999996</v>
      </c>
      <c r="AW45" s="129">
        <v>10.374000000000001</v>
      </c>
      <c r="AX45" s="129">
        <v>1.194</v>
      </c>
      <c r="AY45" s="129">
        <v>4.4229000000000003</v>
      </c>
      <c r="AZ45" s="129">
        <v>16.904</v>
      </c>
      <c r="BA45" s="129">
        <v>33.56</v>
      </c>
      <c r="BB45" s="129">
        <v>73.8947</v>
      </c>
      <c r="BC45" s="4">
        <v>4.3710000000000004</v>
      </c>
      <c r="BD45" s="4">
        <v>1.2667999999999999</v>
      </c>
      <c r="BE45" s="4">
        <v>2.7240000000000002</v>
      </c>
      <c r="BF45" s="212">
        <f t="shared" si="97"/>
        <v>1.8511326860841424</v>
      </c>
      <c r="BG45" s="4">
        <v>0.91669999999999996</v>
      </c>
      <c r="BH45" s="4">
        <f t="shared" si="85"/>
        <v>4.5834999999999999</v>
      </c>
      <c r="BI45" s="4">
        <v>4.9580000000000002</v>
      </c>
      <c r="BJ45" s="4">
        <v>0.19109999999999999</v>
      </c>
      <c r="BK45" s="4">
        <v>0.93859999999999999</v>
      </c>
      <c r="BL45" s="130">
        <v>6.5449999999999999</v>
      </c>
      <c r="BM45" s="130">
        <v>143.82589999999999</v>
      </c>
      <c r="BN45" s="130">
        <v>510.10849999999999</v>
      </c>
      <c r="BO45" s="130">
        <v>10.381</v>
      </c>
      <c r="BP45" s="130">
        <v>1.1959</v>
      </c>
      <c r="BQ45" s="130">
        <v>4.4413</v>
      </c>
      <c r="BR45" s="130">
        <v>16.981000000000002</v>
      </c>
      <c r="BS45" s="130">
        <v>17.483899999999998</v>
      </c>
      <c r="BT45" s="130">
        <v>38.866599999999998</v>
      </c>
      <c r="BX45" s="12">
        <f>[2]Sets!P26</f>
        <v>1.6949838187702264</v>
      </c>
      <c r="BY45" s="12">
        <f>[2]Sets!Y26</f>
        <v>1.4779935275080907</v>
      </c>
      <c r="BZ45" s="12">
        <f>[2]Sets!AH26</f>
        <v>1.3899676375404533</v>
      </c>
      <c r="CA45" s="12">
        <f t="shared" si="93"/>
        <v>1.5864886731391585</v>
      </c>
      <c r="CB45">
        <f t="shared" si="94"/>
        <v>0.15343530640310024</v>
      </c>
      <c r="CC45">
        <v>3</v>
      </c>
      <c r="CD45">
        <v>3.18</v>
      </c>
      <c r="CE45" s="12">
        <f t="shared" si="95"/>
        <v>0.281703211146972</v>
      </c>
      <c r="CI45">
        <f>([2]Sets!AJ26+[2]Sets!AA26+[2]Sets!R26)/3</f>
        <v>4.2</v>
      </c>
      <c r="DA45">
        <f>((DD45-V45)+(DD45-AN45)+(DD45-BF45))/3</f>
        <v>-2.0071197411003237</v>
      </c>
    </row>
    <row r="46" spans="1:109">
      <c r="A46" s="195" t="s">
        <v>1060</v>
      </c>
      <c r="B46" s="14">
        <v>44610</v>
      </c>
      <c r="C46" s="12">
        <v>2728.7000000000003</v>
      </c>
      <c r="D46" s="131">
        <v>4.9450000000000003</v>
      </c>
      <c r="E46" s="131">
        <v>0.44500000000000001</v>
      </c>
      <c r="F46" s="131">
        <v>1.4893000000000001</v>
      </c>
      <c r="G46" s="212">
        <v>0</v>
      </c>
      <c r="H46" s="52">
        <v>0</v>
      </c>
      <c r="I46" s="52">
        <f t="shared" si="6"/>
        <v>0</v>
      </c>
      <c r="J46" s="131">
        <v>6.5609999999999999</v>
      </c>
      <c r="K46" s="131">
        <v>166.74969999999999</v>
      </c>
      <c r="L46" s="131">
        <v>565.20609999999999</v>
      </c>
      <c r="M46" s="131">
        <v>10.381</v>
      </c>
      <c r="N46" s="131">
        <v>1.3441000000000001</v>
      </c>
      <c r="O46" s="131">
        <v>4.9672999999999998</v>
      </c>
      <c r="P46" s="131">
        <v>16.948</v>
      </c>
      <c r="Q46" s="131">
        <v>24.851400000000002</v>
      </c>
      <c r="R46" s="131">
        <v>55.069400000000002</v>
      </c>
      <c r="S46" s="1">
        <v>4.3609999999999998</v>
      </c>
      <c r="T46" s="1">
        <v>1.5509999999999999</v>
      </c>
      <c r="U46" s="1">
        <v>3.8925999999999998</v>
      </c>
      <c r="V46" s="132">
        <f>((T46-0.1228)/3.09)*5</f>
        <v>2.3110032362459547</v>
      </c>
      <c r="W46" s="1">
        <v>1.0235000000000001</v>
      </c>
      <c r="X46" s="1">
        <f t="shared" si="0"/>
        <v>5.1175000000000006</v>
      </c>
      <c r="Y46" s="1">
        <v>4.9610000000000003</v>
      </c>
      <c r="Z46" s="1">
        <v>0.12089999999999999</v>
      </c>
      <c r="AA46" s="1">
        <v>0.3049</v>
      </c>
      <c r="AB46" s="128">
        <v>6.5609999999999999</v>
      </c>
      <c r="AC46" s="128">
        <v>167.26179999999999</v>
      </c>
      <c r="AD46" s="128">
        <v>566.83019999999999</v>
      </c>
      <c r="AE46" s="128">
        <v>10.381</v>
      </c>
      <c r="AF46" s="128">
        <v>1.3515999999999999</v>
      </c>
      <c r="AG46" s="128">
        <v>4.9949000000000003</v>
      </c>
      <c r="AH46" s="128">
        <v>16.920999999999999</v>
      </c>
      <c r="AI46" s="128">
        <v>31.118400000000001</v>
      </c>
      <c r="AJ46" s="128">
        <v>68.568200000000004</v>
      </c>
      <c r="AK46" s="2">
        <v>4.3579999999999997</v>
      </c>
      <c r="AL46" s="2">
        <v>1.53</v>
      </c>
      <c r="AM46" s="2">
        <v>3.516</v>
      </c>
      <c r="AN46" s="132">
        <f>((AL46-0.1228)/3.09)*5</f>
        <v>2.2770226537216827</v>
      </c>
      <c r="AO46" s="2">
        <v>1.0156000000000001</v>
      </c>
      <c r="AP46" s="2">
        <f t="shared" si="9"/>
        <v>5.0780000000000003</v>
      </c>
      <c r="AQ46" s="2">
        <v>4.9450000000000003</v>
      </c>
      <c r="AR46" s="2">
        <v>9.2399999999999996E-2</v>
      </c>
      <c r="AS46" s="2">
        <v>0.56220000000000003</v>
      </c>
      <c r="AT46" s="129">
        <v>6.5549999999999997</v>
      </c>
      <c r="AU46" s="129">
        <v>162.1319</v>
      </c>
      <c r="AV46" s="129">
        <v>554.94539999999995</v>
      </c>
      <c r="AW46" s="129">
        <v>10.375</v>
      </c>
      <c r="AX46" s="129">
        <v>1.3464</v>
      </c>
      <c r="AY46" s="129">
        <v>4.9795999999999996</v>
      </c>
      <c r="AZ46" s="129">
        <v>16.925000000000001</v>
      </c>
      <c r="BA46" s="129">
        <v>29.263500000000001</v>
      </c>
      <c r="BB46" s="129">
        <v>64.631900000000002</v>
      </c>
      <c r="BC46" s="4">
        <v>4.3579999999999997</v>
      </c>
      <c r="BD46" s="4">
        <v>1.5205</v>
      </c>
      <c r="BE46" s="4">
        <v>3.6415999999999999</v>
      </c>
      <c r="BF46" s="212">
        <f t="shared" si="97"/>
        <v>2.2616504854368933</v>
      </c>
      <c r="BG46" s="4">
        <v>1.012</v>
      </c>
      <c r="BH46" s="4">
        <f t="shared" si="85"/>
        <v>5.0600000000000005</v>
      </c>
      <c r="BI46" s="4">
        <v>4.9550000000000001</v>
      </c>
      <c r="BJ46" s="4">
        <v>0.18110000000000001</v>
      </c>
      <c r="BK46" s="4">
        <v>0.91479999999999995</v>
      </c>
      <c r="BL46" s="130">
        <v>6.5579999999999998</v>
      </c>
      <c r="BM46" s="130">
        <v>163.86510000000001</v>
      </c>
      <c r="BN46" s="130">
        <v>558.32950000000005</v>
      </c>
      <c r="BO46" s="130">
        <v>10.378</v>
      </c>
      <c r="BP46" s="130">
        <v>1.3373999999999999</v>
      </c>
      <c r="BQ46" s="130">
        <v>4.9576000000000002</v>
      </c>
      <c r="BR46" s="130">
        <v>16.945</v>
      </c>
      <c r="BS46" s="130">
        <v>24.403300000000002</v>
      </c>
      <c r="BT46" s="130">
        <v>54.076000000000001</v>
      </c>
      <c r="BX46" s="12">
        <f>[2]Sets!P27</f>
        <v>2.5064724919093848</v>
      </c>
      <c r="BY46" s="12">
        <f>[2]Sets!Y27</f>
        <v>2.5933656957928801</v>
      </c>
      <c r="BZ46" s="12">
        <f>[2]Sets!AH27</f>
        <v>1.8095469255663432</v>
      </c>
      <c r="CA46" s="12">
        <f t="shared" ref="CA46" si="98">AVERAGE(BX46:BY46)</f>
        <v>2.5499190938511322</v>
      </c>
      <c r="CB46">
        <f t="shared" ref="CB46" si="99">STDEV(BX46:BY46)</f>
        <v>6.1442773705044779E-2</v>
      </c>
      <c r="CC46">
        <v>3</v>
      </c>
      <c r="CD46">
        <v>3.18</v>
      </c>
      <c r="CE46" s="12">
        <f t="shared" ref="CE46" si="100">(CD46*CB46)/SQRT(CC46)</f>
        <v>0.11280732616400027</v>
      </c>
      <c r="CI46">
        <f>([2]Sets!AJ27+[2]Sets!AA27+[2]Sets!R27)/3</f>
        <v>5.1083333333333334</v>
      </c>
      <c r="DA46">
        <f>((DD46-[2]Sets!P27)+(DD46-[2]Sets!Y27)+(DD46-[2]Sets!AH27))/3</f>
        <v>-2.3031283710895356</v>
      </c>
    </row>
    <row r="49" spans="105:105">
      <c r="DA49" s="434">
        <f>AVERAGE(DA36:DA46)</f>
        <v>-1.0883590124241538</v>
      </c>
    </row>
  </sheetData>
  <mergeCells count="4">
    <mergeCell ref="D1:R1"/>
    <mergeCell ref="S1:AJ1"/>
    <mergeCell ref="AK1:BB1"/>
    <mergeCell ref="BC1:BT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77895-83BF-0B4D-A4B8-A7BFC5893583}">
  <dimension ref="A1:AY48"/>
  <sheetViews>
    <sheetView workbookViewId="0">
      <pane xSplit="3" ySplit="1" topLeftCell="D2" activePane="bottomRight" state="frozen"/>
      <selection pane="topRight" activeCell="D1" sqref="D1"/>
      <selection pane="bottomLeft" activeCell="A2" sqref="A2"/>
      <selection pane="bottomRight" activeCell="G3" sqref="G3:G35"/>
    </sheetView>
  </sheetViews>
  <sheetFormatPr defaultColWidth="10.6640625" defaultRowHeight="15.5"/>
  <cols>
    <col min="3" max="3" width="10.83203125" style="12"/>
    <col min="4" max="6" width="10.83203125" style="72"/>
    <col min="7" max="7" width="10.83203125" style="212"/>
    <col min="8" max="17" width="10.83203125" style="72"/>
    <col min="18" max="32" width="10.83203125" style="74"/>
  </cols>
  <sheetData>
    <row r="1" spans="1:48" ht="30" customHeight="1">
      <c r="B1" s="10" t="s">
        <v>1398</v>
      </c>
      <c r="D1" s="683" t="s">
        <v>253</v>
      </c>
      <c r="E1" s="683"/>
      <c r="F1" s="683"/>
      <c r="G1" s="683"/>
      <c r="H1" s="683"/>
      <c r="I1" s="683"/>
      <c r="J1" s="683"/>
      <c r="K1" s="683"/>
      <c r="L1" s="683"/>
      <c r="M1" s="683"/>
      <c r="N1" s="683"/>
      <c r="O1" s="683"/>
      <c r="P1" s="683"/>
      <c r="Q1" s="683"/>
      <c r="R1" s="684" t="s">
        <v>254</v>
      </c>
      <c r="S1" s="684"/>
      <c r="T1" s="684"/>
      <c r="U1" s="684"/>
      <c r="V1" s="684"/>
      <c r="W1" s="684"/>
      <c r="X1" s="684"/>
      <c r="Y1" s="684"/>
      <c r="Z1" s="684"/>
      <c r="AA1" s="684"/>
      <c r="AB1" s="684"/>
      <c r="AC1" s="684"/>
      <c r="AD1" s="684"/>
      <c r="AE1" s="684"/>
      <c r="AF1" s="684"/>
    </row>
    <row r="2" spans="1:48" ht="46.5">
      <c r="A2" s="69" t="s">
        <v>10</v>
      </c>
      <c r="B2" s="69" t="s">
        <v>0</v>
      </c>
      <c r="C2" s="13" t="s">
        <v>1</v>
      </c>
      <c r="D2" s="84" t="s">
        <v>2</v>
      </c>
      <c r="E2" s="84" t="s">
        <v>4</v>
      </c>
      <c r="F2" s="84" t="s">
        <v>3</v>
      </c>
      <c r="G2" s="209" t="s">
        <v>78</v>
      </c>
      <c r="H2" s="71" t="s">
        <v>907</v>
      </c>
      <c r="I2" s="84" t="s">
        <v>2</v>
      </c>
      <c r="J2" s="84" t="s">
        <v>4</v>
      </c>
      <c r="K2" s="84" t="s">
        <v>3</v>
      </c>
      <c r="L2" s="84" t="s">
        <v>2</v>
      </c>
      <c r="M2" s="84" t="s">
        <v>4</v>
      </c>
      <c r="N2" s="84" t="s">
        <v>3</v>
      </c>
      <c r="O2" s="84" t="s">
        <v>2</v>
      </c>
      <c r="P2" s="84" t="s">
        <v>4</v>
      </c>
      <c r="Q2" s="84" t="s">
        <v>3</v>
      </c>
      <c r="R2" s="85" t="s">
        <v>2</v>
      </c>
      <c r="S2" s="85" t="s">
        <v>4</v>
      </c>
      <c r="T2" s="85" t="s">
        <v>3</v>
      </c>
      <c r="U2" s="73" t="s">
        <v>78</v>
      </c>
      <c r="V2" s="73" t="s">
        <v>911</v>
      </c>
      <c r="W2" s="73" t="s">
        <v>924</v>
      </c>
      <c r="X2" s="85" t="s">
        <v>2</v>
      </c>
      <c r="Y2" s="85" t="s">
        <v>4</v>
      </c>
      <c r="Z2" s="85" t="s">
        <v>3</v>
      </c>
      <c r="AA2" s="85" t="s">
        <v>2</v>
      </c>
      <c r="AB2" s="85" t="s">
        <v>4</v>
      </c>
      <c r="AC2" s="85" t="s">
        <v>3</v>
      </c>
      <c r="AD2" s="85" t="s">
        <v>2</v>
      </c>
      <c r="AE2" s="85" t="s">
        <v>4</v>
      </c>
      <c r="AF2" s="85" t="s">
        <v>3</v>
      </c>
    </row>
    <row r="3" spans="1:48">
      <c r="A3" t="s">
        <v>250</v>
      </c>
      <c r="B3" s="14">
        <v>44503</v>
      </c>
      <c r="C3" s="12">
        <v>1.75</v>
      </c>
      <c r="D3" s="72">
        <v>4.3879999999999999</v>
      </c>
      <c r="E3" s="72">
        <v>11.6457</v>
      </c>
      <c r="F3" s="72">
        <v>42.879199999999997</v>
      </c>
      <c r="G3" s="209">
        <f>(E3+0.0848)/3.3937</f>
        <v>3.4565518460677134</v>
      </c>
      <c r="H3" s="71">
        <v>4.8174000000000001</v>
      </c>
      <c r="I3" s="72">
        <v>6.9080000000000004</v>
      </c>
      <c r="J3" s="72">
        <v>76.203599999999994</v>
      </c>
      <c r="K3" s="72">
        <v>351.56959999999998</v>
      </c>
      <c r="L3" s="72">
        <v>11.428000000000001</v>
      </c>
      <c r="M3" s="72">
        <v>28.398900000000001</v>
      </c>
      <c r="N3" s="72">
        <v>94.843999999999994</v>
      </c>
      <c r="O3" s="72">
        <v>18.757999999999999</v>
      </c>
      <c r="P3" s="72">
        <v>56.638399999999997</v>
      </c>
      <c r="Q3" s="72">
        <v>106.9</v>
      </c>
      <c r="R3" s="74">
        <v>4.3780000000000001</v>
      </c>
      <c r="S3" s="74">
        <v>2.2309000000000001</v>
      </c>
      <c r="T3" s="74">
        <v>9.2898999999999994</v>
      </c>
      <c r="U3" s="148">
        <f>((S3+0.0848)/3.3937)*5</f>
        <v>3.411762972566815</v>
      </c>
      <c r="V3" s="148">
        <v>1.2789999999999999</v>
      </c>
      <c r="W3" s="74">
        <f t="shared" ref="W3:W19" si="0">V3*5</f>
        <v>6.3949999999999996</v>
      </c>
      <c r="X3" s="74">
        <v>7.0010000000000003</v>
      </c>
      <c r="Y3" s="74">
        <v>249.61930000000001</v>
      </c>
      <c r="Z3" s="74">
        <v>737.63250000000005</v>
      </c>
      <c r="AA3" s="74">
        <v>11.407999999999999</v>
      </c>
      <c r="AB3" s="74">
        <v>27.4055</v>
      </c>
      <c r="AC3" s="74">
        <v>92.328900000000004</v>
      </c>
      <c r="AD3" s="74">
        <v>18.588000000000001</v>
      </c>
      <c r="AE3" s="74">
        <v>99.994500000000002</v>
      </c>
      <c r="AF3" s="74">
        <v>175.17789999999999</v>
      </c>
    </row>
    <row r="4" spans="1:48">
      <c r="A4" t="s">
        <v>250</v>
      </c>
      <c r="B4" s="14">
        <v>44504</v>
      </c>
      <c r="C4" s="12">
        <v>21.616666666666667</v>
      </c>
      <c r="D4" s="72">
        <v>4.4039999999999999</v>
      </c>
      <c r="E4" s="72">
        <v>16.302600000000002</v>
      </c>
      <c r="F4" s="72">
        <v>65.396799999999999</v>
      </c>
      <c r="G4" s="209">
        <f>(E4+0.0848)/3.3937</f>
        <v>4.828770957951499</v>
      </c>
      <c r="H4" s="71">
        <v>6.5674999999999999</v>
      </c>
      <c r="I4" s="72">
        <v>6.8440000000000003</v>
      </c>
      <c r="J4" s="72">
        <v>36.492899999999999</v>
      </c>
      <c r="K4" s="72">
        <v>193.05070000000001</v>
      </c>
      <c r="L4" s="72">
        <v>11.441000000000001</v>
      </c>
      <c r="M4" s="72">
        <v>19.326799999999999</v>
      </c>
      <c r="N4" s="72">
        <v>65.266900000000007</v>
      </c>
      <c r="O4" s="72">
        <v>18.998000000000001</v>
      </c>
      <c r="P4" s="72">
        <v>3.6758999999999999</v>
      </c>
      <c r="Q4" s="72">
        <v>7.0114999999999998</v>
      </c>
      <c r="R4" s="74">
        <v>4.3840000000000003</v>
      </c>
      <c r="S4" s="74">
        <v>2.7837000000000001</v>
      </c>
      <c r="T4" s="74">
        <v>11.4427</v>
      </c>
      <c r="U4" s="148">
        <f>((S4+0.0848)/3.3937)*5</f>
        <v>4.2262132775436836</v>
      </c>
      <c r="V4" s="148">
        <v>1.4867999999999999</v>
      </c>
      <c r="W4" s="74">
        <f t="shared" si="0"/>
        <v>7.4339999999999993</v>
      </c>
      <c r="X4" s="74">
        <v>7.0039999999999996</v>
      </c>
      <c r="Y4" s="74">
        <v>244.93610000000001</v>
      </c>
      <c r="Z4" s="74">
        <v>718.7867</v>
      </c>
      <c r="AA4" s="74">
        <v>11.417999999999999</v>
      </c>
      <c r="AB4" s="74">
        <v>23.6373</v>
      </c>
      <c r="AC4" s="74">
        <v>80.605699999999999</v>
      </c>
      <c r="AD4" s="74">
        <v>18.808</v>
      </c>
      <c r="AE4" s="74">
        <v>40.043799999999997</v>
      </c>
      <c r="AF4" s="74">
        <v>77.766300000000001</v>
      </c>
    </row>
    <row r="5" spans="1:48">
      <c r="A5" t="s">
        <v>317</v>
      </c>
      <c r="B5" s="14">
        <v>44505</v>
      </c>
      <c r="C5" s="12">
        <v>46.8</v>
      </c>
      <c r="D5" s="84">
        <v>4.3940000000000001</v>
      </c>
      <c r="E5" s="84">
        <v>11.961</v>
      </c>
      <c r="F5" s="84">
        <v>57.366399999999999</v>
      </c>
      <c r="G5" s="209">
        <f>(E5-0.0742)/3.3092</f>
        <v>3.5920464160522183</v>
      </c>
      <c r="H5" s="71">
        <v>4.9358000000000004</v>
      </c>
      <c r="I5" s="84">
        <v>6.7839999999999998</v>
      </c>
      <c r="J5" s="84">
        <v>34.3459</v>
      </c>
      <c r="K5" s="84">
        <v>177.43989999999999</v>
      </c>
      <c r="L5" s="84">
        <v>11.327999999999999</v>
      </c>
      <c r="M5" s="84">
        <v>26.924399999999999</v>
      </c>
      <c r="N5" s="84">
        <v>92.188400000000001</v>
      </c>
      <c r="O5" s="84">
        <v>18.850999999999999</v>
      </c>
      <c r="P5" s="84">
        <v>2.5375999999999999</v>
      </c>
      <c r="Q5" s="84">
        <v>4.8814000000000002</v>
      </c>
      <c r="R5" s="149">
        <v>4.3710000000000004</v>
      </c>
      <c r="S5" s="149">
        <v>2.1920000000000002</v>
      </c>
      <c r="T5" s="149">
        <v>9.3480000000000008</v>
      </c>
      <c r="U5" s="148">
        <f>((S5-0.0742)/3.3092)*5</f>
        <v>3.1998670373504172</v>
      </c>
      <c r="V5" s="148">
        <v>1.2644</v>
      </c>
      <c r="W5" s="74">
        <f t="shared" si="0"/>
        <v>6.3220000000000001</v>
      </c>
      <c r="X5" s="149">
        <v>6.9710000000000001</v>
      </c>
      <c r="Y5" s="149">
        <v>239.1311</v>
      </c>
      <c r="Z5" s="149">
        <v>701.03250000000003</v>
      </c>
      <c r="AA5" s="149">
        <v>11.321</v>
      </c>
      <c r="AB5" s="149">
        <v>26.099</v>
      </c>
      <c r="AC5" s="149">
        <v>90.790400000000005</v>
      </c>
      <c r="AD5" s="149">
        <v>18.678000000000001</v>
      </c>
      <c r="AE5" s="149">
        <v>33.671199999999999</v>
      </c>
      <c r="AF5" s="149">
        <v>66.719300000000004</v>
      </c>
    </row>
    <row r="6" spans="1:48">
      <c r="A6" t="s">
        <v>317</v>
      </c>
      <c r="B6" s="14">
        <v>44510</v>
      </c>
      <c r="C6" s="12">
        <v>166.5</v>
      </c>
      <c r="D6" s="84">
        <v>4.375</v>
      </c>
      <c r="E6" s="84">
        <v>12.293100000000001</v>
      </c>
      <c r="F6" s="84">
        <v>47.379199999999997</v>
      </c>
      <c r="G6" s="209">
        <f>(E6-0.0742)/3.3092</f>
        <v>3.6924029977033728</v>
      </c>
      <c r="H6" s="71">
        <v>5.0606999999999998</v>
      </c>
      <c r="I6" s="84">
        <v>6.8150000000000004</v>
      </c>
      <c r="J6" s="84">
        <v>35.097000000000001</v>
      </c>
      <c r="K6" s="84">
        <v>190.5008</v>
      </c>
      <c r="L6" s="84">
        <v>11.315</v>
      </c>
      <c r="M6" s="84">
        <v>29.786300000000001</v>
      </c>
      <c r="N6" s="84">
        <v>101.74290000000001</v>
      </c>
      <c r="O6" s="84">
        <v>18.838000000000001</v>
      </c>
      <c r="P6" s="84">
        <v>2.5516999999999999</v>
      </c>
      <c r="Q6" s="84">
        <v>4.9028999999999998</v>
      </c>
      <c r="R6" s="149">
        <v>4.3639999999999999</v>
      </c>
      <c r="S6" s="149">
        <v>2.1749000000000001</v>
      </c>
      <c r="T6" s="149">
        <v>9.1128999999999998</v>
      </c>
      <c r="U6" s="148">
        <f>((S6-0.0742)/3.3092)*5</f>
        <v>3.1740299770337241</v>
      </c>
      <c r="V6" s="148">
        <v>1.258</v>
      </c>
      <c r="W6" s="74">
        <f t="shared" si="0"/>
        <v>6.29</v>
      </c>
      <c r="X6" s="149">
        <v>6.9980000000000002</v>
      </c>
      <c r="Y6" s="149">
        <v>284.02850000000001</v>
      </c>
      <c r="Z6" s="149">
        <v>778.44169999999997</v>
      </c>
      <c r="AA6" s="149">
        <v>11.308</v>
      </c>
      <c r="AB6" s="149">
        <v>30.423200000000001</v>
      </c>
      <c r="AC6" s="149">
        <v>105.1163</v>
      </c>
      <c r="AD6" s="149">
        <v>18.603999999999999</v>
      </c>
      <c r="AE6" s="149">
        <v>49.536299999999997</v>
      </c>
      <c r="AF6" s="149">
        <v>95.998699999999999</v>
      </c>
    </row>
    <row r="7" spans="1:48">
      <c r="A7" t="s">
        <v>325</v>
      </c>
      <c r="B7" s="14">
        <v>44512</v>
      </c>
      <c r="C7" s="12">
        <v>214.66666666666666</v>
      </c>
      <c r="D7" s="72">
        <v>4.3650000000000002</v>
      </c>
      <c r="E7" s="72">
        <v>9.5945</v>
      </c>
      <c r="F7" s="72">
        <v>36.1815</v>
      </c>
      <c r="G7" s="210">
        <f>(E7+0.3104)/3.4039</f>
        <v>2.9098680924821525</v>
      </c>
      <c r="H7" s="17">
        <v>4.0465</v>
      </c>
      <c r="I7" s="72">
        <v>6.7350000000000003</v>
      </c>
      <c r="J7" s="72">
        <v>38.7057</v>
      </c>
      <c r="K7" s="72">
        <v>197.55690000000001</v>
      </c>
      <c r="L7" s="72">
        <v>11.098000000000001</v>
      </c>
      <c r="M7" s="72">
        <v>33.654200000000003</v>
      </c>
      <c r="N7" s="72">
        <v>112.1987</v>
      </c>
      <c r="O7" s="72">
        <v>18.398</v>
      </c>
      <c r="P7" s="72">
        <v>1.5763</v>
      </c>
      <c r="Q7" s="72">
        <v>2.9655</v>
      </c>
      <c r="R7" s="74">
        <v>4.3540000000000001</v>
      </c>
      <c r="S7" s="74">
        <v>1.2784</v>
      </c>
      <c r="T7" s="74">
        <v>4.7530000000000001</v>
      </c>
      <c r="U7" s="17">
        <f>((S7+0.3104)/3.4039)*5</f>
        <v>2.3337935897059254</v>
      </c>
      <c r="V7" s="17">
        <v>0.92100000000000004</v>
      </c>
      <c r="W7" s="74">
        <f t="shared" si="0"/>
        <v>4.6050000000000004</v>
      </c>
      <c r="X7" s="74">
        <v>6.8810000000000002</v>
      </c>
      <c r="Y7" s="74">
        <v>232.5925</v>
      </c>
      <c r="Z7" s="74">
        <v>688.39080000000001</v>
      </c>
      <c r="AA7" s="74">
        <v>11.093999999999999</v>
      </c>
      <c r="AB7" s="74">
        <v>31.773499999999999</v>
      </c>
      <c r="AC7" s="74">
        <v>107.5134</v>
      </c>
      <c r="AD7" s="74">
        <v>18.193999999999999</v>
      </c>
      <c r="AE7" s="74">
        <v>43.631399999999999</v>
      </c>
      <c r="AF7" s="74">
        <v>84.282700000000006</v>
      </c>
    </row>
    <row r="8" spans="1:48">
      <c r="A8" t="s">
        <v>325</v>
      </c>
      <c r="B8" s="14">
        <v>44515</v>
      </c>
      <c r="C8" s="12">
        <v>286.59999999999997</v>
      </c>
      <c r="D8" s="72">
        <v>4.3609999999999998</v>
      </c>
      <c r="E8" s="72">
        <v>9.6217000000000006</v>
      </c>
      <c r="F8" s="72">
        <v>35.747999999999998</v>
      </c>
      <c r="G8" s="210">
        <f>(E8+0.3104)/3.4039</f>
        <v>2.9178589265254562</v>
      </c>
      <c r="H8" s="17">
        <v>4.0567000000000002</v>
      </c>
      <c r="I8" s="72">
        <v>6.7309999999999999</v>
      </c>
      <c r="J8" s="72">
        <v>38.483800000000002</v>
      </c>
      <c r="K8" s="72">
        <v>196.8828</v>
      </c>
      <c r="L8" s="72">
        <v>11.090999999999999</v>
      </c>
      <c r="M8" s="72">
        <v>32.858400000000003</v>
      </c>
      <c r="N8" s="72">
        <v>109.87820000000001</v>
      </c>
      <c r="O8" s="72">
        <v>18.388000000000002</v>
      </c>
      <c r="P8" s="72">
        <v>1.4691000000000001</v>
      </c>
      <c r="Q8" s="72">
        <v>2.7719</v>
      </c>
      <c r="R8" s="74">
        <v>4.3639999999999999</v>
      </c>
      <c r="S8" s="74">
        <v>1.0705</v>
      </c>
      <c r="T8" s="74">
        <v>3.9723999999999999</v>
      </c>
      <c r="U8" s="17">
        <f>((S8+0.3104)/3.4039)*5</f>
        <v>2.0284085901465962</v>
      </c>
      <c r="V8" s="17">
        <v>0.84289999999999998</v>
      </c>
      <c r="W8" s="74">
        <f t="shared" si="0"/>
        <v>4.2145000000000001</v>
      </c>
      <c r="X8" s="74">
        <v>6.8710000000000004</v>
      </c>
      <c r="Y8" s="74">
        <v>223.85159999999999</v>
      </c>
      <c r="Z8" s="74">
        <v>672.29830000000004</v>
      </c>
      <c r="AA8" s="74">
        <v>11.087</v>
      </c>
      <c r="AB8" s="74">
        <v>32.710599999999999</v>
      </c>
      <c r="AC8" s="74">
        <v>110.8591</v>
      </c>
      <c r="AD8" s="74">
        <v>18.216999999999999</v>
      </c>
      <c r="AE8" s="74">
        <v>36.515799999999999</v>
      </c>
      <c r="AF8" s="74">
        <v>71.273600000000002</v>
      </c>
    </row>
    <row r="9" spans="1:48">
      <c r="A9" t="s">
        <v>335</v>
      </c>
      <c r="B9" s="14">
        <v>44517</v>
      </c>
      <c r="C9" s="12">
        <v>334.76666666666659</v>
      </c>
      <c r="D9" s="79">
        <v>4.375</v>
      </c>
      <c r="E9" s="79">
        <v>9.5254999999999992</v>
      </c>
      <c r="F9" s="79">
        <v>34.134099999999997</v>
      </c>
      <c r="G9" s="210">
        <f>(E9-0.0771)/3.304</f>
        <v>2.8596852300242133</v>
      </c>
      <c r="H9" s="17">
        <v>4.0205000000000002</v>
      </c>
      <c r="I9" s="79">
        <v>6.7480000000000002</v>
      </c>
      <c r="J9" s="79">
        <v>39.139899999999997</v>
      </c>
      <c r="K9" s="79">
        <v>199.50960000000001</v>
      </c>
      <c r="L9" s="79">
        <v>11.115</v>
      </c>
      <c r="M9" s="79">
        <v>33.883899999999997</v>
      </c>
      <c r="N9" s="79">
        <v>114.0226</v>
      </c>
      <c r="O9" s="150">
        <v>18.445</v>
      </c>
      <c r="P9" s="79">
        <v>1.5659000000000001</v>
      </c>
      <c r="Q9" s="79">
        <v>2.9746000000000001</v>
      </c>
      <c r="R9" s="79">
        <v>4.3650000000000002</v>
      </c>
      <c r="S9" s="79">
        <v>1.0159</v>
      </c>
      <c r="T9" s="79">
        <v>3.5182000000000002</v>
      </c>
      <c r="U9" s="17">
        <f>((S9-0.0771)/3.304)*5</f>
        <v>1.4207021791767558</v>
      </c>
      <c r="V9" s="17">
        <v>0.82240000000000002</v>
      </c>
      <c r="W9" s="74">
        <f t="shared" si="0"/>
        <v>4.1120000000000001</v>
      </c>
      <c r="X9" s="79">
        <v>6.8579999999999997</v>
      </c>
      <c r="Y9" s="79">
        <v>197.63730000000001</v>
      </c>
      <c r="Z9" s="79">
        <v>603.95090000000005</v>
      </c>
      <c r="AA9" s="79">
        <v>11.151</v>
      </c>
      <c r="AB9" s="79">
        <v>6.5609999999999999</v>
      </c>
      <c r="AC9" s="79">
        <v>22.426400000000001</v>
      </c>
      <c r="AD9" s="79">
        <v>18.254999999999999</v>
      </c>
      <c r="AE9" s="79">
        <v>38.029600000000002</v>
      </c>
      <c r="AF9" s="79">
        <v>74.527600000000007</v>
      </c>
    </row>
    <row r="10" spans="1:48">
      <c r="A10" t="s">
        <v>335</v>
      </c>
      <c r="B10" s="14">
        <v>44519</v>
      </c>
      <c r="C10" s="12">
        <v>380.89999999999992</v>
      </c>
      <c r="D10" s="79">
        <v>4.3710000000000004</v>
      </c>
      <c r="E10" s="79">
        <v>10.1419</v>
      </c>
      <c r="F10" s="79">
        <v>36.833199999999998</v>
      </c>
      <c r="G10" s="210">
        <f>(E10-0.0771)/3.304</f>
        <v>3.0462469733656174</v>
      </c>
      <c r="H10" s="17">
        <v>4.2522000000000002</v>
      </c>
      <c r="I10" s="79">
        <v>6.7149999999999999</v>
      </c>
      <c r="J10" s="79">
        <v>22.466999999999999</v>
      </c>
      <c r="K10" s="79">
        <v>120.2276</v>
      </c>
      <c r="L10" s="79">
        <v>11.125</v>
      </c>
      <c r="M10" s="79">
        <v>18.517199999999999</v>
      </c>
      <c r="N10" s="79">
        <v>62.817900000000002</v>
      </c>
      <c r="O10" s="79">
        <v>18.431000000000001</v>
      </c>
      <c r="P10" s="79">
        <v>1.4821</v>
      </c>
      <c r="Q10" s="79">
        <v>2.8163999999999998</v>
      </c>
      <c r="R10" s="79">
        <v>4.3609999999999998</v>
      </c>
      <c r="S10" s="79">
        <v>1.2354000000000001</v>
      </c>
      <c r="T10" s="79">
        <v>4.0964</v>
      </c>
      <c r="U10" s="17">
        <f t="shared" ref="U10:U11" si="1">((S10-0.0771)/3.304)*5</f>
        <v>1.7528753026634387</v>
      </c>
      <c r="V10" s="17">
        <v>0.90490000000000004</v>
      </c>
      <c r="W10" s="74">
        <f t="shared" si="0"/>
        <v>4.5244999999999997</v>
      </c>
      <c r="X10" s="79">
        <v>6.8049999999999997</v>
      </c>
      <c r="Y10" s="79">
        <v>151.6609</v>
      </c>
      <c r="Z10" s="79">
        <v>508.92739999999998</v>
      </c>
      <c r="AA10" s="79">
        <v>11.154999999999999</v>
      </c>
      <c r="AB10" s="79">
        <v>2.2126999999999999</v>
      </c>
      <c r="AC10" s="79">
        <v>7.3737000000000004</v>
      </c>
      <c r="AD10" s="79">
        <v>18.268000000000001</v>
      </c>
      <c r="AE10" s="79">
        <v>32.067999999999998</v>
      </c>
      <c r="AF10" s="79">
        <v>63.351500000000001</v>
      </c>
    </row>
    <row r="11" spans="1:48">
      <c r="A11" t="s">
        <v>335</v>
      </c>
      <c r="B11" s="14">
        <v>44522</v>
      </c>
      <c r="C11" s="12">
        <v>459.88333333333327</v>
      </c>
      <c r="D11" s="79">
        <v>4.3680000000000003</v>
      </c>
      <c r="E11" s="79">
        <v>10.4041</v>
      </c>
      <c r="F11" s="79">
        <v>38.263399999999997</v>
      </c>
      <c r="G11" s="210">
        <f>(E11-0.0771)/3.304</f>
        <v>3.1256053268765136</v>
      </c>
      <c r="H11" s="17">
        <v>4.3506999999999998</v>
      </c>
      <c r="I11" s="79">
        <v>6.6950000000000003</v>
      </c>
      <c r="J11" s="79">
        <v>13.237500000000001</v>
      </c>
      <c r="K11" s="79">
        <v>71.264799999999994</v>
      </c>
      <c r="L11" s="79">
        <v>11.135</v>
      </c>
      <c r="M11" s="79">
        <v>10.2628</v>
      </c>
      <c r="N11" s="79">
        <v>34.688699999999997</v>
      </c>
      <c r="O11" s="79">
        <v>18.417999999999999</v>
      </c>
      <c r="P11" s="79">
        <v>1.4635</v>
      </c>
      <c r="Q11" s="79">
        <v>2.7823000000000002</v>
      </c>
      <c r="R11" s="79">
        <v>4.3579999999999997</v>
      </c>
      <c r="S11" s="79">
        <v>1.0108999999999999</v>
      </c>
      <c r="T11" s="79">
        <v>3.6065999999999998</v>
      </c>
      <c r="U11" s="17">
        <f t="shared" si="1"/>
        <v>1.4131355932203391</v>
      </c>
      <c r="V11" s="17">
        <v>0.82050000000000001</v>
      </c>
      <c r="W11" s="74">
        <f t="shared" si="0"/>
        <v>4.1025</v>
      </c>
      <c r="X11" s="79">
        <v>6.8609999999999998</v>
      </c>
      <c r="Y11" s="79">
        <v>219.19229999999999</v>
      </c>
      <c r="Z11" s="79">
        <v>646.82410000000004</v>
      </c>
      <c r="AA11" s="79">
        <v>11.144</v>
      </c>
      <c r="AB11" s="79">
        <v>1.6092</v>
      </c>
      <c r="AC11" s="79">
        <v>5.3521999999999998</v>
      </c>
      <c r="AD11" s="79">
        <v>18.173999999999999</v>
      </c>
      <c r="AE11" s="79">
        <v>52.622599999999998</v>
      </c>
      <c r="AF11" s="79">
        <v>101.4448</v>
      </c>
    </row>
    <row r="12" spans="1:48">
      <c r="A12" t="s">
        <v>357</v>
      </c>
      <c r="B12" s="14">
        <v>44524</v>
      </c>
      <c r="C12" s="12">
        <v>507.81666666666661</v>
      </c>
      <c r="D12" s="72">
        <v>4.4109999999999996</v>
      </c>
      <c r="E12" s="72">
        <v>10.253399999999999</v>
      </c>
      <c r="F12" s="72">
        <v>23.2377</v>
      </c>
      <c r="G12" s="210">
        <f t="shared" ref="G12:G14" si="2">(E12+0.0454)/3.3186</f>
        <v>3.1033568372205145</v>
      </c>
      <c r="H12" s="17">
        <v>4.2941000000000003</v>
      </c>
      <c r="I12" s="72">
        <v>6.625</v>
      </c>
      <c r="J12" s="72">
        <v>12.4094</v>
      </c>
      <c r="K12" s="72">
        <v>67.336299999999994</v>
      </c>
      <c r="L12" s="72">
        <v>10.928000000000001</v>
      </c>
      <c r="M12" s="72">
        <v>9.7665000000000006</v>
      </c>
      <c r="N12" s="72">
        <v>34.3125</v>
      </c>
      <c r="O12" s="72">
        <v>18.018000000000001</v>
      </c>
      <c r="P12" s="72">
        <v>1.3109999999999999</v>
      </c>
      <c r="Q12" s="72">
        <v>2.5991</v>
      </c>
      <c r="R12" s="74">
        <v>4.3879999999999999</v>
      </c>
      <c r="S12" s="74">
        <v>1.3601000000000001</v>
      </c>
      <c r="T12" s="74">
        <v>2.6089000000000002</v>
      </c>
      <c r="U12" s="17">
        <f>((S12+0.0454)/3.3186)*5</f>
        <v>2.1176098354727904</v>
      </c>
      <c r="V12" s="17">
        <v>0.95169999999999999</v>
      </c>
      <c r="W12" s="74">
        <f t="shared" si="0"/>
        <v>4.7584999999999997</v>
      </c>
      <c r="X12" s="74">
        <v>6.7350000000000003</v>
      </c>
      <c r="Y12" s="74">
        <v>168.72130000000001</v>
      </c>
      <c r="Z12" s="74">
        <v>572.35770000000002</v>
      </c>
      <c r="AA12" s="74">
        <v>10.935</v>
      </c>
      <c r="AB12" s="74">
        <v>1.4857</v>
      </c>
      <c r="AC12" s="74">
        <v>5.1338999999999997</v>
      </c>
      <c r="AD12" s="74">
        <v>17.870999999999999</v>
      </c>
      <c r="AE12" s="74">
        <v>26.8642</v>
      </c>
      <c r="AF12" s="74">
        <v>55.766399999999997</v>
      </c>
    </row>
    <row r="13" spans="1:48">
      <c r="A13" t="s">
        <v>357</v>
      </c>
      <c r="B13" s="14">
        <v>44529</v>
      </c>
      <c r="C13" s="12">
        <v>625.1</v>
      </c>
      <c r="D13" s="72">
        <v>4.4009999999999998</v>
      </c>
      <c r="E13" s="72">
        <v>9.6683000000000003</v>
      </c>
      <c r="F13" s="72">
        <v>23.581099999999999</v>
      </c>
      <c r="G13" s="210">
        <f t="shared" si="2"/>
        <v>2.9270475501717597</v>
      </c>
      <c r="H13" s="17">
        <v>4.0742000000000003</v>
      </c>
      <c r="I13" s="72">
        <v>6.601</v>
      </c>
      <c r="J13" s="72">
        <v>7.1563999999999997</v>
      </c>
      <c r="K13" s="72">
        <v>37.455199999999998</v>
      </c>
      <c r="L13" s="72">
        <v>10.920999999999999</v>
      </c>
      <c r="M13" s="72">
        <v>5.8753000000000002</v>
      </c>
      <c r="N13" s="72">
        <v>20.259399999999999</v>
      </c>
      <c r="O13" s="72">
        <v>18.004999999999999</v>
      </c>
      <c r="P13" s="72">
        <v>1.1368</v>
      </c>
      <c r="Q13" s="72">
        <v>2.2490999999999999</v>
      </c>
      <c r="R13" s="74">
        <v>4.3780000000000001</v>
      </c>
      <c r="S13" s="74">
        <v>0.98729999999999996</v>
      </c>
      <c r="T13" s="74">
        <v>1.8046</v>
      </c>
      <c r="U13" s="17">
        <f t="shared" ref="U13:U14" si="3">((S13+0.0454)/3.3186)*5</f>
        <v>1.5559271982161151</v>
      </c>
      <c r="V13" s="17">
        <v>0.81159999999999999</v>
      </c>
      <c r="W13" s="74">
        <f t="shared" si="0"/>
        <v>4.0579999999999998</v>
      </c>
      <c r="X13" s="74">
        <v>6.7240000000000002</v>
      </c>
      <c r="Y13" s="74">
        <v>163.10589999999999</v>
      </c>
      <c r="Z13" s="74">
        <v>559.22699999999998</v>
      </c>
      <c r="AA13" s="74">
        <v>10.928000000000001</v>
      </c>
      <c r="AB13" s="74">
        <v>1.3751</v>
      </c>
      <c r="AC13" s="74">
        <v>4.7377000000000002</v>
      </c>
      <c r="AD13" s="74">
        <v>17.893999999999998</v>
      </c>
      <c r="AE13" s="74">
        <v>21.5809</v>
      </c>
      <c r="AF13" s="74">
        <v>44.899700000000003</v>
      </c>
      <c r="AP13" t="s">
        <v>260</v>
      </c>
      <c r="AQ13" s="32">
        <v>0.52777777777777779</v>
      </c>
      <c r="AR13" s="37">
        <v>44503</v>
      </c>
    </row>
    <row r="14" spans="1:48">
      <c r="A14" t="s">
        <v>357</v>
      </c>
      <c r="B14" s="14">
        <v>44533</v>
      </c>
      <c r="C14" s="12">
        <v>717.73333333333335</v>
      </c>
      <c r="D14" s="72">
        <v>4.3979999999999997</v>
      </c>
      <c r="E14" s="72">
        <v>10.2463</v>
      </c>
      <c r="F14" s="72">
        <v>26.367799999999999</v>
      </c>
      <c r="G14" s="210">
        <f t="shared" si="2"/>
        <v>3.1012173808232388</v>
      </c>
      <c r="H14" s="17">
        <v>4.2914000000000003</v>
      </c>
      <c r="I14" s="72" t="s">
        <v>420</v>
      </c>
      <c r="J14" s="72" t="s">
        <v>421</v>
      </c>
      <c r="K14" s="72" t="s">
        <v>422</v>
      </c>
      <c r="L14" s="72">
        <v>10.923999999999999</v>
      </c>
      <c r="M14" s="72">
        <v>5.5530999999999997</v>
      </c>
      <c r="N14" s="72">
        <v>19.046199999999999</v>
      </c>
      <c r="O14" s="72">
        <v>18.010999999999999</v>
      </c>
      <c r="P14" s="72">
        <v>1.278</v>
      </c>
      <c r="Q14" s="72">
        <v>2.5280999999999998</v>
      </c>
      <c r="R14" s="74">
        <v>4.3710000000000004</v>
      </c>
      <c r="S14" s="74">
        <v>1.3117000000000001</v>
      </c>
      <c r="T14" s="74">
        <v>2.8391000000000002</v>
      </c>
      <c r="U14" s="17">
        <f t="shared" si="3"/>
        <v>2.0446875188332432</v>
      </c>
      <c r="V14" s="17">
        <v>0.93359999999999999</v>
      </c>
      <c r="W14" s="74">
        <f t="shared" si="0"/>
        <v>4.6680000000000001</v>
      </c>
      <c r="X14" s="74">
        <v>6.7169999999999996</v>
      </c>
      <c r="Y14" s="74">
        <v>158.48140000000001</v>
      </c>
      <c r="Z14" s="74">
        <v>550.49850000000004</v>
      </c>
      <c r="AA14" s="74">
        <v>10.923999999999999</v>
      </c>
      <c r="AB14" s="74">
        <v>0.97009999999999996</v>
      </c>
      <c r="AC14" s="74">
        <v>3.3163</v>
      </c>
      <c r="AD14" s="74">
        <v>17.896999999999998</v>
      </c>
      <c r="AE14" s="74">
        <v>19.875699999999998</v>
      </c>
      <c r="AF14" s="74">
        <v>41.333599999999997</v>
      </c>
      <c r="AO14" t="s">
        <v>160</v>
      </c>
      <c r="AP14" t="s">
        <v>1</v>
      </c>
      <c r="AQ14" t="s">
        <v>140</v>
      </c>
      <c r="AR14" t="s">
        <v>191</v>
      </c>
      <c r="AS14" t="s">
        <v>192</v>
      </c>
      <c r="AT14" t="s">
        <v>194</v>
      </c>
      <c r="AU14" t="s">
        <v>196</v>
      </c>
      <c r="AV14" t="s">
        <v>197</v>
      </c>
    </row>
    <row r="15" spans="1:48">
      <c r="A15" t="s">
        <v>429</v>
      </c>
      <c r="B15" s="14">
        <v>44536</v>
      </c>
      <c r="C15" s="12">
        <v>790.18333333333328</v>
      </c>
      <c r="D15" s="72">
        <v>4.3940000000000001</v>
      </c>
      <c r="E15" s="72">
        <v>10.2333</v>
      </c>
      <c r="F15" s="72">
        <v>24.3538</v>
      </c>
      <c r="G15" s="210">
        <f>(E15+0.0666)/3.3637</f>
        <v>3.0620745012932185</v>
      </c>
      <c r="H15" s="17">
        <v>4.2865000000000002</v>
      </c>
      <c r="I15" s="72">
        <v>6.5410000000000004</v>
      </c>
      <c r="J15" s="72">
        <v>4.2666000000000004</v>
      </c>
      <c r="K15" s="72">
        <v>20.632300000000001</v>
      </c>
      <c r="L15" s="72">
        <v>10.811</v>
      </c>
      <c r="M15" s="72">
        <v>3.3148</v>
      </c>
      <c r="N15" s="72">
        <v>11.372400000000001</v>
      </c>
      <c r="O15" s="72">
        <v>17.611000000000001</v>
      </c>
      <c r="P15" s="72">
        <v>1.3287</v>
      </c>
      <c r="Q15" s="72">
        <v>2.6964000000000001</v>
      </c>
      <c r="R15" s="74">
        <v>4.3680000000000003</v>
      </c>
      <c r="S15" s="74">
        <v>1.1620999999999999</v>
      </c>
      <c r="T15" s="74">
        <v>2.1488</v>
      </c>
      <c r="U15" s="17">
        <f>((S15+0.0666)/3.3637)*5</f>
        <v>1.8264113922169036</v>
      </c>
      <c r="V15" s="17">
        <v>0.87729999999999997</v>
      </c>
      <c r="W15" s="74">
        <f t="shared" si="0"/>
        <v>4.3864999999999998</v>
      </c>
      <c r="X15" s="74">
        <v>6.6280000000000001</v>
      </c>
      <c r="Y15" s="74">
        <v>131.7842</v>
      </c>
      <c r="Z15" s="74">
        <v>491.07589999999999</v>
      </c>
      <c r="AA15" s="74">
        <v>10.811</v>
      </c>
      <c r="AB15" s="74">
        <v>0.70530000000000004</v>
      </c>
      <c r="AC15" s="74">
        <v>2.4459</v>
      </c>
      <c r="AD15" s="74">
        <v>17.524999999999999</v>
      </c>
      <c r="AE15" s="74">
        <v>14.8575</v>
      </c>
      <c r="AF15" s="74">
        <v>31.606100000000001</v>
      </c>
      <c r="AN15" t="s">
        <v>270</v>
      </c>
      <c r="AO15" s="37">
        <v>44503</v>
      </c>
      <c r="AP15" s="32">
        <v>0.10069444444444443</v>
      </c>
      <c r="AQ15">
        <v>1</v>
      </c>
      <c r="AR15">
        <f>25+20</f>
        <v>45</v>
      </c>
      <c r="AS15">
        <f>(AQ15*60)+AR15</f>
        <v>105</v>
      </c>
      <c r="AT15">
        <f>AS15/60</f>
        <v>1.75</v>
      </c>
      <c r="AU15">
        <f>(AT15-AV15)*60</f>
        <v>45</v>
      </c>
      <c r="AV15">
        <v>1</v>
      </c>
    </row>
    <row r="16" spans="1:48">
      <c r="A16" t="s">
        <v>429</v>
      </c>
      <c r="B16" s="14">
        <v>44538</v>
      </c>
      <c r="C16" s="12">
        <v>838.58333333333337</v>
      </c>
      <c r="D16" s="72">
        <v>4.3849999999999998</v>
      </c>
      <c r="E16" s="72">
        <v>10.427300000000001</v>
      </c>
      <c r="F16" s="72">
        <v>26.1722</v>
      </c>
      <c r="G16" s="210">
        <f>(E16+0.0666)/3.3637</f>
        <v>3.1197490858281056</v>
      </c>
      <c r="H16" s="17">
        <v>4.3593999999999999</v>
      </c>
      <c r="I16" s="72">
        <v>6.5380000000000003</v>
      </c>
      <c r="J16" s="72">
        <v>3.8778999999999999</v>
      </c>
      <c r="K16" s="72">
        <v>15.6378</v>
      </c>
      <c r="L16" s="72">
        <v>10.805</v>
      </c>
      <c r="M16" s="72">
        <v>2.7210999999999999</v>
      </c>
      <c r="N16" s="72">
        <v>9.2317</v>
      </c>
      <c r="O16" s="72">
        <v>17.605</v>
      </c>
      <c r="P16" s="72">
        <v>1.1704000000000001</v>
      </c>
      <c r="Q16" s="72">
        <v>2.3696999999999999</v>
      </c>
      <c r="R16" s="74">
        <v>4.3579999999999997</v>
      </c>
      <c r="S16" s="74">
        <v>1.4381999999999999</v>
      </c>
      <c r="T16" s="74">
        <v>3.3961999999999999</v>
      </c>
      <c r="U16" s="17">
        <f>((S16+0.0666)/3.3637)*5</f>
        <v>2.2368225466004694</v>
      </c>
      <c r="V16" s="17">
        <v>0.98109999999999997</v>
      </c>
      <c r="W16" s="74">
        <f t="shared" si="0"/>
        <v>4.9055</v>
      </c>
      <c r="X16" s="74">
        <v>6.6479999999999997</v>
      </c>
      <c r="Y16" s="74">
        <v>152.5745</v>
      </c>
      <c r="Z16" s="74">
        <v>541.97969999999998</v>
      </c>
      <c r="AA16" s="74">
        <v>10.805</v>
      </c>
      <c r="AB16" s="74">
        <v>0.61890000000000001</v>
      </c>
      <c r="AC16" s="74">
        <v>2.1061000000000001</v>
      </c>
      <c r="AD16" s="74">
        <v>17.454999999999998</v>
      </c>
      <c r="AE16" s="74">
        <v>29.929099999999998</v>
      </c>
      <c r="AF16" s="74">
        <v>63.4953</v>
      </c>
      <c r="AN16" t="s">
        <v>267</v>
      </c>
      <c r="AO16" s="37">
        <v>44504</v>
      </c>
      <c r="AP16" s="32">
        <v>0.4284722222222222</v>
      </c>
      <c r="AQ16">
        <f>AT15+(24*1)-4</f>
        <v>21.75</v>
      </c>
      <c r="AR16">
        <v>-8</v>
      </c>
      <c r="AS16">
        <f t="shared" ref="AS16:AS17" si="4">(AQ16*60)+AR16</f>
        <v>1297</v>
      </c>
      <c r="AT16">
        <f t="shared" ref="AT16:AT18" si="5">AS16/60</f>
        <v>21.616666666666667</v>
      </c>
      <c r="AU16">
        <f t="shared" ref="AU16:AU18" si="6">(AT16-AV16)*60</f>
        <v>37.000000000000028</v>
      </c>
      <c r="AV16">
        <v>21</v>
      </c>
    </row>
    <row r="17" spans="1:51">
      <c r="A17" t="s">
        <v>458</v>
      </c>
      <c r="B17" s="14">
        <v>44543</v>
      </c>
      <c r="C17" s="12">
        <v>958.73333333333335</v>
      </c>
      <c r="D17" s="72">
        <v>4.4379999999999997</v>
      </c>
      <c r="E17" s="72">
        <v>11.116899999999999</v>
      </c>
      <c r="F17" s="72">
        <v>25.8508</v>
      </c>
      <c r="G17" s="211">
        <f>(E17+0.0143)/3.4405</f>
        <v>3.2353437000435981</v>
      </c>
      <c r="H17" s="53">
        <v>4.6185999999999998</v>
      </c>
      <c r="I17" s="72" t="s">
        <v>476</v>
      </c>
      <c r="J17" s="72" t="s">
        <v>483</v>
      </c>
      <c r="K17" s="72" t="s">
        <v>484</v>
      </c>
      <c r="L17" s="72">
        <v>10.933999999999999</v>
      </c>
      <c r="M17" s="72">
        <v>2.6644999999999999</v>
      </c>
      <c r="N17" s="72">
        <v>9.0062999999999995</v>
      </c>
      <c r="O17" s="72">
        <v>18.221</v>
      </c>
      <c r="P17" s="72">
        <v>1.2688999999999999</v>
      </c>
      <c r="Q17" s="72">
        <v>2.5009000000000001</v>
      </c>
      <c r="R17" s="74">
        <v>4.4009999999999998</v>
      </c>
      <c r="S17" s="74">
        <v>1.2401</v>
      </c>
      <c r="T17" s="74">
        <v>2.3250999999999999</v>
      </c>
      <c r="U17" s="52">
        <f>((S17+0.0143)/3.4405)*5</f>
        <v>1.8229908443540181</v>
      </c>
      <c r="V17" s="52">
        <v>0.90669999999999995</v>
      </c>
      <c r="W17" s="74">
        <f t="shared" si="0"/>
        <v>4.5335000000000001</v>
      </c>
      <c r="X17" s="74">
        <v>6.7039999999999997</v>
      </c>
      <c r="Y17" s="74">
        <v>144.7132</v>
      </c>
      <c r="Z17" s="74">
        <v>509.5188</v>
      </c>
      <c r="AA17" s="74">
        <v>10.923999999999999</v>
      </c>
      <c r="AB17" s="74">
        <v>0.94040000000000001</v>
      </c>
      <c r="AC17" s="74">
        <v>3.2532999999999999</v>
      </c>
      <c r="AD17" s="74">
        <v>18.114000000000001</v>
      </c>
      <c r="AE17" s="74">
        <v>17.2591</v>
      </c>
      <c r="AF17" s="74">
        <v>35.813600000000001</v>
      </c>
      <c r="AN17" t="s">
        <v>266</v>
      </c>
      <c r="AO17" s="37">
        <v>44505</v>
      </c>
      <c r="AP17" s="32">
        <v>0.4777777777777778</v>
      </c>
      <c r="AQ17">
        <f>AT16+24+1</f>
        <v>46.616666666666667</v>
      </c>
      <c r="AR17">
        <f>28-17</f>
        <v>11</v>
      </c>
      <c r="AS17">
        <f t="shared" si="4"/>
        <v>2808</v>
      </c>
      <c r="AT17">
        <f t="shared" si="5"/>
        <v>46.8</v>
      </c>
      <c r="AU17">
        <f t="shared" si="6"/>
        <v>47.999999999999829</v>
      </c>
      <c r="AV17">
        <v>46</v>
      </c>
    </row>
    <row r="18" spans="1:51">
      <c r="A18" t="s">
        <v>458</v>
      </c>
      <c r="B18" s="14">
        <v>44546</v>
      </c>
      <c r="C18" s="12">
        <v>1029.5999999999999</v>
      </c>
      <c r="D18" s="72">
        <v>4.431</v>
      </c>
      <c r="E18" s="72">
        <v>12.152699999999999</v>
      </c>
      <c r="F18" s="72">
        <v>29.2087</v>
      </c>
      <c r="G18" s="211">
        <f>(E18+0.0143)/3.4405</f>
        <v>3.5364045923557619</v>
      </c>
      <c r="H18" s="53">
        <v>5.0079000000000002</v>
      </c>
      <c r="I18" s="72" t="s">
        <v>485</v>
      </c>
      <c r="J18" s="72" t="s">
        <v>486</v>
      </c>
      <c r="K18" s="72" t="s">
        <v>487</v>
      </c>
      <c r="L18" s="72">
        <v>10.928000000000001</v>
      </c>
      <c r="M18" s="72">
        <v>1.9750000000000001</v>
      </c>
      <c r="N18" s="72">
        <v>6.6363000000000003</v>
      </c>
      <c r="O18" s="72">
        <v>18.210999999999999</v>
      </c>
      <c r="P18" s="72">
        <v>1.4161999999999999</v>
      </c>
      <c r="Q18" s="72">
        <v>2.7867000000000002</v>
      </c>
      <c r="R18" s="74">
        <v>4.4009999999999998</v>
      </c>
      <c r="S18" s="74">
        <v>1.1919999999999999</v>
      </c>
      <c r="T18" s="74">
        <v>2.2993000000000001</v>
      </c>
      <c r="U18" s="52">
        <f>((S18+0.0143)/3.4405)*5</f>
        <v>1.7530882139223949</v>
      </c>
      <c r="V18" s="52">
        <v>0.88859999999999995</v>
      </c>
      <c r="W18" s="74">
        <f t="shared" si="0"/>
        <v>4.4429999999999996</v>
      </c>
      <c r="X18" s="74">
        <v>6.6740000000000004</v>
      </c>
      <c r="Y18" s="74">
        <v>124.3484</v>
      </c>
      <c r="Z18" s="74">
        <v>469.54579999999999</v>
      </c>
      <c r="AA18" s="74">
        <v>10.928000000000001</v>
      </c>
      <c r="AB18" s="74">
        <v>1.1746000000000001</v>
      </c>
      <c r="AC18" s="74">
        <v>4.0655999999999999</v>
      </c>
      <c r="AD18" s="74">
        <v>18.134</v>
      </c>
      <c r="AE18" s="74">
        <v>14.5648</v>
      </c>
      <c r="AF18" s="74">
        <v>30.153099999999998</v>
      </c>
      <c r="AN18" t="s">
        <v>265</v>
      </c>
      <c r="AO18" s="37">
        <v>44510</v>
      </c>
      <c r="AP18" s="32">
        <v>0.46527777777777773</v>
      </c>
      <c r="AQ18">
        <f>AT17+(24*5)</f>
        <v>166.8</v>
      </c>
      <c r="AR18">
        <v>-18</v>
      </c>
      <c r="AS18">
        <f t="shared" ref="AS18" si="7">(AQ18*60)+AR18</f>
        <v>9990</v>
      </c>
      <c r="AT18">
        <f t="shared" si="5"/>
        <v>166.5</v>
      </c>
      <c r="AU18">
        <f t="shared" si="6"/>
        <v>30</v>
      </c>
      <c r="AV18">
        <v>166</v>
      </c>
    </row>
    <row r="19" spans="1:51">
      <c r="A19" t="s">
        <v>602</v>
      </c>
      <c r="B19" s="206">
        <v>44580</v>
      </c>
      <c r="C19" s="12">
        <v>1080.9166666666665</v>
      </c>
      <c r="D19" s="72">
        <v>4.4039999999999999</v>
      </c>
      <c r="E19" s="72">
        <v>10.213100000000001</v>
      </c>
      <c r="F19" s="72">
        <v>25.405799999999999</v>
      </c>
      <c r="G19" s="212">
        <f>(E19+0.105)/3.3338</f>
        <v>3.0949967004619356</v>
      </c>
      <c r="H19" s="132">
        <v>4.2789000000000001</v>
      </c>
      <c r="I19" s="72">
        <v>6.5439999999999996</v>
      </c>
      <c r="J19" s="72">
        <v>3.6263999999999998</v>
      </c>
      <c r="K19" s="72">
        <v>17.396699999999999</v>
      </c>
      <c r="L19" s="72">
        <v>10.694000000000001</v>
      </c>
      <c r="M19" s="72">
        <v>2.7139000000000002</v>
      </c>
      <c r="N19" s="72">
        <v>9.4453999999999994</v>
      </c>
      <c r="O19" s="72">
        <v>17.791</v>
      </c>
      <c r="P19" s="72">
        <v>1.7970999999999999</v>
      </c>
      <c r="Q19" s="72">
        <v>3.6320999999999999</v>
      </c>
      <c r="R19" s="74">
        <v>4.3810000000000002</v>
      </c>
      <c r="S19" s="74">
        <v>1.1803999999999999</v>
      </c>
      <c r="T19" s="74">
        <v>2.3975</v>
      </c>
      <c r="U19" s="52">
        <f>((S19+0.105)/3.3338)*5</f>
        <v>1.9278301037854697</v>
      </c>
      <c r="V19" s="52" t="s">
        <v>942</v>
      </c>
      <c r="W19" s="74" t="e">
        <f t="shared" si="0"/>
        <v>#VALUE!</v>
      </c>
      <c r="X19" s="74">
        <v>6.617</v>
      </c>
      <c r="Y19" s="74">
        <v>126.7154</v>
      </c>
      <c r="Z19" s="74">
        <v>467.21019999999999</v>
      </c>
      <c r="AA19" s="74">
        <v>10.686999999999999</v>
      </c>
      <c r="AB19" s="74">
        <v>0.59050000000000002</v>
      </c>
      <c r="AC19" s="74">
        <v>2.0815000000000001</v>
      </c>
      <c r="AD19" s="74">
        <v>17.701000000000001</v>
      </c>
      <c r="AE19" s="74">
        <v>14.866300000000001</v>
      </c>
      <c r="AF19" s="74">
        <v>31.536899999999999</v>
      </c>
      <c r="AN19" t="s">
        <v>291</v>
      </c>
      <c r="AO19" s="37">
        <v>44512</v>
      </c>
      <c r="AP19" s="32">
        <v>0.47222222222222227</v>
      </c>
      <c r="AQ19">
        <f>AT18+(24*2)</f>
        <v>214.5</v>
      </c>
      <c r="AR19">
        <v>10</v>
      </c>
      <c r="AS19">
        <f t="shared" ref="AS19:AS34" si="8">(AQ19*60)+AR19</f>
        <v>12880</v>
      </c>
      <c r="AT19">
        <f t="shared" ref="AT19:AT34" si="9">AS19/60</f>
        <v>214.66666666666666</v>
      </c>
      <c r="AU19">
        <f t="shared" ref="AU19:AU34" si="10">(AT19-AV19)*60</f>
        <v>39.999999999999432</v>
      </c>
      <c r="AV19">
        <v>214</v>
      </c>
    </row>
    <row r="20" spans="1:51">
      <c r="A20" t="s">
        <v>905</v>
      </c>
      <c r="B20" s="14">
        <v>44582</v>
      </c>
      <c r="C20" s="12">
        <v>1129.2166666666665</v>
      </c>
      <c r="D20" s="72">
        <v>4.4080000000000004</v>
      </c>
      <c r="E20" s="72">
        <v>9.98</v>
      </c>
      <c r="F20" s="72">
        <v>21.639199999999999</v>
      </c>
      <c r="G20" s="212">
        <f>(E20-0.2666)/3.1593</f>
        <v>3.0745418288861455</v>
      </c>
      <c r="H20" s="72">
        <v>4.1913</v>
      </c>
      <c r="I20" s="72" t="s">
        <v>908</v>
      </c>
      <c r="J20" s="72" t="s">
        <v>909</v>
      </c>
      <c r="K20" s="72" t="s">
        <v>910</v>
      </c>
      <c r="L20" s="72">
        <v>10.555</v>
      </c>
      <c r="M20" s="72">
        <v>2.3639000000000001</v>
      </c>
      <c r="N20" s="72">
        <v>8.2241999999999997</v>
      </c>
      <c r="O20" s="72">
        <v>17.414999999999999</v>
      </c>
      <c r="P20" s="72">
        <v>1.0321</v>
      </c>
      <c r="Q20" s="72">
        <v>2.1215000000000002</v>
      </c>
      <c r="R20" s="74">
        <v>4.3840000000000003</v>
      </c>
      <c r="S20" s="74">
        <v>1.2770999999999999</v>
      </c>
      <c r="T20" s="74">
        <v>2.2033</v>
      </c>
      <c r="U20" s="52">
        <f>5*((S20-0.2666)/3.1593)</f>
        <v>1.5992466685658215</v>
      </c>
      <c r="V20" s="74">
        <v>0.92049999999999998</v>
      </c>
      <c r="W20" s="74">
        <f t="shared" ref="W20:W35" si="11">V20*5</f>
        <v>4.6025</v>
      </c>
      <c r="X20" s="74">
        <v>6.5609999999999999</v>
      </c>
      <c r="Y20" s="74">
        <v>142.0744</v>
      </c>
      <c r="Z20" s="74">
        <v>510.68740000000003</v>
      </c>
      <c r="AA20" s="74">
        <v>10.544</v>
      </c>
      <c r="AB20" s="74">
        <v>0.54500000000000004</v>
      </c>
      <c r="AC20" s="74">
        <v>1.9361999999999999</v>
      </c>
      <c r="AD20" s="74">
        <v>17.288</v>
      </c>
      <c r="AE20" s="74">
        <v>22.657900000000001</v>
      </c>
      <c r="AF20" s="74">
        <v>49.141500000000001</v>
      </c>
      <c r="AN20" t="s">
        <v>292</v>
      </c>
      <c r="AO20" s="37">
        <v>44515</v>
      </c>
      <c r="AP20" s="32">
        <v>0.4694444444444445</v>
      </c>
      <c r="AQ20">
        <f>AT19+(24*3)</f>
        <v>286.66666666666663</v>
      </c>
      <c r="AR20">
        <v>-4</v>
      </c>
      <c r="AS20">
        <f t="shared" si="8"/>
        <v>17195.999999999996</v>
      </c>
      <c r="AT20">
        <f t="shared" si="9"/>
        <v>286.59999999999997</v>
      </c>
      <c r="AU20">
        <f t="shared" si="10"/>
        <v>35.999999999997954</v>
      </c>
      <c r="AV20">
        <v>286</v>
      </c>
    </row>
    <row r="21" spans="1:51">
      <c r="A21" t="s">
        <v>905</v>
      </c>
      <c r="B21" s="14">
        <v>44585</v>
      </c>
      <c r="C21" s="12">
        <v>1197.6666666666665</v>
      </c>
      <c r="D21" s="72">
        <v>4.4009999999999998</v>
      </c>
      <c r="E21" s="72">
        <v>10.034000000000001</v>
      </c>
      <c r="F21" s="72">
        <v>22.901599999999998</v>
      </c>
      <c r="G21" s="212">
        <f t="shared" ref="G21:G22" si="12">(E21-0.2666)/3.1593</f>
        <v>3.0916342227708671</v>
      </c>
      <c r="H21" s="72">
        <v>4.2115999999999998</v>
      </c>
      <c r="I21" s="72" t="s">
        <v>915</v>
      </c>
      <c r="J21" s="72" t="s">
        <v>916</v>
      </c>
      <c r="K21" s="72" t="s">
        <v>917</v>
      </c>
      <c r="L21" s="72">
        <v>10.544</v>
      </c>
      <c r="M21" s="72">
        <v>1.8322000000000001</v>
      </c>
      <c r="N21" s="72">
        <v>6.3376000000000001</v>
      </c>
      <c r="O21" s="72">
        <v>17.401</v>
      </c>
      <c r="P21" s="72">
        <v>1.1004</v>
      </c>
      <c r="Q21" s="72">
        <v>2.2578</v>
      </c>
      <c r="R21" s="74">
        <v>4.3780000000000001</v>
      </c>
      <c r="S21" s="74">
        <v>1.2278</v>
      </c>
      <c r="T21" s="74">
        <v>2.2136999999999998</v>
      </c>
      <c r="U21" s="52">
        <f t="shared" ref="U21" si="13">5*((S21-0.2666)/3.1593)</f>
        <v>1.5212230557401956</v>
      </c>
      <c r="V21" s="74">
        <v>0.90200000000000002</v>
      </c>
      <c r="W21" s="74">
        <f t="shared" si="11"/>
        <v>4.51</v>
      </c>
      <c r="X21" s="74">
        <v>6.5279999999999996</v>
      </c>
      <c r="Y21" s="74">
        <v>121.2903</v>
      </c>
      <c r="Z21" s="74">
        <v>472.49459999999999</v>
      </c>
      <c r="AA21" s="74">
        <v>10.541</v>
      </c>
      <c r="AB21" s="74">
        <v>0.5181</v>
      </c>
      <c r="AC21" s="74">
        <v>1.847</v>
      </c>
      <c r="AD21" s="74">
        <v>17.321000000000002</v>
      </c>
      <c r="AE21" s="74">
        <v>13.725300000000001</v>
      </c>
      <c r="AF21" s="74">
        <v>29.729600000000001</v>
      </c>
      <c r="AG21" t="s">
        <v>918</v>
      </c>
      <c r="AN21" t="s">
        <v>315</v>
      </c>
      <c r="AO21" s="37">
        <v>44517</v>
      </c>
      <c r="AP21" s="32">
        <v>0.47638888888888892</v>
      </c>
      <c r="AQ21">
        <f>AT20+(24*2)</f>
        <v>334.59999999999997</v>
      </c>
      <c r="AR21">
        <v>10</v>
      </c>
      <c r="AS21">
        <f t="shared" si="8"/>
        <v>20085.999999999996</v>
      </c>
      <c r="AT21">
        <f t="shared" si="9"/>
        <v>334.76666666666659</v>
      </c>
      <c r="AU21">
        <f t="shared" si="10"/>
        <v>45.99999999999568</v>
      </c>
      <c r="AV21">
        <v>334</v>
      </c>
    </row>
    <row r="22" spans="1:51">
      <c r="A22" t="s">
        <v>919</v>
      </c>
      <c r="B22" s="14">
        <v>44587</v>
      </c>
      <c r="C22" s="12">
        <v>1246.0333333333331</v>
      </c>
      <c r="D22" s="72">
        <v>4.3959999999999999</v>
      </c>
      <c r="E22" s="72">
        <v>10.348599999999999</v>
      </c>
      <c r="F22" s="72">
        <v>24.728000000000002</v>
      </c>
      <c r="G22" s="212">
        <f t="shared" si="12"/>
        <v>3.1912132434400022</v>
      </c>
      <c r="H22" s="72">
        <v>4.3299000000000003</v>
      </c>
      <c r="I22" s="72">
        <v>6.4729999999999999</v>
      </c>
      <c r="J22" s="72">
        <v>2.3641999999999999</v>
      </c>
      <c r="K22" s="72">
        <v>9.0305999999999997</v>
      </c>
      <c r="L22" s="72">
        <v>10.542999999999999</v>
      </c>
      <c r="M22" s="72">
        <v>1.8187</v>
      </c>
      <c r="N22" s="72">
        <v>6.2961</v>
      </c>
      <c r="O22" s="72">
        <v>17.396000000000001</v>
      </c>
      <c r="P22" s="72">
        <v>1.0821000000000001</v>
      </c>
      <c r="Q22" s="72">
        <v>2.23</v>
      </c>
      <c r="R22" s="74">
        <v>4.4080000000000004</v>
      </c>
      <c r="S22" s="74">
        <v>1.2866</v>
      </c>
      <c r="T22" s="74">
        <v>1.8861000000000001</v>
      </c>
      <c r="U22" s="212">
        <f>((S22-0.2666)/3.15)*5</f>
        <v>1.6190476190476191</v>
      </c>
      <c r="V22" s="74">
        <v>0.92410000000000003</v>
      </c>
      <c r="W22" s="74">
        <f t="shared" si="11"/>
        <v>4.6204999999999998</v>
      </c>
      <c r="X22" s="74">
        <v>6.5780000000000003</v>
      </c>
      <c r="Y22" s="74">
        <v>144.92359999999999</v>
      </c>
      <c r="Z22" s="74">
        <v>505.36130000000003</v>
      </c>
      <c r="AA22" s="74">
        <v>10.521000000000001</v>
      </c>
      <c r="AB22" s="74">
        <v>1.0210999999999999</v>
      </c>
      <c r="AC22" s="74">
        <v>3.6613000000000002</v>
      </c>
      <c r="AD22" s="74">
        <v>17.225000000000001</v>
      </c>
      <c r="AE22" s="74">
        <v>26.3155</v>
      </c>
      <c r="AF22" s="74">
        <v>57.076900000000002</v>
      </c>
      <c r="AN22" t="s">
        <v>322</v>
      </c>
      <c r="AO22" s="37">
        <v>44519</v>
      </c>
      <c r="AP22" s="32">
        <v>0.39861111111111108</v>
      </c>
      <c r="AQ22">
        <f>AT21+(24*2)-2</f>
        <v>380.76666666666659</v>
      </c>
      <c r="AR22">
        <v>8</v>
      </c>
      <c r="AS22">
        <f t="shared" si="8"/>
        <v>22853.999999999996</v>
      </c>
      <c r="AT22">
        <f t="shared" si="9"/>
        <v>380.89999999999992</v>
      </c>
      <c r="AU22">
        <f t="shared" si="10"/>
        <v>53.999999999995225</v>
      </c>
      <c r="AV22">
        <v>380</v>
      </c>
    </row>
    <row r="23" spans="1:51">
      <c r="A23" t="s">
        <v>947</v>
      </c>
      <c r="B23" s="14">
        <v>44589</v>
      </c>
      <c r="C23" s="12">
        <v>1295.8499999999997</v>
      </c>
      <c r="D23" s="72">
        <v>4.4180000000000001</v>
      </c>
      <c r="E23" s="72">
        <v>10.6181</v>
      </c>
      <c r="F23" s="72">
        <v>21.440899999999999</v>
      </c>
      <c r="G23" s="212">
        <f>(E23-0.2666)/3.15</f>
        <v>3.2861904761904763</v>
      </c>
      <c r="H23" s="72">
        <v>4.4310999999999998</v>
      </c>
      <c r="I23" s="72" t="s">
        <v>948</v>
      </c>
      <c r="J23" s="72" t="s">
        <v>949</v>
      </c>
      <c r="K23" s="72" t="s">
        <v>950</v>
      </c>
      <c r="L23" s="72">
        <v>10.525</v>
      </c>
      <c r="M23" s="72">
        <v>2.0289999999999999</v>
      </c>
      <c r="N23" s="72">
        <v>7.0552999999999999</v>
      </c>
      <c r="O23" s="72">
        <v>17.358000000000001</v>
      </c>
      <c r="P23" s="72">
        <v>1.1698</v>
      </c>
      <c r="Q23" s="72">
        <v>2.4150999999999998</v>
      </c>
      <c r="R23" s="74">
        <v>4.4009999999999998</v>
      </c>
      <c r="S23" s="74">
        <v>1.343</v>
      </c>
      <c r="T23" s="74">
        <v>2.0910000000000002</v>
      </c>
      <c r="U23" s="212">
        <f t="shared" ref="U23:U24" si="14">((S23-0.2666)/3.15)*5</f>
        <v>1.7085714285714286</v>
      </c>
      <c r="V23" s="74">
        <v>0.94530000000000003</v>
      </c>
      <c r="W23" s="74">
        <f t="shared" si="11"/>
        <v>4.7264999999999997</v>
      </c>
      <c r="X23" s="74">
        <v>6.5750000000000002</v>
      </c>
      <c r="Y23" s="74">
        <v>146.7278</v>
      </c>
      <c r="Z23" s="74">
        <v>513.33960000000002</v>
      </c>
      <c r="AA23" s="74">
        <v>10.521000000000001</v>
      </c>
      <c r="AB23" s="74">
        <v>1.9625999999999999</v>
      </c>
      <c r="AC23" s="74">
        <v>7.1083999999999996</v>
      </c>
      <c r="AD23" s="74">
        <v>17.231000000000002</v>
      </c>
      <c r="AE23" s="74">
        <v>25.382999999999999</v>
      </c>
      <c r="AF23" s="74">
        <v>55.0961</v>
      </c>
      <c r="AN23" t="s">
        <v>323</v>
      </c>
      <c r="AO23" s="37">
        <v>44522</v>
      </c>
      <c r="AP23" s="32">
        <v>0.18958333333333333</v>
      </c>
      <c r="AQ23">
        <f>AT22+(24*3)+7</f>
        <v>459.89999999999992</v>
      </c>
      <c r="AR23">
        <v>-1</v>
      </c>
      <c r="AS23">
        <f t="shared" si="8"/>
        <v>27592.999999999996</v>
      </c>
      <c r="AT23">
        <f t="shared" si="9"/>
        <v>459.88333333333327</v>
      </c>
      <c r="AU23">
        <f t="shared" si="10"/>
        <v>52.999999999996135</v>
      </c>
      <c r="AV23">
        <v>459</v>
      </c>
    </row>
    <row r="24" spans="1:51">
      <c r="A24" t="s">
        <v>947</v>
      </c>
      <c r="B24" s="14">
        <v>44594</v>
      </c>
      <c r="C24" s="12">
        <v>1413.5999999999997</v>
      </c>
      <c r="D24" s="72">
        <v>4.4109999999999996</v>
      </c>
      <c r="E24" s="72">
        <v>10.2438</v>
      </c>
      <c r="F24" s="72">
        <v>23.023800000000001</v>
      </c>
      <c r="G24" s="212">
        <f>(E24-0.2666)/3.15</f>
        <v>3.1673650793650796</v>
      </c>
      <c r="H24" s="72">
        <v>4.2904999999999998</v>
      </c>
      <c r="I24" s="72" t="s">
        <v>974</v>
      </c>
      <c r="J24" s="72" t="s">
        <v>975</v>
      </c>
      <c r="K24" s="72" t="s">
        <v>976</v>
      </c>
      <c r="L24" s="72">
        <v>10.518000000000001</v>
      </c>
      <c r="M24" s="72">
        <v>3.1053000000000002</v>
      </c>
      <c r="N24" s="72">
        <v>8.3697999999999997</v>
      </c>
      <c r="O24" s="72">
        <v>17.358000000000001</v>
      </c>
      <c r="P24" s="72">
        <v>1.2362</v>
      </c>
      <c r="Q24" s="72">
        <v>2.5556999999999999</v>
      </c>
      <c r="R24" s="74">
        <v>4.3780000000000001</v>
      </c>
      <c r="S24" s="74">
        <v>1.2433000000000001</v>
      </c>
      <c r="T24" s="74">
        <v>2.1474000000000002</v>
      </c>
      <c r="U24" s="212">
        <f t="shared" si="14"/>
        <v>1.5503174603174605</v>
      </c>
      <c r="V24" s="74">
        <v>0.90780000000000005</v>
      </c>
      <c r="W24" s="74">
        <f t="shared" si="11"/>
        <v>4.5390000000000006</v>
      </c>
      <c r="X24" s="74">
        <v>6.5750000000000002</v>
      </c>
      <c r="Y24" s="74">
        <v>155.2989</v>
      </c>
      <c r="Z24" s="74">
        <v>537.54459999999995</v>
      </c>
      <c r="AA24" s="74">
        <v>10.510999999999999</v>
      </c>
      <c r="AB24" s="74">
        <v>0.91690000000000005</v>
      </c>
      <c r="AC24" s="74">
        <v>3.2829000000000002</v>
      </c>
      <c r="AD24" s="74">
        <v>17.201000000000001</v>
      </c>
      <c r="AE24" s="74">
        <v>27.150700000000001</v>
      </c>
      <c r="AF24" s="74">
        <v>58.9313</v>
      </c>
      <c r="AN24" t="s">
        <v>350</v>
      </c>
      <c r="AO24" s="37">
        <v>44524</v>
      </c>
      <c r="AP24" s="32">
        <v>0.18680555555555556</v>
      </c>
      <c r="AQ24">
        <f>AT23+(24*2)</f>
        <v>507.88333333333327</v>
      </c>
      <c r="AR24">
        <v>-4</v>
      </c>
      <c r="AS24">
        <f t="shared" si="8"/>
        <v>30468.999999999996</v>
      </c>
      <c r="AT24">
        <f t="shared" si="9"/>
        <v>507.81666666666661</v>
      </c>
      <c r="AU24">
        <f t="shared" si="10"/>
        <v>48.999999999996362</v>
      </c>
      <c r="AV24">
        <v>507</v>
      </c>
    </row>
    <row r="25" spans="1:51">
      <c r="A25" t="s">
        <v>1025</v>
      </c>
      <c r="B25" s="274">
        <v>44596</v>
      </c>
      <c r="C25" s="12">
        <v>1461.333333333333</v>
      </c>
      <c r="D25" s="72">
        <v>4.3979999999999997</v>
      </c>
      <c r="E25" s="72">
        <v>10.078900000000001</v>
      </c>
      <c r="F25" s="72">
        <v>22.231100000000001</v>
      </c>
      <c r="G25" s="212">
        <f>(E25+0.247)/3.2403</f>
        <v>3.1867111069962659</v>
      </c>
      <c r="H25" s="72">
        <v>4.2285000000000004</v>
      </c>
      <c r="I25" s="72">
        <v>6.4210000000000003</v>
      </c>
      <c r="J25" s="72">
        <v>2.0629</v>
      </c>
      <c r="K25" s="72">
        <v>7.6230000000000002</v>
      </c>
      <c r="L25" s="72">
        <v>10.398</v>
      </c>
      <c r="M25" s="72">
        <v>1.9127000000000001</v>
      </c>
      <c r="N25" s="72">
        <v>6.8529999999999998</v>
      </c>
      <c r="O25" s="72">
        <v>17.065000000000001</v>
      </c>
      <c r="P25" s="72">
        <v>1.3134999999999999</v>
      </c>
      <c r="Q25" s="72">
        <v>2.4293999999999998</v>
      </c>
      <c r="R25" s="74">
        <v>4.3780000000000001</v>
      </c>
      <c r="S25" s="74">
        <v>1.2874000000000001</v>
      </c>
      <c r="T25" s="74">
        <v>2.0741999999999998</v>
      </c>
      <c r="U25" s="212">
        <f>((S25+0.247)/3.2403)*5</f>
        <v>2.3676820047526466</v>
      </c>
      <c r="V25" s="74">
        <v>0.9244</v>
      </c>
      <c r="W25" s="74">
        <f t="shared" si="11"/>
        <v>4.6219999999999999</v>
      </c>
      <c r="X25" s="74">
        <v>6.5579999999999998</v>
      </c>
      <c r="Y25" s="74">
        <v>155.62729999999999</v>
      </c>
      <c r="Z25" s="74">
        <v>537.36030000000005</v>
      </c>
      <c r="AA25" s="74">
        <v>10.394</v>
      </c>
      <c r="AB25" s="74">
        <v>0.80740000000000001</v>
      </c>
      <c r="AC25" s="74">
        <v>2.9872000000000001</v>
      </c>
      <c r="AD25" s="74">
        <v>16.951000000000001</v>
      </c>
      <c r="AE25" s="74">
        <v>23.6281</v>
      </c>
      <c r="AF25" s="74">
        <v>52.511800000000001</v>
      </c>
      <c r="AN25" t="s">
        <v>351</v>
      </c>
      <c r="AO25" s="37">
        <v>44529</v>
      </c>
      <c r="AP25" s="32">
        <v>7.3611111111111113E-2</v>
      </c>
      <c r="AQ25">
        <f>AT24+(24*5)-3</f>
        <v>624.81666666666661</v>
      </c>
      <c r="AR25">
        <f>46-29</f>
        <v>17</v>
      </c>
      <c r="AS25">
        <f t="shared" si="8"/>
        <v>37506</v>
      </c>
      <c r="AT25">
        <f t="shared" si="9"/>
        <v>625.1</v>
      </c>
      <c r="AU25">
        <f t="shared" si="10"/>
        <v>6.0000000000013642</v>
      </c>
      <c r="AV25">
        <v>625</v>
      </c>
    </row>
    <row r="26" spans="1:51">
      <c r="A26" t="s">
        <v>1025</v>
      </c>
      <c r="B26" s="39">
        <v>44601</v>
      </c>
      <c r="C26" s="12">
        <v>1581.3499999999997</v>
      </c>
      <c r="D26" s="72">
        <v>4.391</v>
      </c>
      <c r="E26" s="72">
        <v>11.987500000000001</v>
      </c>
      <c r="F26" s="72">
        <v>27.480399999999999</v>
      </c>
      <c r="G26" s="212">
        <f t="shared" ref="G26:G27" si="15">(E26+0.247)/3.2403</f>
        <v>3.7757306422244854</v>
      </c>
      <c r="H26" s="72">
        <v>4.9458000000000002</v>
      </c>
      <c r="I26" s="72" t="s">
        <v>1035</v>
      </c>
      <c r="J26" s="72" t="s">
        <v>1036</v>
      </c>
      <c r="K26" s="72" t="s">
        <v>1037</v>
      </c>
      <c r="L26" s="72">
        <v>10.404</v>
      </c>
      <c r="M26" s="72">
        <v>2.1692999999999998</v>
      </c>
      <c r="N26" s="72">
        <v>7.8311000000000002</v>
      </c>
      <c r="O26" s="72">
        <v>17.088000000000001</v>
      </c>
      <c r="P26" s="72">
        <v>1.0346</v>
      </c>
      <c r="Q26" s="72">
        <v>2.1882999999999999</v>
      </c>
      <c r="R26" s="405">
        <v>4.3780000000000001</v>
      </c>
      <c r="S26" s="405">
        <v>1.048</v>
      </c>
      <c r="T26" s="405">
        <v>2.0057</v>
      </c>
      <c r="U26" s="132">
        <f>((S26+0.247)/3.2403)*5</f>
        <v>1.9982717649600346</v>
      </c>
      <c r="V26" s="405">
        <v>0.83440000000000003</v>
      </c>
      <c r="W26" s="405">
        <f t="shared" si="11"/>
        <v>4.1720000000000006</v>
      </c>
      <c r="X26" s="405">
        <v>6.5579999999999998</v>
      </c>
      <c r="Y26" s="405">
        <v>155.44929999999999</v>
      </c>
      <c r="Z26" s="405">
        <v>537.19290000000001</v>
      </c>
      <c r="AA26" s="74">
        <v>10.391</v>
      </c>
      <c r="AB26" s="74">
        <v>3.5575999999999999</v>
      </c>
      <c r="AC26" s="74">
        <v>13.461499999999999</v>
      </c>
      <c r="AD26" s="74">
        <v>16.940999999999999</v>
      </c>
      <c r="AE26" s="74">
        <v>28.2973</v>
      </c>
      <c r="AF26" s="74">
        <v>62.653100000000002</v>
      </c>
      <c r="AN26" t="s">
        <v>427</v>
      </c>
      <c r="AO26" s="37">
        <v>44533</v>
      </c>
      <c r="AP26" s="32">
        <v>0.43333333333333335</v>
      </c>
      <c r="AQ26">
        <f>AT25+(24*4)-3</f>
        <v>718.1</v>
      </c>
      <c r="AR26">
        <v>-22</v>
      </c>
      <c r="AS26">
        <f t="shared" si="8"/>
        <v>43064</v>
      </c>
      <c r="AT26">
        <f t="shared" si="9"/>
        <v>717.73333333333335</v>
      </c>
      <c r="AU26">
        <f t="shared" si="10"/>
        <v>44.000000000000909</v>
      </c>
      <c r="AV26">
        <v>717</v>
      </c>
    </row>
    <row r="27" spans="1:51">
      <c r="A27" t="s">
        <v>1025</v>
      </c>
      <c r="B27" s="39">
        <v>44606</v>
      </c>
      <c r="C27" s="12">
        <v>1701.5999999999997</v>
      </c>
      <c r="D27" s="72">
        <v>4.3780000000000001</v>
      </c>
      <c r="E27" s="72">
        <v>11.546200000000001</v>
      </c>
      <c r="F27" s="72">
        <v>28.454499999999999</v>
      </c>
      <c r="G27" s="212">
        <f t="shared" si="15"/>
        <v>3.6395395488072095</v>
      </c>
      <c r="H27" s="72">
        <v>4.78</v>
      </c>
      <c r="I27" s="72" t="s">
        <v>1044</v>
      </c>
      <c r="J27" s="72" t="s">
        <v>1045</v>
      </c>
      <c r="K27" s="72" t="s">
        <v>1046</v>
      </c>
      <c r="L27" s="72">
        <v>10.398</v>
      </c>
      <c r="M27" s="72">
        <v>2.1349</v>
      </c>
      <c r="N27" s="72">
        <v>7.6689999999999996</v>
      </c>
      <c r="O27" s="72">
        <v>17.077999999999999</v>
      </c>
      <c r="P27" s="72">
        <v>1.2248000000000001</v>
      </c>
      <c r="Q27" s="72">
        <v>2.5750999999999999</v>
      </c>
      <c r="R27" s="405">
        <v>4.3680000000000003</v>
      </c>
      <c r="S27" s="405">
        <v>1.1556</v>
      </c>
      <c r="T27" s="405">
        <v>2.3418000000000001</v>
      </c>
      <c r="U27" s="132">
        <f>((S27+0.247)/3.2403)*5</f>
        <v>2.164305774156714</v>
      </c>
      <c r="V27" s="405">
        <v>0.87490000000000001</v>
      </c>
      <c r="W27" s="405">
        <f t="shared" si="11"/>
        <v>4.3745000000000003</v>
      </c>
      <c r="X27" s="405">
        <v>6.5679999999999996</v>
      </c>
      <c r="Y27" s="405">
        <v>166.624</v>
      </c>
      <c r="Z27" s="405">
        <v>564.2355</v>
      </c>
      <c r="AA27" s="74">
        <v>10.388</v>
      </c>
      <c r="AB27" s="74">
        <v>3.7269999999999999</v>
      </c>
      <c r="AC27" s="74">
        <v>14.132300000000001</v>
      </c>
      <c r="AD27" s="74">
        <v>16.914999999999999</v>
      </c>
      <c r="AE27" s="74">
        <v>32.664499999999997</v>
      </c>
      <c r="AF27" s="74">
        <v>71.8125</v>
      </c>
      <c r="AN27" t="s">
        <v>426</v>
      </c>
      <c r="AO27" s="37">
        <v>44536</v>
      </c>
      <c r="AP27" s="32">
        <v>0.45902777777777781</v>
      </c>
      <c r="AQ27">
        <f>AT26+(24*3)</f>
        <v>789.73333333333335</v>
      </c>
      <c r="AR27">
        <v>27</v>
      </c>
      <c r="AS27">
        <f t="shared" si="8"/>
        <v>47411</v>
      </c>
      <c r="AT27">
        <f t="shared" si="9"/>
        <v>790.18333333333328</v>
      </c>
      <c r="AU27">
        <f t="shared" si="10"/>
        <v>10.999999999996817</v>
      </c>
      <c r="AV27">
        <v>790</v>
      </c>
    </row>
    <row r="28" spans="1:51">
      <c r="A28" t="s">
        <v>1060</v>
      </c>
      <c r="B28" s="39">
        <v>44608</v>
      </c>
      <c r="C28" s="12">
        <v>1749.133333333333</v>
      </c>
      <c r="D28" s="72">
        <v>4.3979999999999997</v>
      </c>
      <c r="E28" s="72">
        <v>12.113899999999999</v>
      </c>
      <c r="F28" s="72">
        <v>25.361699999999999</v>
      </c>
      <c r="G28" s="212">
        <f>(E28-0.1228)/3.09</f>
        <v>3.8806148867313914</v>
      </c>
      <c r="H28" s="72">
        <v>4.9932999999999996</v>
      </c>
      <c r="I28" s="72">
        <v>6.4649999999999999</v>
      </c>
      <c r="J28" s="72">
        <v>2.7467999999999999</v>
      </c>
      <c r="K28" s="72">
        <v>9.6010000000000009</v>
      </c>
      <c r="L28" s="72">
        <v>10.395</v>
      </c>
      <c r="M28" s="72">
        <v>1.9411</v>
      </c>
      <c r="N28" s="72">
        <v>7.0315000000000003</v>
      </c>
      <c r="O28" s="72">
        <v>17.058</v>
      </c>
      <c r="P28" s="72">
        <v>3.6594000000000002</v>
      </c>
      <c r="Q28" s="72">
        <v>7.8249000000000004</v>
      </c>
      <c r="R28" s="405">
        <v>4.3579999999999997</v>
      </c>
      <c r="S28" s="405">
        <v>0.96950000000000003</v>
      </c>
      <c r="T28" s="405">
        <v>2.1000999999999999</v>
      </c>
      <c r="U28" s="132">
        <f>((S28-0.1228)/3.09)*5</f>
        <v>1.3700647249190938</v>
      </c>
      <c r="V28" s="405">
        <v>0.80500000000000005</v>
      </c>
      <c r="W28" s="405">
        <f t="shared" si="11"/>
        <v>4.0250000000000004</v>
      </c>
      <c r="X28" s="405">
        <v>6.5679999999999996</v>
      </c>
      <c r="Y28" s="405">
        <v>170.125</v>
      </c>
      <c r="Z28" s="405">
        <v>573.0172</v>
      </c>
      <c r="AA28" s="74">
        <v>10.378</v>
      </c>
      <c r="AB28" s="74">
        <v>1.5972999999999999</v>
      </c>
      <c r="AC28" s="74">
        <v>5.9577999999999998</v>
      </c>
      <c r="AD28" s="74">
        <v>16.914000000000001</v>
      </c>
      <c r="AE28" s="74">
        <v>32.246099999999998</v>
      </c>
      <c r="AF28" s="74">
        <v>71.122799999999998</v>
      </c>
      <c r="AN28" t="s">
        <v>425</v>
      </c>
      <c r="AO28" s="37">
        <v>44538</v>
      </c>
      <c r="AP28" s="32">
        <v>0.47569444444444442</v>
      </c>
      <c r="AQ28">
        <f>AT27+(24*2)</f>
        <v>838.18333333333328</v>
      </c>
      <c r="AR28">
        <v>24</v>
      </c>
      <c r="AS28">
        <f t="shared" si="8"/>
        <v>50315</v>
      </c>
      <c r="AT28">
        <f t="shared" si="9"/>
        <v>838.58333333333337</v>
      </c>
      <c r="AU28">
        <f t="shared" si="10"/>
        <v>35.000000000002274</v>
      </c>
      <c r="AV28">
        <v>838</v>
      </c>
    </row>
    <row r="29" spans="1:51">
      <c r="A29" t="s">
        <v>1060</v>
      </c>
      <c r="B29" s="14">
        <v>44610</v>
      </c>
      <c r="C29" s="12">
        <v>1796.583333333333</v>
      </c>
      <c r="D29" s="72">
        <v>4.3780000000000001</v>
      </c>
      <c r="E29" s="72">
        <v>11.975</v>
      </c>
      <c r="F29" s="72">
        <v>29.967500000000001</v>
      </c>
      <c r="G29" s="212">
        <f>(E29-0.1228)/3.09</f>
        <v>3.8356634304207122</v>
      </c>
      <c r="H29" s="72">
        <v>4.9410999999999996</v>
      </c>
      <c r="I29" s="72">
        <v>6.431</v>
      </c>
      <c r="J29" s="72">
        <v>2.4698000000000002</v>
      </c>
      <c r="K29" s="72">
        <v>9.3452000000000002</v>
      </c>
      <c r="L29" s="72">
        <v>10.381</v>
      </c>
      <c r="M29" s="72">
        <v>1.9771000000000001</v>
      </c>
      <c r="N29" s="72">
        <v>7.0842000000000001</v>
      </c>
      <c r="O29" s="72">
        <v>17.071000000000002</v>
      </c>
      <c r="P29" s="72">
        <v>0.92810000000000004</v>
      </c>
      <c r="Q29" s="72">
        <v>1.9656</v>
      </c>
      <c r="R29" s="405">
        <v>4.3680000000000003</v>
      </c>
      <c r="S29" s="405">
        <v>1.1974</v>
      </c>
      <c r="T29" s="405">
        <v>2.5232000000000001</v>
      </c>
      <c r="U29" s="132">
        <f>((S29-0.1228)/3.09)*5</f>
        <v>1.7388349514563108</v>
      </c>
      <c r="V29" s="405">
        <v>0.89059999999999995</v>
      </c>
      <c r="W29" s="405">
        <f t="shared" si="11"/>
        <v>4.4529999999999994</v>
      </c>
      <c r="X29" s="405">
        <v>6.548</v>
      </c>
      <c r="Y29" s="405">
        <v>158.68889999999999</v>
      </c>
      <c r="Z29" s="405">
        <v>545.63570000000004</v>
      </c>
      <c r="AA29" s="74">
        <v>10.377000000000001</v>
      </c>
      <c r="AB29" s="74">
        <v>1.8162</v>
      </c>
      <c r="AC29" s="74">
        <v>6.7735000000000003</v>
      </c>
      <c r="AD29" s="74">
        <v>16.923999999999999</v>
      </c>
      <c r="AE29" s="74">
        <v>29.2118</v>
      </c>
      <c r="AF29" s="74">
        <v>64.493499999999997</v>
      </c>
      <c r="AN29" t="s">
        <v>873</v>
      </c>
      <c r="AO29" s="37">
        <v>44908</v>
      </c>
      <c r="AP29" s="32">
        <v>0.48194444444444445</v>
      </c>
      <c r="AQ29">
        <f>AT28+(24*5)</f>
        <v>958.58333333333337</v>
      </c>
      <c r="AR29">
        <v>9</v>
      </c>
      <c r="AS29">
        <f t="shared" si="8"/>
        <v>57524</v>
      </c>
      <c r="AT29">
        <f t="shared" si="9"/>
        <v>958.73333333333335</v>
      </c>
      <c r="AU29">
        <f t="shared" si="10"/>
        <v>44.000000000000909</v>
      </c>
      <c r="AV29">
        <v>958</v>
      </c>
    </row>
    <row r="30" spans="1:51">
      <c r="A30" t="s">
        <v>1274</v>
      </c>
      <c r="B30" s="14">
        <v>44613</v>
      </c>
      <c r="C30" s="12">
        <v>1867.3999999999999</v>
      </c>
      <c r="D30" s="72">
        <v>4.3940000000000001</v>
      </c>
      <c r="E30" s="72">
        <v>10.470599999999999</v>
      </c>
      <c r="F30" s="72">
        <v>20.988299999999999</v>
      </c>
      <c r="G30" s="212">
        <f>(E30-0.0522)/3.15</f>
        <v>3.3074285714285714</v>
      </c>
      <c r="H30" s="72">
        <v>4.3757000000000001</v>
      </c>
      <c r="I30" s="72">
        <v>6.4139999999999997</v>
      </c>
      <c r="J30" s="72">
        <v>2.254</v>
      </c>
      <c r="K30" s="72">
        <v>6.9317000000000002</v>
      </c>
      <c r="L30" s="72">
        <v>10.311</v>
      </c>
      <c r="M30" s="72">
        <v>1.6248</v>
      </c>
      <c r="N30" s="72">
        <v>5.7652999999999999</v>
      </c>
      <c r="O30" s="72">
        <v>16.901</v>
      </c>
      <c r="P30" s="72">
        <v>0.72419999999999995</v>
      </c>
      <c r="Q30" s="72">
        <v>1.5143</v>
      </c>
      <c r="R30" s="405">
        <v>4.3540000000000001</v>
      </c>
      <c r="S30" s="405">
        <v>1.2388999999999999</v>
      </c>
      <c r="T30" s="405">
        <v>2.9561000000000002</v>
      </c>
      <c r="U30" s="132">
        <f>((S30-0.0522)/3.15)*5</f>
        <v>1.8836507936507934</v>
      </c>
      <c r="V30" s="405">
        <v>0.90620000000000001</v>
      </c>
      <c r="W30" s="405">
        <f t="shared" si="11"/>
        <v>4.5309999999999997</v>
      </c>
      <c r="X30" s="405">
        <v>6.5339999999999998</v>
      </c>
      <c r="Y30" s="405">
        <v>151.1473</v>
      </c>
      <c r="Z30" s="405">
        <v>530.69420000000002</v>
      </c>
      <c r="AA30" s="74">
        <v>10.298</v>
      </c>
      <c r="AB30" s="74">
        <v>1.9964999999999999</v>
      </c>
      <c r="AC30" s="74">
        <v>7.4169</v>
      </c>
      <c r="AD30" s="74">
        <v>16.763999999999999</v>
      </c>
      <c r="AE30" s="74">
        <v>26.462700000000002</v>
      </c>
      <c r="AF30" s="74">
        <v>58.917099999999998</v>
      </c>
      <c r="AN30" t="s">
        <v>874</v>
      </c>
      <c r="AO30" s="37">
        <v>44911</v>
      </c>
      <c r="AP30" s="32">
        <v>0.43472222222222223</v>
      </c>
      <c r="AQ30">
        <f>AT29+(24*3)-1</f>
        <v>1029.7333333333333</v>
      </c>
      <c r="AR30">
        <v>-8</v>
      </c>
      <c r="AS30">
        <f t="shared" si="8"/>
        <v>61776</v>
      </c>
      <c r="AT30">
        <f t="shared" si="9"/>
        <v>1029.5999999999999</v>
      </c>
      <c r="AU30">
        <f t="shared" si="10"/>
        <v>35.999999999994543</v>
      </c>
      <c r="AV30">
        <v>1029</v>
      </c>
      <c r="AW30" t="s">
        <v>875</v>
      </c>
    </row>
    <row r="31" spans="1:51">
      <c r="A31" t="s">
        <v>1274</v>
      </c>
      <c r="B31" s="14">
        <v>44615</v>
      </c>
      <c r="C31" s="12">
        <v>1916.1999999999998</v>
      </c>
      <c r="D31" s="72">
        <v>4.3780000000000001</v>
      </c>
      <c r="E31" s="72">
        <v>10.8682</v>
      </c>
      <c r="F31" s="72">
        <v>23.736899999999999</v>
      </c>
      <c r="G31" s="212">
        <f t="shared" ref="G31:G32" si="16">(E31-0.0522)/3.15</f>
        <v>3.4336507936507941</v>
      </c>
      <c r="H31" s="72">
        <v>4.5251000000000001</v>
      </c>
      <c r="I31" s="72" t="s">
        <v>1275</v>
      </c>
      <c r="J31" s="72" t="s">
        <v>1276</v>
      </c>
      <c r="K31" s="72" t="s">
        <v>1277</v>
      </c>
      <c r="L31" s="72">
        <v>10.308</v>
      </c>
      <c r="M31" s="72">
        <v>1.3243</v>
      </c>
      <c r="N31" s="72">
        <v>4.6860999999999997</v>
      </c>
      <c r="O31" s="72">
        <v>16.893999999999998</v>
      </c>
      <c r="P31" s="72">
        <v>0.74590000000000001</v>
      </c>
      <c r="Q31" s="72">
        <v>1.5665</v>
      </c>
      <c r="R31" s="74">
        <v>4.3579999999999997</v>
      </c>
      <c r="S31" s="74">
        <v>1.0633999999999999</v>
      </c>
      <c r="T31" s="74">
        <v>1.7979000000000001</v>
      </c>
      <c r="U31" s="212">
        <f t="shared" ref="U31:U32" si="17">((S31-0.0522)/3.15)*5</f>
        <v>1.6050793650793649</v>
      </c>
      <c r="V31" s="74">
        <v>0.84019999999999995</v>
      </c>
      <c r="W31" s="74">
        <f t="shared" si="11"/>
        <v>4.2009999999999996</v>
      </c>
      <c r="X31" s="74" t="s">
        <v>1278</v>
      </c>
      <c r="Y31" s="74" t="s">
        <v>1279</v>
      </c>
      <c r="Z31" s="74" t="s">
        <v>1280</v>
      </c>
      <c r="AA31" s="74">
        <v>10.298</v>
      </c>
      <c r="AB31" s="74">
        <v>0.89529999999999998</v>
      </c>
      <c r="AC31" s="74">
        <v>3.2814000000000001</v>
      </c>
      <c r="AD31" s="74">
        <v>16.774000000000001</v>
      </c>
      <c r="AE31" s="74">
        <v>22.5596</v>
      </c>
      <c r="AF31" s="74">
        <v>50.328499999999998</v>
      </c>
      <c r="AN31" t="s">
        <v>877</v>
      </c>
      <c r="AO31" s="205">
        <v>44580</v>
      </c>
      <c r="AP31" s="32">
        <v>7.5694444444444439E-2</v>
      </c>
      <c r="AQ31">
        <f>(AT30+1)+((24*2)+1)+1</f>
        <v>1080.5999999999999</v>
      </c>
      <c r="AR31">
        <v>19</v>
      </c>
      <c r="AS31">
        <f t="shared" si="8"/>
        <v>64854.999999999993</v>
      </c>
      <c r="AT31">
        <f t="shared" si="9"/>
        <v>1080.9166666666665</v>
      </c>
      <c r="AU31">
        <f t="shared" si="10"/>
        <v>54.999999999990905</v>
      </c>
      <c r="AV31">
        <v>1080</v>
      </c>
      <c r="AW31" t="s">
        <v>876</v>
      </c>
      <c r="AY31">
        <f>AQ30+1.5</f>
        <v>1031.2333333333333</v>
      </c>
    </row>
    <row r="32" spans="1:51">
      <c r="A32" t="s">
        <v>1274</v>
      </c>
      <c r="B32" s="14">
        <v>44617</v>
      </c>
      <c r="C32" s="12">
        <v>1964.883333333333</v>
      </c>
      <c r="D32" s="72">
        <v>4.3650000000000002</v>
      </c>
      <c r="E32" s="72">
        <v>11.241</v>
      </c>
      <c r="F32" s="72">
        <v>25.315200000000001</v>
      </c>
      <c r="G32" s="212">
        <f t="shared" si="16"/>
        <v>3.552</v>
      </c>
      <c r="H32" s="72">
        <v>4.6653000000000002</v>
      </c>
      <c r="I32" s="72" t="s">
        <v>1284</v>
      </c>
      <c r="J32" s="72" t="s">
        <v>1285</v>
      </c>
      <c r="K32" s="72" t="s">
        <v>1286</v>
      </c>
      <c r="L32" s="72">
        <v>10.298</v>
      </c>
      <c r="M32" s="72">
        <v>1.2979000000000001</v>
      </c>
      <c r="N32" s="72">
        <v>4.5956000000000001</v>
      </c>
      <c r="O32" s="72">
        <v>16.881</v>
      </c>
      <c r="P32" s="72">
        <v>0.65949999999999998</v>
      </c>
      <c r="Q32" s="72">
        <v>1.3835999999999999</v>
      </c>
      <c r="R32" s="74">
        <v>4.3440000000000003</v>
      </c>
      <c r="S32" s="74">
        <v>1.0827</v>
      </c>
      <c r="T32" s="74">
        <v>1.9861</v>
      </c>
      <c r="U32" s="212">
        <f t="shared" si="17"/>
        <v>1.6357142857142857</v>
      </c>
      <c r="V32" s="74">
        <v>0.84750000000000003</v>
      </c>
      <c r="W32" s="74">
        <f t="shared" si="11"/>
        <v>4.2374999999999998</v>
      </c>
      <c r="X32" s="74" t="s">
        <v>1287</v>
      </c>
      <c r="Y32" s="74" t="s">
        <v>1288</v>
      </c>
      <c r="Z32" s="74" t="s">
        <v>1289</v>
      </c>
      <c r="AA32" s="74">
        <v>10.281000000000001</v>
      </c>
      <c r="AB32" s="74">
        <v>3.4977999999999998</v>
      </c>
      <c r="AC32" s="74">
        <v>13.1105</v>
      </c>
      <c r="AD32" s="74">
        <v>16.701000000000001</v>
      </c>
      <c r="AE32" s="74">
        <v>36.706800000000001</v>
      </c>
      <c r="AF32" s="74">
        <v>80.787800000000004</v>
      </c>
      <c r="AN32" t="s">
        <v>878</v>
      </c>
      <c r="AO32" s="37">
        <v>44582</v>
      </c>
      <c r="AP32" s="32">
        <v>8.819444444444445E-2</v>
      </c>
      <c r="AQ32">
        <f>AT31+(24*2)</f>
        <v>1128.9166666666665</v>
      </c>
      <c r="AR32">
        <v>18</v>
      </c>
      <c r="AS32">
        <f t="shared" si="8"/>
        <v>67752.999999999985</v>
      </c>
      <c r="AT32">
        <f t="shared" si="9"/>
        <v>1129.2166666666665</v>
      </c>
      <c r="AU32">
        <f t="shared" si="10"/>
        <v>12.999999999988177</v>
      </c>
      <c r="AV32">
        <v>1129</v>
      </c>
    </row>
    <row r="33" spans="1:49">
      <c r="A33" t="s">
        <v>1296</v>
      </c>
      <c r="B33" s="14">
        <v>44621</v>
      </c>
      <c r="C33" s="12">
        <v>2060.8833333333332</v>
      </c>
      <c r="D33" s="72">
        <v>4.375</v>
      </c>
      <c r="E33" s="72">
        <v>10.7507</v>
      </c>
      <c r="F33" s="72">
        <v>19.240400000000001</v>
      </c>
      <c r="G33" s="212">
        <f>(E33+0.4715)/3.0941</f>
        <v>3.6269674541870014</v>
      </c>
      <c r="H33" s="72">
        <v>4.4809999999999999</v>
      </c>
      <c r="I33" s="72">
        <v>6.3609999999999998</v>
      </c>
      <c r="J33" s="72">
        <v>2.9977</v>
      </c>
      <c r="K33" s="72">
        <v>10.6669</v>
      </c>
      <c r="L33" s="72">
        <v>10.164999999999999</v>
      </c>
      <c r="M33" s="72">
        <v>2.1970000000000001</v>
      </c>
      <c r="N33" s="72">
        <v>7.8795999999999999</v>
      </c>
      <c r="O33" s="72">
        <v>16.681000000000001</v>
      </c>
      <c r="P33" s="72">
        <v>0.85709999999999997</v>
      </c>
      <c r="Q33" s="72">
        <v>1.8009999999999999</v>
      </c>
      <c r="R33" s="74">
        <v>4.3550000000000004</v>
      </c>
      <c r="S33" s="74">
        <v>1.2027000000000001</v>
      </c>
      <c r="T33" s="74">
        <v>1.5965</v>
      </c>
      <c r="U33" s="212">
        <f>((S33+0.4715)/3.0941)*5</f>
        <v>2.7054717042112406</v>
      </c>
      <c r="V33" s="74">
        <v>0.89259999999999995</v>
      </c>
      <c r="W33" s="74">
        <f t="shared" si="11"/>
        <v>4.4630000000000001</v>
      </c>
      <c r="X33" s="74">
        <v>6.4809999999999999</v>
      </c>
      <c r="Y33" s="74">
        <v>174.8528</v>
      </c>
      <c r="Z33" s="74">
        <v>584.846</v>
      </c>
      <c r="AA33" s="74">
        <v>10.148</v>
      </c>
      <c r="AB33" s="74">
        <v>1.5736000000000001</v>
      </c>
      <c r="AC33" s="74">
        <v>5.8057999999999996</v>
      </c>
      <c r="AD33" s="74">
        <v>16.491</v>
      </c>
      <c r="AE33" s="74">
        <v>37.255400000000002</v>
      </c>
      <c r="AF33" s="74">
        <v>82.240799999999993</v>
      </c>
      <c r="AN33" t="s">
        <v>879</v>
      </c>
      <c r="AO33" s="37">
        <v>44585</v>
      </c>
      <c r="AP33" s="32">
        <v>0.44027777777777777</v>
      </c>
      <c r="AQ33">
        <f>AT32+(24*3)-4</f>
        <v>1197.2166666666665</v>
      </c>
      <c r="AR33">
        <f>34-7</f>
        <v>27</v>
      </c>
      <c r="AS33">
        <f t="shared" si="8"/>
        <v>71859.999999999985</v>
      </c>
      <c r="AT33">
        <f t="shared" si="9"/>
        <v>1197.6666666666665</v>
      </c>
      <c r="AU33">
        <f t="shared" si="10"/>
        <v>39.999999999990905</v>
      </c>
      <c r="AV33">
        <v>1197</v>
      </c>
    </row>
    <row r="34" spans="1:49">
      <c r="A34" t="s">
        <v>1296</v>
      </c>
      <c r="B34" s="14">
        <v>44636</v>
      </c>
      <c r="C34" s="12">
        <v>2116.3666666666668</v>
      </c>
      <c r="D34" s="72">
        <v>4.3579999999999997</v>
      </c>
      <c r="E34" s="72">
        <v>9.2039000000000009</v>
      </c>
      <c r="F34" s="72">
        <v>17.578700000000001</v>
      </c>
      <c r="G34" s="212">
        <f>(E34+0.4715)/3.0941</f>
        <v>3.1270482531269193</v>
      </c>
      <c r="H34" s="72">
        <v>3.8997000000000002</v>
      </c>
      <c r="I34" s="72">
        <v>6.3540000000000001</v>
      </c>
      <c r="J34" s="72">
        <v>2.4325000000000001</v>
      </c>
      <c r="K34" s="72">
        <v>6.1753</v>
      </c>
      <c r="L34" s="72">
        <v>10.161</v>
      </c>
      <c r="M34" s="72">
        <v>1.6891</v>
      </c>
      <c r="N34" s="72">
        <v>6.0084999999999997</v>
      </c>
      <c r="O34" s="72" t="s">
        <v>1336</v>
      </c>
      <c r="P34" s="72" t="s">
        <v>1337</v>
      </c>
      <c r="Q34" s="72" t="s">
        <v>1338</v>
      </c>
      <c r="R34" s="74">
        <v>4.3440000000000003</v>
      </c>
      <c r="S34" s="74">
        <v>1.1556</v>
      </c>
      <c r="T34" s="74">
        <v>1.66</v>
      </c>
      <c r="U34" s="212">
        <f>((S34+0.4715)/3.0941)*5</f>
        <v>2.629359102808571</v>
      </c>
      <c r="V34" s="74">
        <v>0.87490000000000001</v>
      </c>
      <c r="W34" s="74">
        <f t="shared" si="11"/>
        <v>4.3745000000000003</v>
      </c>
      <c r="X34" s="74">
        <v>6.5010000000000003</v>
      </c>
      <c r="Y34" s="74">
        <v>203.28620000000001</v>
      </c>
      <c r="Z34" s="74">
        <v>646.50009999999997</v>
      </c>
      <c r="AA34" s="74">
        <v>10.151</v>
      </c>
      <c r="AB34" s="74">
        <v>0.4929</v>
      </c>
      <c r="AC34" s="74">
        <v>1.7856000000000001</v>
      </c>
      <c r="AD34" s="74">
        <v>16.443999999999999</v>
      </c>
      <c r="AE34" s="74">
        <v>51.783099999999997</v>
      </c>
      <c r="AF34" s="74">
        <v>111.5939</v>
      </c>
      <c r="AN34" t="s">
        <v>880</v>
      </c>
      <c r="AO34" s="37">
        <v>44587</v>
      </c>
      <c r="AP34" s="32">
        <v>0.45555555555555555</v>
      </c>
      <c r="AQ34">
        <f>AT33+(24*2)</f>
        <v>1245.6666666666665</v>
      </c>
      <c r="AR34">
        <f>56-34</f>
        <v>22</v>
      </c>
      <c r="AS34">
        <f t="shared" si="8"/>
        <v>74761.999999999985</v>
      </c>
      <c r="AT34">
        <f t="shared" si="9"/>
        <v>1246.0333333333331</v>
      </c>
      <c r="AU34">
        <f t="shared" si="10"/>
        <v>1.9999999999845386</v>
      </c>
      <c r="AV34">
        <v>1246</v>
      </c>
    </row>
    <row r="35" spans="1:49">
      <c r="A35" t="s">
        <v>1374</v>
      </c>
      <c r="B35" s="14">
        <v>44638</v>
      </c>
      <c r="C35" s="12">
        <v>2162.9499999999998</v>
      </c>
      <c r="D35" s="72">
        <v>4.3840000000000003</v>
      </c>
      <c r="E35" s="72">
        <v>9.2324000000000002</v>
      </c>
      <c r="F35" s="72">
        <v>16.802399999999999</v>
      </c>
      <c r="G35" s="212">
        <f>(E35+0.188)/3.0944</f>
        <v>3.0443381592554295</v>
      </c>
      <c r="H35" s="72">
        <v>3.9104000000000001</v>
      </c>
      <c r="I35" s="72">
        <v>6.3680000000000003</v>
      </c>
      <c r="J35" s="72">
        <v>2.3938000000000001</v>
      </c>
      <c r="K35" s="72">
        <v>5.77</v>
      </c>
      <c r="L35" s="72">
        <v>10.178000000000001</v>
      </c>
      <c r="M35" s="72">
        <v>1.5631999999999999</v>
      </c>
      <c r="N35" s="72">
        <v>5.5435999999999996</v>
      </c>
      <c r="O35" s="72">
        <v>16.707999999999998</v>
      </c>
      <c r="P35" s="72">
        <v>0.5413</v>
      </c>
      <c r="Q35" s="72">
        <v>1.1309</v>
      </c>
      <c r="R35" s="74">
        <v>4.3680000000000003</v>
      </c>
      <c r="S35" s="74">
        <v>1.1976</v>
      </c>
      <c r="T35" s="74">
        <v>1.6820999999999999</v>
      </c>
      <c r="U35" s="212">
        <f>((S35+0.188)/3.0944)*5</f>
        <v>2.2388831437435366</v>
      </c>
      <c r="V35" s="74">
        <v>0.89070000000000005</v>
      </c>
      <c r="W35" s="74">
        <f t="shared" si="11"/>
        <v>4.4535</v>
      </c>
      <c r="X35" s="74">
        <v>6.5039999999999996</v>
      </c>
      <c r="Y35" s="74">
        <v>203.58410000000001</v>
      </c>
      <c r="Z35" s="74">
        <v>645.0213</v>
      </c>
      <c r="AA35" s="74">
        <v>10.161</v>
      </c>
      <c r="AB35" s="74">
        <v>0.85219999999999996</v>
      </c>
      <c r="AC35" s="74">
        <v>3.1059999999999999</v>
      </c>
      <c r="AD35" s="74">
        <v>16.481000000000002</v>
      </c>
      <c r="AE35" s="74">
        <v>50.067999999999998</v>
      </c>
      <c r="AF35" s="74">
        <v>108.0821</v>
      </c>
      <c r="AN35" t="s">
        <v>1006</v>
      </c>
      <c r="AO35" s="37">
        <v>44589</v>
      </c>
      <c r="AP35" s="32">
        <v>0.53125</v>
      </c>
      <c r="AQ35">
        <f>AT34+(24*2)+2</f>
        <v>1296.0333333333331</v>
      </c>
      <c r="AR35">
        <v>-11</v>
      </c>
      <c r="AS35">
        <f t="shared" ref="AS35:AS47" si="18">(AQ35*60)+AR35</f>
        <v>77750.999999999985</v>
      </c>
      <c r="AT35">
        <f t="shared" ref="AT35:AT47" si="19">AS35/60</f>
        <v>1295.8499999999997</v>
      </c>
      <c r="AU35">
        <f t="shared" ref="AU35:AU47" si="20">(AT35-AV35)*60</f>
        <v>50.999999999980901</v>
      </c>
      <c r="AV35">
        <v>1295</v>
      </c>
    </row>
    <row r="36" spans="1:49">
      <c r="B36" s="14"/>
      <c r="AN36" t="s">
        <v>1007</v>
      </c>
      <c r="AO36" s="37">
        <v>44594</v>
      </c>
      <c r="AP36" s="32">
        <v>0.4375</v>
      </c>
      <c r="AQ36">
        <f>AT35+(24*5)-2</f>
        <v>1413.8499999999997</v>
      </c>
      <c r="AR36">
        <v>-15</v>
      </c>
      <c r="AS36">
        <f t="shared" si="18"/>
        <v>84815.999999999985</v>
      </c>
      <c r="AT36">
        <f t="shared" si="19"/>
        <v>1413.5999999999997</v>
      </c>
      <c r="AU36">
        <f t="shared" si="20"/>
        <v>35.999999999980901</v>
      </c>
      <c r="AV36">
        <v>1413</v>
      </c>
    </row>
    <row r="37" spans="1:49">
      <c r="AN37" t="s">
        <v>1008</v>
      </c>
      <c r="AO37" s="37">
        <v>44596</v>
      </c>
      <c r="AP37" s="32">
        <v>0.42638888888888887</v>
      </c>
      <c r="AQ37">
        <f>AT36+(24*2)</f>
        <v>1461.5999999999997</v>
      </c>
      <c r="AR37">
        <v>-16</v>
      </c>
      <c r="AS37">
        <f t="shared" si="18"/>
        <v>87679.999999999985</v>
      </c>
      <c r="AT37">
        <f t="shared" si="19"/>
        <v>1461.333333333333</v>
      </c>
      <c r="AU37">
        <f t="shared" si="20"/>
        <v>19.99999999998181</v>
      </c>
      <c r="AV37">
        <v>1461</v>
      </c>
    </row>
    <row r="38" spans="1:49">
      <c r="AN38" t="s">
        <v>1009</v>
      </c>
      <c r="AO38" s="37">
        <v>44601</v>
      </c>
      <c r="AP38" s="32">
        <v>0.42708333333333331</v>
      </c>
      <c r="AQ38">
        <f>AT37+(24*5)</f>
        <v>1581.333333333333</v>
      </c>
      <c r="AR38">
        <v>1</v>
      </c>
      <c r="AS38">
        <f t="shared" si="18"/>
        <v>94880.999999999985</v>
      </c>
      <c r="AT38">
        <f t="shared" si="19"/>
        <v>1581.3499999999997</v>
      </c>
      <c r="AU38">
        <f t="shared" si="20"/>
        <v>20.999999999980901</v>
      </c>
      <c r="AV38">
        <v>1581</v>
      </c>
    </row>
    <row r="39" spans="1:49">
      <c r="AN39" t="s">
        <v>1010</v>
      </c>
      <c r="AO39" s="37">
        <v>44606</v>
      </c>
      <c r="AP39" s="32">
        <v>0.4375</v>
      </c>
      <c r="AQ39">
        <f>AT38+(24*5)</f>
        <v>1701.3499999999997</v>
      </c>
      <c r="AR39">
        <v>15</v>
      </c>
      <c r="AS39">
        <f t="shared" si="18"/>
        <v>102095.99999999999</v>
      </c>
      <c r="AT39">
        <f t="shared" si="19"/>
        <v>1701.5999999999997</v>
      </c>
      <c r="AU39">
        <f t="shared" si="20"/>
        <v>35.999999999980901</v>
      </c>
      <c r="AV39">
        <v>1701</v>
      </c>
    </row>
    <row r="40" spans="1:49">
      <c r="AN40" t="s">
        <v>1011</v>
      </c>
      <c r="AO40" s="37">
        <v>44608</v>
      </c>
      <c r="AP40" s="32">
        <v>0.41805555555555557</v>
      </c>
      <c r="AQ40">
        <f>AT39+(24*2)</f>
        <v>1749.5999999999997</v>
      </c>
      <c r="AR40">
        <v>-28</v>
      </c>
      <c r="AS40">
        <f t="shared" si="18"/>
        <v>104947.99999999999</v>
      </c>
      <c r="AT40">
        <f t="shared" si="19"/>
        <v>1749.133333333333</v>
      </c>
      <c r="AU40">
        <f t="shared" si="20"/>
        <v>7.9999999999790816</v>
      </c>
      <c r="AV40">
        <v>1749</v>
      </c>
    </row>
    <row r="41" spans="1:49">
      <c r="AN41" t="s">
        <v>1174</v>
      </c>
      <c r="AO41" s="37">
        <v>44610</v>
      </c>
      <c r="AP41" s="32">
        <v>0.39513888888888887</v>
      </c>
      <c r="AQ41">
        <f>AT40+(24*2)</f>
        <v>1797.133333333333</v>
      </c>
      <c r="AR41">
        <v>-33</v>
      </c>
      <c r="AS41">
        <f t="shared" si="18"/>
        <v>107794.99999999999</v>
      </c>
      <c r="AT41">
        <f t="shared" si="19"/>
        <v>1796.583333333333</v>
      </c>
      <c r="AU41">
        <f t="shared" si="20"/>
        <v>34.99999999998181</v>
      </c>
      <c r="AV41">
        <v>1796</v>
      </c>
    </row>
    <row r="42" spans="1:49">
      <c r="AN42" t="s">
        <v>1175</v>
      </c>
      <c r="AO42" s="37">
        <v>44613</v>
      </c>
      <c r="AP42" s="32">
        <v>0.34513888888888888</v>
      </c>
      <c r="AQ42">
        <f>AT41+(24*3)-1</f>
        <v>1867.583333333333</v>
      </c>
      <c r="AR42">
        <v>-11</v>
      </c>
      <c r="AS42">
        <f t="shared" si="18"/>
        <v>112043.99999999999</v>
      </c>
      <c r="AT42">
        <f t="shared" si="19"/>
        <v>1867.3999999999999</v>
      </c>
      <c r="AU42">
        <f t="shared" si="20"/>
        <v>23.999999999991815</v>
      </c>
      <c r="AV42">
        <v>1867</v>
      </c>
    </row>
    <row r="43" spans="1:49">
      <c r="AN43" t="s">
        <v>1176</v>
      </c>
      <c r="AO43" s="37">
        <v>44615</v>
      </c>
      <c r="AP43" s="32">
        <v>0.37847222222222227</v>
      </c>
      <c r="AQ43">
        <f>AT42+(24*2)+1</f>
        <v>1916.3999999999999</v>
      </c>
      <c r="AR43">
        <v>-12</v>
      </c>
      <c r="AS43">
        <f t="shared" si="18"/>
        <v>114971.99999999999</v>
      </c>
      <c r="AT43">
        <f t="shared" si="19"/>
        <v>1916.1999999999998</v>
      </c>
      <c r="AU43">
        <f t="shared" si="20"/>
        <v>11.999999999989086</v>
      </c>
      <c r="AV43">
        <v>1916</v>
      </c>
    </row>
    <row r="44" spans="1:49">
      <c r="AN44" t="s">
        <v>1290</v>
      </c>
      <c r="AO44" s="37">
        <v>44617</v>
      </c>
      <c r="AP44" s="32">
        <v>0.4069444444444445</v>
      </c>
      <c r="AQ44">
        <f>AT43+(24*2)</f>
        <v>1964.1999999999998</v>
      </c>
      <c r="AR44">
        <v>41</v>
      </c>
      <c r="AS44">
        <f t="shared" si="18"/>
        <v>117892.99999999999</v>
      </c>
      <c r="AT44">
        <f t="shared" si="19"/>
        <v>1964.883333333333</v>
      </c>
      <c r="AU44">
        <f t="shared" si="20"/>
        <v>52.999999999979082</v>
      </c>
      <c r="AV44">
        <v>1964</v>
      </c>
    </row>
    <row r="45" spans="1:49">
      <c r="AN45" t="s">
        <v>1291</v>
      </c>
      <c r="AO45" s="37">
        <v>44621</v>
      </c>
      <c r="AP45" s="32">
        <v>0.4069444444444445</v>
      </c>
      <c r="AQ45">
        <f>AT44+(24*4)</f>
        <v>2060.8833333333332</v>
      </c>
      <c r="AR45">
        <v>0</v>
      </c>
      <c r="AS45">
        <f t="shared" si="18"/>
        <v>123653</v>
      </c>
      <c r="AT45">
        <f t="shared" si="19"/>
        <v>2060.8833333333332</v>
      </c>
      <c r="AU45">
        <f t="shared" si="20"/>
        <v>52.999999999992724</v>
      </c>
      <c r="AV45">
        <v>2060</v>
      </c>
      <c r="AW45" t="s">
        <v>1298</v>
      </c>
    </row>
    <row r="46" spans="1:49">
      <c r="AN46" t="s">
        <v>1297</v>
      </c>
      <c r="AO46" s="37">
        <v>44636</v>
      </c>
      <c r="AP46" s="32">
        <v>0.4055555555555555</v>
      </c>
      <c r="AQ46">
        <f>AT45+24+7.25+24</f>
        <v>2116.1333333333332</v>
      </c>
      <c r="AR46">
        <v>14</v>
      </c>
      <c r="AS46">
        <f t="shared" si="18"/>
        <v>126982</v>
      </c>
      <c r="AT46">
        <f t="shared" si="19"/>
        <v>2116.3666666666668</v>
      </c>
      <c r="AU46">
        <f t="shared" si="20"/>
        <v>22.000000000007276</v>
      </c>
      <c r="AV46">
        <v>2116</v>
      </c>
      <c r="AW46" t="s">
        <v>1299</v>
      </c>
    </row>
    <row r="47" spans="1:49">
      <c r="AN47" t="s">
        <v>1402</v>
      </c>
      <c r="AO47" s="37">
        <v>44638</v>
      </c>
      <c r="AP47" s="32">
        <v>0.34652777777777777</v>
      </c>
      <c r="AQ47">
        <f>AT46+(24*2)-1</f>
        <v>2163.3666666666668</v>
      </c>
      <c r="AR47">
        <v>-25</v>
      </c>
      <c r="AS47">
        <f t="shared" si="18"/>
        <v>129777</v>
      </c>
      <c r="AT47">
        <f t="shared" si="19"/>
        <v>2162.9499999999998</v>
      </c>
      <c r="AU47">
        <f t="shared" si="20"/>
        <v>56.999999999989086</v>
      </c>
      <c r="AV47">
        <v>2162</v>
      </c>
    </row>
    <row r="48" spans="1:49">
      <c r="AO48" s="37"/>
      <c r="AP48" s="32"/>
    </row>
  </sheetData>
  <mergeCells count="2">
    <mergeCell ref="D1:Q1"/>
    <mergeCell ref="R1:AF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4F4-4FBB-5047-BB91-607F28C01F9C}">
  <dimension ref="A1:CO18"/>
  <sheetViews>
    <sheetView workbookViewId="0">
      <pane xSplit="3" ySplit="1" topLeftCell="AY2" activePane="bottomRight" state="frozen"/>
      <selection pane="topRight" activeCell="D1" sqref="D1"/>
      <selection pane="bottomLeft" activeCell="A2" sqref="A2"/>
      <selection pane="bottomRight" activeCell="BJ3" sqref="BJ3:BJ15"/>
    </sheetView>
  </sheetViews>
  <sheetFormatPr defaultColWidth="10.6640625" defaultRowHeight="15.5"/>
  <cols>
    <col min="3" max="3" width="10.83203125" style="12"/>
    <col min="4" max="17" width="10.83203125" style="4"/>
    <col min="18" max="31" width="10.83203125" style="1"/>
    <col min="32" max="45" width="10.83203125" style="2"/>
    <col min="46" max="59" width="10.83203125" style="264"/>
    <col min="63" max="63" width="10.83203125" style="12"/>
  </cols>
  <sheetData>
    <row r="1" spans="1:93" ht="16" customHeight="1">
      <c r="B1" s="10"/>
      <c r="D1" s="677" t="s">
        <v>951</v>
      </c>
      <c r="E1" s="677"/>
      <c r="F1" s="677"/>
      <c r="G1" s="677"/>
      <c r="H1" s="677"/>
      <c r="I1" s="677"/>
      <c r="J1" s="677"/>
      <c r="K1" s="677"/>
      <c r="L1" s="677"/>
      <c r="M1" s="677"/>
      <c r="N1" s="677"/>
      <c r="O1" s="677"/>
      <c r="P1" s="677"/>
      <c r="Q1" s="677"/>
      <c r="R1" s="675" t="s">
        <v>952</v>
      </c>
      <c r="S1" s="675"/>
      <c r="T1" s="675"/>
      <c r="U1" s="675"/>
      <c r="V1" s="675"/>
      <c r="W1" s="675"/>
      <c r="X1" s="675"/>
      <c r="Y1" s="675"/>
      <c r="Z1" s="675"/>
      <c r="AA1" s="675"/>
      <c r="AB1" s="675"/>
      <c r="AC1" s="675"/>
      <c r="AD1" s="675"/>
      <c r="AE1" s="675"/>
      <c r="AF1" s="676" t="s">
        <v>953</v>
      </c>
      <c r="AG1" s="676"/>
      <c r="AH1" s="676"/>
      <c r="AI1" s="676"/>
      <c r="AJ1" s="676"/>
      <c r="AK1" s="676"/>
      <c r="AL1" s="676"/>
      <c r="AM1" s="676"/>
      <c r="AN1" s="676"/>
      <c r="AO1" s="676"/>
      <c r="AP1" s="676"/>
      <c r="AQ1" s="676"/>
      <c r="AR1" s="676"/>
      <c r="AS1" s="676"/>
      <c r="AT1" s="680" t="s">
        <v>954</v>
      </c>
      <c r="AU1" s="680"/>
      <c r="AV1" s="680"/>
      <c r="AW1" s="680"/>
      <c r="AX1" s="680"/>
      <c r="AY1" s="680"/>
      <c r="AZ1" s="680"/>
      <c r="BA1" s="680"/>
      <c r="BB1" s="680"/>
      <c r="BC1" s="680"/>
      <c r="BD1" s="680"/>
      <c r="BE1" s="680"/>
      <c r="BF1" s="680"/>
      <c r="BG1" s="680"/>
      <c r="BH1" s="27"/>
      <c r="BI1" s="27"/>
      <c r="BJ1" s="27"/>
      <c r="BN1" s="12"/>
      <c r="BP1" t="s">
        <v>102</v>
      </c>
      <c r="BS1" s="27"/>
    </row>
    <row r="2" spans="1:93" ht="31">
      <c r="A2" s="214" t="s">
        <v>10</v>
      </c>
      <c r="B2" s="214" t="s">
        <v>0</v>
      </c>
      <c r="C2" s="13" t="s">
        <v>1562</v>
      </c>
      <c r="D2" s="241" t="s">
        <v>2</v>
      </c>
      <c r="E2" s="241" t="s">
        <v>4</v>
      </c>
      <c r="F2" s="241" t="s">
        <v>3</v>
      </c>
      <c r="G2" s="23" t="s">
        <v>94</v>
      </c>
      <c r="H2" s="23" t="s">
        <v>921</v>
      </c>
      <c r="I2" s="241" t="s">
        <v>2</v>
      </c>
      <c r="J2" s="241" t="s">
        <v>4</v>
      </c>
      <c r="K2" s="241" t="s">
        <v>3</v>
      </c>
      <c r="L2" s="241" t="s">
        <v>2</v>
      </c>
      <c r="M2" s="241" t="s">
        <v>4</v>
      </c>
      <c r="N2" s="241" t="s">
        <v>3</v>
      </c>
      <c r="O2" s="241" t="s">
        <v>2</v>
      </c>
      <c r="P2" s="241" t="s">
        <v>4</v>
      </c>
      <c r="Q2" s="241" t="s">
        <v>3</v>
      </c>
      <c r="R2" s="239" t="s">
        <v>2</v>
      </c>
      <c r="S2" s="239" t="s">
        <v>4</v>
      </c>
      <c r="T2" s="239" t="s">
        <v>3</v>
      </c>
      <c r="U2" s="19" t="s">
        <v>92</v>
      </c>
      <c r="V2" s="19" t="s">
        <v>929</v>
      </c>
      <c r="W2" s="239" t="s">
        <v>2</v>
      </c>
      <c r="X2" s="239" t="s">
        <v>4</v>
      </c>
      <c r="Y2" s="239" t="s">
        <v>3</v>
      </c>
      <c r="Z2" s="239" t="s">
        <v>2</v>
      </c>
      <c r="AA2" s="239" t="s">
        <v>4</v>
      </c>
      <c r="AB2" s="239" t="s">
        <v>3</v>
      </c>
      <c r="AC2" s="239" t="s">
        <v>2</v>
      </c>
      <c r="AD2" s="239" t="s">
        <v>4</v>
      </c>
      <c r="AE2" s="239" t="s">
        <v>3</v>
      </c>
      <c r="AF2" s="240" t="s">
        <v>2</v>
      </c>
      <c r="AG2" s="240" t="s">
        <v>4</v>
      </c>
      <c r="AH2" s="240" t="s">
        <v>3</v>
      </c>
      <c r="AI2" s="16" t="s">
        <v>93</v>
      </c>
      <c r="AJ2" s="16" t="s">
        <v>929</v>
      </c>
      <c r="AK2" s="240" t="s">
        <v>2</v>
      </c>
      <c r="AL2" s="240" t="s">
        <v>4</v>
      </c>
      <c r="AM2" s="240" t="s">
        <v>3</v>
      </c>
      <c r="AN2" s="240" t="s">
        <v>2</v>
      </c>
      <c r="AO2" s="240" t="s">
        <v>4</v>
      </c>
      <c r="AP2" s="240" t="s">
        <v>3</v>
      </c>
      <c r="AQ2" s="240" t="s">
        <v>2</v>
      </c>
      <c r="AR2" s="240" t="s">
        <v>4</v>
      </c>
      <c r="AS2" s="240" t="s">
        <v>3</v>
      </c>
      <c r="AT2" s="262" t="s">
        <v>2</v>
      </c>
      <c r="AU2" s="262" t="s">
        <v>4</v>
      </c>
      <c r="AV2" s="262" t="s">
        <v>3</v>
      </c>
      <c r="AW2" s="263" t="s">
        <v>78</v>
      </c>
      <c r="AX2" s="263" t="s">
        <v>925</v>
      </c>
      <c r="AY2" s="262" t="s">
        <v>2</v>
      </c>
      <c r="AZ2" s="262" t="s">
        <v>4</v>
      </c>
      <c r="BA2" s="262" t="s">
        <v>3</v>
      </c>
      <c r="BB2" s="262" t="s">
        <v>2</v>
      </c>
      <c r="BC2" s="262" t="s">
        <v>4</v>
      </c>
      <c r="BD2" s="262" t="s">
        <v>3</v>
      </c>
      <c r="BE2" s="262" t="s">
        <v>2</v>
      </c>
      <c r="BF2" s="262" t="s">
        <v>4</v>
      </c>
      <c r="BG2" s="262" t="s">
        <v>3</v>
      </c>
      <c r="BI2" s="272" t="s">
        <v>998</v>
      </c>
      <c r="BJ2" s="273" t="s">
        <v>999</v>
      </c>
      <c r="BK2" s="28" t="s">
        <v>1187</v>
      </c>
      <c r="BL2" t="s">
        <v>99</v>
      </c>
      <c r="BM2" t="s">
        <v>100</v>
      </c>
      <c r="BN2" t="s">
        <v>101</v>
      </c>
      <c r="BO2" t="s">
        <v>103</v>
      </c>
      <c r="BS2" t="s">
        <v>1555</v>
      </c>
    </row>
    <row r="3" spans="1:93">
      <c r="A3" t="s">
        <v>947</v>
      </c>
      <c r="B3" s="14">
        <v>44589</v>
      </c>
      <c r="C3" s="12">
        <v>45.216666666666669</v>
      </c>
      <c r="D3" s="4">
        <v>4.4050000000000002</v>
      </c>
      <c r="E3" s="4">
        <v>1.5430999999999999</v>
      </c>
      <c r="F3" s="4">
        <v>2.4239000000000002</v>
      </c>
      <c r="G3" s="212">
        <f>(E3-0.2666)/3.15</f>
        <v>0.40523809523809523</v>
      </c>
      <c r="H3" s="4">
        <v>1.0205</v>
      </c>
      <c r="I3" s="4">
        <v>6.3949999999999996</v>
      </c>
      <c r="J3" s="4">
        <v>9.8221000000000007</v>
      </c>
      <c r="K3" s="4">
        <v>54.796999999999997</v>
      </c>
      <c r="L3" s="4">
        <v>10.528</v>
      </c>
      <c r="M3" s="4">
        <v>2.0095999999999998</v>
      </c>
      <c r="N3" s="4">
        <v>7.2984</v>
      </c>
      <c r="O3" s="4" t="s">
        <v>959</v>
      </c>
      <c r="P3" s="4" t="s">
        <v>960</v>
      </c>
      <c r="Q3" s="4" t="s">
        <v>961</v>
      </c>
      <c r="R3" s="1">
        <v>4.4379999999999997</v>
      </c>
      <c r="S3" s="1">
        <v>14.4101</v>
      </c>
      <c r="T3" s="1">
        <v>33.177100000000003</v>
      </c>
      <c r="U3" s="212">
        <f>(S3-0.2666)/3.15</f>
        <v>4.49</v>
      </c>
      <c r="V3" s="1">
        <v>5.8563000000000001</v>
      </c>
      <c r="W3" s="1">
        <v>6.4180000000000001</v>
      </c>
      <c r="X3" s="1">
        <v>9.8772000000000002</v>
      </c>
      <c r="Y3" s="1">
        <v>44.450699999999998</v>
      </c>
      <c r="Z3" s="1">
        <v>10.528</v>
      </c>
      <c r="AA3" s="1">
        <v>1.2359</v>
      </c>
      <c r="AB3" s="1">
        <v>4.4145000000000003</v>
      </c>
      <c r="AC3" s="1">
        <v>17.364000000000001</v>
      </c>
      <c r="AD3" s="1">
        <v>1.7736000000000001</v>
      </c>
      <c r="AE3" s="1">
        <v>3.6823999999999999</v>
      </c>
      <c r="AF3" s="2">
        <v>4.4379999999999997</v>
      </c>
      <c r="AG3" s="2">
        <v>14.058400000000001</v>
      </c>
      <c r="AH3" s="2">
        <v>32.617400000000004</v>
      </c>
      <c r="AI3" s="212">
        <f>(AG3-0.2666)/3.15</f>
        <v>4.3783492063492062</v>
      </c>
      <c r="AJ3" s="2">
        <v>5.7241</v>
      </c>
      <c r="AK3" s="2" t="s">
        <v>962</v>
      </c>
      <c r="AL3" s="2" t="s">
        <v>963</v>
      </c>
      <c r="AM3" s="2" t="s">
        <v>964</v>
      </c>
      <c r="AN3" s="2">
        <v>10.528</v>
      </c>
      <c r="AO3" s="2">
        <v>1.1878</v>
      </c>
      <c r="AP3" s="2">
        <v>4.2249999999999996</v>
      </c>
      <c r="AQ3" s="2">
        <v>17.367999999999999</v>
      </c>
      <c r="AR3" s="2">
        <v>1.7373000000000001</v>
      </c>
      <c r="AS3" s="2">
        <v>3.5924</v>
      </c>
      <c r="AT3" s="264">
        <v>4.4379999999999997</v>
      </c>
      <c r="AU3" s="264">
        <v>14.2111</v>
      </c>
      <c r="AV3" s="264">
        <v>32.0182</v>
      </c>
      <c r="AW3" s="212">
        <f>(AU3-0.2666)/3.15</f>
        <v>4.4268253968253966</v>
      </c>
      <c r="AX3" s="264">
        <v>5.7815000000000003</v>
      </c>
      <c r="AY3" s="264">
        <v>6.3840000000000003</v>
      </c>
      <c r="AZ3" s="264">
        <v>1.0086999999999999</v>
      </c>
      <c r="BA3" s="264">
        <v>4.4283999999999999</v>
      </c>
      <c r="BB3" s="264">
        <v>10.528</v>
      </c>
      <c r="BC3" s="264">
        <v>1.0247999999999999</v>
      </c>
      <c r="BD3" s="264">
        <v>3.6436000000000002</v>
      </c>
      <c r="BE3" s="264">
        <v>17.364000000000001</v>
      </c>
      <c r="BF3" s="264">
        <v>1.7798</v>
      </c>
      <c r="BG3" s="264">
        <v>3.6949999999999998</v>
      </c>
      <c r="BI3" s="12">
        <f>U3</f>
        <v>4.49</v>
      </c>
      <c r="BJ3" s="12">
        <f>AI3</f>
        <v>4.3783492063492062</v>
      </c>
      <c r="BK3" s="12">
        <f>(U3+AI3)/2</f>
        <v>4.4341746031746032</v>
      </c>
      <c r="BL3">
        <f>STDEV(BI3:BJ3)</f>
        <v>7.8949033315336356E-2</v>
      </c>
      <c r="BM3">
        <v>2</v>
      </c>
      <c r="BN3">
        <v>4.3</v>
      </c>
      <c r="BO3" s="12">
        <f>(BN3*BL3)/SQRT(BM3)</f>
        <v>0.24004920634920704</v>
      </c>
      <c r="BS3">
        <f>((AW3-U3)+(AW3-AI3))/2</f>
        <v>-7.3492063492066606E-3</v>
      </c>
      <c r="CI3" t="s">
        <v>1014</v>
      </c>
      <c r="CJ3" s="14">
        <v>44587</v>
      </c>
      <c r="CK3" s="260">
        <v>0.64722222222222225</v>
      </c>
    </row>
    <row r="4" spans="1:93">
      <c r="A4" t="s">
        <v>947</v>
      </c>
      <c r="B4" s="14">
        <v>44594</v>
      </c>
      <c r="C4" s="12">
        <v>162.96666666666667</v>
      </c>
      <c r="D4" s="4">
        <v>4.4109999999999996</v>
      </c>
      <c r="E4" s="4">
        <v>2.0318999999999998</v>
      </c>
      <c r="F4" s="4">
        <v>4.7648000000000001</v>
      </c>
      <c r="G4" s="212">
        <f>(E4-0.2666)/3.15</f>
        <v>0.56041269841269836</v>
      </c>
      <c r="H4" s="4">
        <v>1.2041999999999999</v>
      </c>
      <c r="I4" s="4">
        <v>6.524</v>
      </c>
      <c r="J4" s="4">
        <v>60.375399999999999</v>
      </c>
      <c r="K4" s="4">
        <v>280.52100000000002</v>
      </c>
      <c r="L4" s="4">
        <v>10.534000000000001</v>
      </c>
      <c r="M4" s="4">
        <v>2.0922000000000001</v>
      </c>
      <c r="N4" s="4">
        <v>7.6169000000000002</v>
      </c>
      <c r="O4" s="4" t="s">
        <v>977</v>
      </c>
      <c r="P4" s="4" t="s">
        <v>978</v>
      </c>
      <c r="Q4" s="4" t="s">
        <v>979</v>
      </c>
      <c r="R4" s="1">
        <v>4.4240000000000004</v>
      </c>
      <c r="S4" s="1">
        <v>13.558299999999999</v>
      </c>
      <c r="T4" s="1">
        <v>35.628300000000003</v>
      </c>
      <c r="U4" s="212">
        <f>(S4-0.2666)/3.15</f>
        <v>4.2195873015873016</v>
      </c>
      <c r="V4" s="1">
        <v>5.5361000000000002</v>
      </c>
      <c r="W4" s="1">
        <v>6.5110000000000001</v>
      </c>
      <c r="X4" s="1">
        <v>59.642600000000002</v>
      </c>
      <c r="Y4" s="1">
        <v>276.22559999999999</v>
      </c>
      <c r="Z4" s="1">
        <v>10.528</v>
      </c>
      <c r="AA4" s="1">
        <v>2.0089000000000001</v>
      </c>
      <c r="AB4" s="1">
        <v>7.1885000000000003</v>
      </c>
      <c r="AC4" s="1">
        <v>17.358000000000001</v>
      </c>
      <c r="AD4" s="1">
        <v>1.8549</v>
      </c>
      <c r="AE4" s="1">
        <v>3.8569</v>
      </c>
      <c r="AF4" s="2">
        <v>4.4249999999999998</v>
      </c>
      <c r="AG4" s="2">
        <v>13.7028</v>
      </c>
      <c r="AH4" s="2">
        <v>36.363799999999998</v>
      </c>
      <c r="AI4" s="212">
        <f>(AG4-0.2666)/3.15</f>
        <v>4.2654603174603176</v>
      </c>
      <c r="AJ4" s="2">
        <v>5.5903999999999998</v>
      </c>
      <c r="AK4" s="2" t="s">
        <v>980</v>
      </c>
      <c r="AL4" s="2" t="s">
        <v>981</v>
      </c>
      <c r="AM4" s="2" t="s">
        <v>982</v>
      </c>
      <c r="AN4" s="2">
        <v>10.528</v>
      </c>
      <c r="AO4" s="2">
        <v>2.0087000000000002</v>
      </c>
      <c r="AP4" s="2">
        <v>7.1755000000000004</v>
      </c>
      <c r="AQ4" s="2">
        <v>17.361000000000001</v>
      </c>
      <c r="AR4" s="2">
        <v>1.7376</v>
      </c>
      <c r="AS4" s="2">
        <v>3.6181999999999999</v>
      </c>
      <c r="AT4" s="264">
        <v>4.4210000000000003</v>
      </c>
      <c r="AU4" s="264">
        <v>13.694599999999999</v>
      </c>
      <c r="AV4" s="264">
        <v>34.2637</v>
      </c>
      <c r="AW4" s="212">
        <f>(AU4-0.2666)/3.15</f>
        <v>4.2628571428571425</v>
      </c>
      <c r="AX4" s="264">
        <v>5.5873999999999997</v>
      </c>
      <c r="AY4" s="264">
        <v>6.3680000000000003</v>
      </c>
      <c r="AZ4" s="264">
        <v>0.69799999999999995</v>
      </c>
      <c r="BA4" s="264">
        <v>3.4681999999999999</v>
      </c>
      <c r="BB4" s="264">
        <v>10.515000000000001</v>
      </c>
      <c r="BC4" s="264">
        <v>2.1905000000000001</v>
      </c>
      <c r="BD4" s="264">
        <v>7.9305000000000003</v>
      </c>
      <c r="BE4" s="264">
        <v>17.344999999999999</v>
      </c>
      <c r="BF4" s="264">
        <v>1.4266000000000001</v>
      </c>
      <c r="BG4" s="264">
        <v>2.9598</v>
      </c>
      <c r="BI4" s="12">
        <f t="shared" ref="BI4:BI9" si="0">U4</f>
        <v>4.2195873015873016</v>
      </c>
      <c r="BJ4" s="12">
        <f t="shared" ref="BJ4:BJ9" si="1">AI4</f>
        <v>4.2654603174603176</v>
      </c>
      <c r="BK4" s="12">
        <f t="shared" ref="BK4:BK9" si="2">(U4+AI4)/2</f>
        <v>4.24252380952381</v>
      </c>
      <c r="BL4">
        <f t="shared" ref="BL4:BL9" si="3">STDEV(BI4:BJ4)</f>
        <v>3.2437120597287789E-2</v>
      </c>
      <c r="BM4">
        <v>2</v>
      </c>
      <c r="BN4">
        <v>4.3</v>
      </c>
      <c r="BO4" s="12">
        <f t="shared" ref="BO4:BO9" si="4">(BN4*BL4)/SQRT(BM4)</f>
        <v>9.8626984126984521E-2</v>
      </c>
      <c r="BS4">
        <f t="shared" ref="BS4:BS15" si="5">((AW4-U4)+(AW4-AI4))/2</f>
        <v>2.033333333333287E-2</v>
      </c>
      <c r="CH4" t="s">
        <v>160</v>
      </c>
      <c r="CI4" t="s">
        <v>1</v>
      </c>
      <c r="CJ4" t="s">
        <v>140</v>
      </c>
      <c r="CK4" t="s">
        <v>191</v>
      </c>
      <c r="CL4" t="s">
        <v>192</v>
      </c>
      <c r="CM4" t="s">
        <v>194</v>
      </c>
      <c r="CN4" t="s">
        <v>196</v>
      </c>
      <c r="CO4" t="s">
        <v>197</v>
      </c>
    </row>
    <row r="5" spans="1:93">
      <c r="A5" t="s">
        <v>1025</v>
      </c>
      <c r="B5" s="14">
        <v>44596</v>
      </c>
      <c r="C5" s="12">
        <v>210.7</v>
      </c>
      <c r="D5" s="4">
        <v>4.4080000000000004</v>
      </c>
      <c r="E5" s="4">
        <v>2.1711</v>
      </c>
      <c r="F5" s="4">
        <v>3.6949000000000001</v>
      </c>
      <c r="G5" s="212">
        <f>(E5+0.247)/3.2403</f>
        <v>0.74625806252507487</v>
      </c>
      <c r="H5" s="4">
        <v>1.2565999999999999</v>
      </c>
      <c r="I5" s="4">
        <v>6.4509999999999996</v>
      </c>
      <c r="J5" s="4">
        <v>35.997999999999998</v>
      </c>
      <c r="K5" s="4">
        <v>184.15469999999999</v>
      </c>
      <c r="L5" s="4">
        <v>10.414</v>
      </c>
      <c r="M5" s="4">
        <v>1.4302999999999999</v>
      </c>
      <c r="N5" s="4">
        <v>5.3730000000000002</v>
      </c>
      <c r="O5" s="4" t="s">
        <v>1026</v>
      </c>
      <c r="P5" s="4" t="s">
        <v>1027</v>
      </c>
      <c r="Q5" s="4" t="s">
        <v>1028</v>
      </c>
      <c r="R5" s="1">
        <v>4.4210000000000003</v>
      </c>
      <c r="S5" s="1">
        <v>13.7599</v>
      </c>
      <c r="T5" s="1">
        <v>35.738399999999999</v>
      </c>
      <c r="U5" s="212">
        <f>(S5+0.247)/3.2403</f>
        <v>4.3227170323735455</v>
      </c>
      <c r="V5" s="1">
        <v>5.6119000000000003</v>
      </c>
      <c r="W5" s="1">
        <v>6.444</v>
      </c>
      <c r="X5" s="1">
        <v>36.584499999999998</v>
      </c>
      <c r="Y5" s="1">
        <v>186.15260000000001</v>
      </c>
      <c r="Z5" s="1">
        <v>10.407999999999999</v>
      </c>
      <c r="AA5" s="1">
        <v>1.4595</v>
      </c>
      <c r="AB5" s="1">
        <v>5.4132999999999996</v>
      </c>
      <c r="AC5" s="1">
        <v>17.094000000000001</v>
      </c>
      <c r="AD5" s="1">
        <v>1.7572000000000001</v>
      </c>
      <c r="AE5" s="1">
        <v>3.7385999999999999</v>
      </c>
      <c r="AF5" s="2">
        <v>4.4210000000000003</v>
      </c>
      <c r="AG5" s="2">
        <v>13.415699999999999</v>
      </c>
      <c r="AH5" s="2">
        <v>35.026499999999999</v>
      </c>
      <c r="AI5" s="212">
        <f>(AG5+0.247)/3.2403</f>
        <v>4.2164923000956698</v>
      </c>
      <c r="AJ5" s="2">
        <v>5.4825999999999997</v>
      </c>
      <c r="AK5" s="2">
        <v>6.444</v>
      </c>
      <c r="AL5" s="2">
        <v>36.403199999999998</v>
      </c>
      <c r="AM5" s="2">
        <v>183.74549999999999</v>
      </c>
      <c r="AN5" s="2">
        <v>10.411</v>
      </c>
      <c r="AO5" s="2">
        <v>1.472</v>
      </c>
      <c r="AP5" s="2">
        <v>5.4608999999999996</v>
      </c>
      <c r="AQ5" s="2">
        <v>17.097999999999999</v>
      </c>
      <c r="AR5" s="2">
        <v>1.7011000000000001</v>
      </c>
      <c r="AS5" s="2">
        <v>3.6185999999999998</v>
      </c>
      <c r="AT5" s="264">
        <v>4.4180000000000001</v>
      </c>
      <c r="AU5" s="264">
        <v>13.735300000000001</v>
      </c>
      <c r="AV5" s="264">
        <v>33.012099999999997</v>
      </c>
      <c r="AW5" s="212">
        <f>(AU5+0.247)/3.2403</f>
        <v>4.3151251427336978</v>
      </c>
      <c r="AX5" s="264">
        <v>5.6026999999999996</v>
      </c>
      <c r="AY5" s="264">
        <v>6.3479999999999999</v>
      </c>
      <c r="AZ5" s="264">
        <v>0.83009999999999995</v>
      </c>
      <c r="BA5" s="264">
        <v>3.9611999999999998</v>
      </c>
      <c r="BB5" s="264">
        <v>10.401</v>
      </c>
      <c r="BC5" s="264">
        <v>1.9426000000000001</v>
      </c>
      <c r="BD5" s="264">
        <v>7.2850000000000001</v>
      </c>
      <c r="BE5" s="264">
        <v>17.088000000000001</v>
      </c>
      <c r="BF5" s="264">
        <v>1.4569000000000001</v>
      </c>
      <c r="BG5" s="264">
        <v>3.0897000000000001</v>
      </c>
      <c r="BI5" s="12">
        <f t="shared" si="0"/>
        <v>4.3227170323735455</v>
      </c>
      <c r="BJ5" s="12">
        <f t="shared" si="1"/>
        <v>4.2164923000956698</v>
      </c>
      <c r="BK5" s="12">
        <f t="shared" si="2"/>
        <v>4.2696046662346081</v>
      </c>
      <c r="BL5">
        <f t="shared" si="3"/>
        <v>7.5112228523411484E-2</v>
      </c>
      <c r="BM5">
        <v>2</v>
      </c>
      <c r="BN5">
        <v>4.3</v>
      </c>
      <c r="BO5" s="12">
        <f t="shared" si="4"/>
        <v>0.22838317439743286</v>
      </c>
      <c r="BS5">
        <f t="shared" si="5"/>
        <v>4.552047649909019E-2</v>
      </c>
      <c r="CG5" t="s">
        <v>1006</v>
      </c>
      <c r="CH5" s="37">
        <v>44589</v>
      </c>
      <c r="CI5" s="32">
        <v>0.53125</v>
      </c>
      <c r="CJ5">
        <f>(24*2)-3</f>
        <v>45</v>
      </c>
      <c r="CK5">
        <f>45-32</f>
        <v>13</v>
      </c>
      <c r="CL5">
        <f t="shared" ref="CL5" si="6">(CJ5*60)+CK5</f>
        <v>2713</v>
      </c>
      <c r="CM5">
        <f t="shared" ref="CM5" si="7">CL5/60</f>
        <v>45.216666666666669</v>
      </c>
      <c r="CN5">
        <f t="shared" ref="CN5" si="8">(CM5-CO5)*60</f>
        <v>13.000000000000114</v>
      </c>
      <c r="CO5">
        <v>45</v>
      </c>
    </row>
    <row r="6" spans="1:93">
      <c r="A6" t="s">
        <v>1025</v>
      </c>
      <c r="B6" s="14">
        <v>44601</v>
      </c>
      <c r="C6" s="12">
        <v>330.61666666666667</v>
      </c>
      <c r="D6" s="4">
        <v>4.4210000000000003</v>
      </c>
      <c r="E6" s="4">
        <v>3.7277999999999998</v>
      </c>
      <c r="F6" s="4">
        <v>8.2413000000000007</v>
      </c>
      <c r="G6" s="212">
        <f t="shared" ref="G6:G7" si="9">(E6+0.247)/3.2403</f>
        <v>1.2266765422954664</v>
      </c>
      <c r="H6" s="4">
        <v>1.8415999999999999</v>
      </c>
      <c r="I6" s="4">
        <v>6.4409999999999998</v>
      </c>
      <c r="J6" s="4">
        <v>23.2544</v>
      </c>
      <c r="K6" s="4">
        <v>129.5487</v>
      </c>
      <c r="L6" s="4">
        <v>10.420999999999999</v>
      </c>
      <c r="M6" s="4">
        <v>0.71109999999999995</v>
      </c>
      <c r="N6" s="4">
        <v>2.6463999999999999</v>
      </c>
      <c r="O6" s="4" t="s">
        <v>1038</v>
      </c>
      <c r="P6" s="4" t="s">
        <v>1039</v>
      </c>
      <c r="Q6" s="4" t="s">
        <v>1040</v>
      </c>
      <c r="R6" s="1">
        <v>4.4180000000000001</v>
      </c>
      <c r="S6" s="1">
        <v>15.142899999999999</v>
      </c>
      <c r="T6" s="1">
        <v>42.167700000000004</v>
      </c>
      <c r="U6" s="212">
        <f t="shared" ref="U6:U7" si="10">(S6+0.247)/3.2403</f>
        <v>4.7495293645650092</v>
      </c>
      <c r="V6" s="1">
        <v>6.1317000000000004</v>
      </c>
      <c r="W6" s="1">
        <v>6.4880000000000004</v>
      </c>
      <c r="X6" s="1">
        <v>61.801400000000001</v>
      </c>
      <c r="Y6" s="1">
        <v>298.08949999999999</v>
      </c>
      <c r="Z6" s="1">
        <v>10.417999999999999</v>
      </c>
      <c r="AA6" s="1">
        <v>1.6556</v>
      </c>
      <c r="AB6" s="1">
        <v>6.0849000000000002</v>
      </c>
      <c r="AC6" s="1">
        <v>17.103999999999999</v>
      </c>
      <c r="AD6" s="1">
        <v>2.0207000000000002</v>
      </c>
      <c r="AE6" s="1">
        <v>4.2923</v>
      </c>
      <c r="AF6" s="2">
        <v>4.4139999999999997</v>
      </c>
      <c r="AG6" s="2">
        <v>14.931699999999999</v>
      </c>
      <c r="AH6" s="2">
        <v>41.952399999999997</v>
      </c>
      <c r="AI6" s="212">
        <f t="shared" ref="AI6:AI7" si="11">(AG6+0.247)/3.2403</f>
        <v>4.6843502144863125</v>
      </c>
      <c r="AJ6" s="2">
        <v>6.0522999999999998</v>
      </c>
      <c r="AK6" s="2">
        <v>6.484</v>
      </c>
      <c r="AL6" s="2">
        <v>62.304400000000001</v>
      </c>
      <c r="AM6" s="2">
        <v>298.53410000000002</v>
      </c>
      <c r="AN6" s="2">
        <v>10.414</v>
      </c>
      <c r="AO6" s="2">
        <v>1.6389</v>
      </c>
      <c r="AP6" s="2">
        <v>6.0205000000000002</v>
      </c>
      <c r="AQ6" s="2">
        <v>17.097999999999999</v>
      </c>
      <c r="AR6" s="2">
        <v>1.8502000000000001</v>
      </c>
      <c r="AS6" s="2">
        <v>3.9281999999999999</v>
      </c>
      <c r="AT6" s="264">
        <v>4.4080000000000004</v>
      </c>
      <c r="AU6" s="264">
        <v>13.549899999999999</v>
      </c>
      <c r="AV6" s="264">
        <v>35.359699999999997</v>
      </c>
      <c r="AW6" s="212">
        <f t="shared" ref="AW6:AW7" si="12">(AU6+0.247)/3.2403</f>
        <v>4.2579082183748413</v>
      </c>
      <c r="AX6" s="264">
        <v>5.5330000000000004</v>
      </c>
      <c r="AY6" s="264">
        <v>6.3410000000000002</v>
      </c>
      <c r="AZ6" s="264">
        <v>0.99470000000000003</v>
      </c>
      <c r="BA6" s="264">
        <v>4.9321000000000002</v>
      </c>
      <c r="BB6" s="264">
        <v>10.398</v>
      </c>
      <c r="BC6" s="264">
        <v>2.5207000000000002</v>
      </c>
      <c r="BD6" s="264">
        <v>9.4949999999999992</v>
      </c>
      <c r="BE6" s="264">
        <v>17.085000000000001</v>
      </c>
      <c r="BF6" s="264">
        <v>1.4059999999999999</v>
      </c>
      <c r="BG6" s="264">
        <v>2.9773000000000001</v>
      </c>
      <c r="BI6" s="12">
        <f t="shared" si="0"/>
        <v>4.7495293645650092</v>
      </c>
      <c r="BJ6" s="12">
        <f t="shared" si="1"/>
        <v>4.6843502144863125</v>
      </c>
      <c r="BK6" s="12">
        <f t="shared" si="2"/>
        <v>4.7169397895256608</v>
      </c>
      <c r="BL6">
        <f t="shared" si="3"/>
        <v>4.6088619012622116E-2</v>
      </c>
      <c r="BM6">
        <v>2</v>
      </c>
      <c r="BN6">
        <v>4.3</v>
      </c>
      <c r="BO6" s="12">
        <f t="shared" si="4"/>
        <v>0.14013517266919784</v>
      </c>
      <c r="BS6">
        <f t="shared" si="5"/>
        <v>-0.4590315711508195</v>
      </c>
      <c r="CG6" t="s">
        <v>1007</v>
      </c>
      <c r="CH6" s="37">
        <v>44594</v>
      </c>
      <c r="CI6" s="32">
        <v>0.4375</v>
      </c>
      <c r="CJ6">
        <f>CM5+(24*5)-2</f>
        <v>163.21666666666667</v>
      </c>
      <c r="CK6">
        <v>-15</v>
      </c>
      <c r="CL6">
        <f t="shared" ref="CL6:CL10" si="13">(CJ6*60)+CK6</f>
        <v>9778</v>
      </c>
      <c r="CM6">
        <f t="shared" ref="CM6:CM10" si="14">CL6/60</f>
        <v>162.96666666666667</v>
      </c>
      <c r="CN6">
        <f t="shared" ref="CN6:CN10" si="15">(CM6-CO6)*60</f>
        <v>58.000000000000114</v>
      </c>
      <c r="CO6">
        <v>162</v>
      </c>
    </row>
    <row r="7" spans="1:93">
      <c r="A7" t="s">
        <v>1025</v>
      </c>
      <c r="B7" s="14">
        <v>44606</v>
      </c>
      <c r="C7" s="12">
        <v>450.9</v>
      </c>
      <c r="D7" s="4">
        <v>4.391</v>
      </c>
      <c r="E7" s="4">
        <v>1.6871</v>
      </c>
      <c r="F7" s="4">
        <v>3.3793000000000002</v>
      </c>
      <c r="G7" s="212">
        <f t="shared" si="9"/>
        <v>0.5968891769280622</v>
      </c>
      <c r="H7" s="4">
        <v>1.0747</v>
      </c>
      <c r="I7" s="4">
        <v>6.4409999999999998</v>
      </c>
      <c r="J7" s="4">
        <v>32.549399999999999</v>
      </c>
      <c r="K7" s="4">
        <v>165.16640000000001</v>
      </c>
      <c r="L7" s="4">
        <v>10.411</v>
      </c>
      <c r="M7" s="4">
        <v>1.9826999999999999</v>
      </c>
      <c r="N7" s="4">
        <v>7.4507000000000003</v>
      </c>
      <c r="O7" s="4" t="s">
        <v>1047</v>
      </c>
      <c r="P7" s="4" t="s">
        <v>1048</v>
      </c>
      <c r="Q7" s="4" t="s">
        <v>1049</v>
      </c>
      <c r="R7" s="1">
        <v>4.4039999999999999</v>
      </c>
      <c r="S7" s="1">
        <v>16.169599999999999</v>
      </c>
      <c r="T7" s="1">
        <v>47.013199999999998</v>
      </c>
      <c r="U7" s="212">
        <f t="shared" si="10"/>
        <v>5.0663827423386723</v>
      </c>
      <c r="V7" s="1">
        <v>6.5175000000000001</v>
      </c>
      <c r="W7" s="1" t="s">
        <v>1050</v>
      </c>
      <c r="X7" s="1" t="s">
        <v>1051</v>
      </c>
      <c r="Y7" s="1" t="s">
        <v>1052</v>
      </c>
      <c r="Z7" s="1">
        <v>10.411</v>
      </c>
      <c r="AA7" s="1">
        <v>0.68799999999999994</v>
      </c>
      <c r="AB7" s="1">
        <v>2.4851000000000001</v>
      </c>
      <c r="AC7" s="1">
        <v>17.071000000000002</v>
      </c>
      <c r="AD7" s="1">
        <v>4.7114000000000003</v>
      </c>
      <c r="AE7" s="1">
        <v>10.1653</v>
      </c>
      <c r="AF7" s="2">
        <v>4.4009999999999998</v>
      </c>
      <c r="AG7" s="2">
        <v>15.3782</v>
      </c>
      <c r="AH7" s="2">
        <v>45.281199999999998</v>
      </c>
      <c r="AI7" s="212">
        <f t="shared" si="11"/>
        <v>4.8221460975835573</v>
      </c>
      <c r="AJ7" s="2">
        <v>6.2201000000000004</v>
      </c>
      <c r="AK7" s="2">
        <v>6.4349999999999996</v>
      </c>
      <c r="AL7" s="2">
        <v>31.690200000000001</v>
      </c>
      <c r="AM7" s="2">
        <v>165.60120000000001</v>
      </c>
      <c r="AN7" s="2">
        <v>10.398</v>
      </c>
      <c r="AO7" s="2">
        <v>2.1764000000000001</v>
      </c>
      <c r="AP7" s="2">
        <v>8.0825999999999993</v>
      </c>
      <c r="AQ7" s="2">
        <v>17.071000000000002</v>
      </c>
      <c r="AR7" s="2">
        <v>2.9062000000000001</v>
      </c>
      <c r="AS7" s="2">
        <v>6.2137000000000002</v>
      </c>
      <c r="AT7" s="264">
        <v>4.3979999999999997</v>
      </c>
      <c r="AU7" s="264">
        <v>13.332000000000001</v>
      </c>
      <c r="AV7" s="264">
        <v>37.559899999999999</v>
      </c>
      <c r="AW7" s="212">
        <f t="shared" si="12"/>
        <v>4.1906613585161869</v>
      </c>
      <c r="AX7" s="264">
        <v>5.4511000000000003</v>
      </c>
      <c r="AY7" s="264">
        <v>6.3479999999999999</v>
      </c>
      <c r="AZ7" s="264">
        <v>1.0961000000000001</v>
      </c>
      <c r="BA7" s="264">
        <v>5.2487000000000004</v>
      </c>
      <c r="BB7" s="264">
        <v>10.391</v>
      </c>
      <c r="BC7" s="264">
        <v>2.6791</v>
      </c>
      <c r="BD7" s="264">
        <v>10.065899999999999</v>
      </c>
      <c r="BE7" s="264">
        <v>17.065000000000001</v>
      </c>
      <c r="BF7" s="264">
        <v>1.9531000000000001</v>
      </c>
      <c r="BG7" s="264">
        <v>4.1473000000000004</v>
      </c>
      <c r="BI7" s="12">
        <f t="shared" si="0"/>
        <v>5.0663827423386723</v>
      </c>
      <c r="BJ7" s="12">
        <f t="shared" si="1"/>
        <v>4.8221460975835573</v>
      </c>
      <c r="BK7" s="12">
        <f t="shared" si="2"/>
        <v>4.9442644199611152</v>
      </c>
      <c r="BL7">
        <f t="shared" si="3"/>
        <v>0.17270138772059163</v>
      </c>
      <c r="BM7">
        <v>2</v>
      </c>
      <c r="BN7">
        <v>4.3</v>
      </c>
      <c r="BO7" s="12">
        <f t="shared" si="4"/>
        <v>0.5251087862234971</v>
      </c>
      <c r="BS7">
        <f t="shared" si="5"/>
        <v>-0.75360306144492784</v>
      </c>
      <c r="CG7" t="s">
        <v>1008</v>
      </c>
      <c r="CH7" s="37">
        <v>44596</v>
      </c>
      <c r="CI7" s="32">
        <v>0.42638888888888887</v>
      </c>
      <c r="CJ7">
        <f>CM6+(24*2)</f>
        <v>210.96666666666667</v>
      </c>
      <c r="CK7">
        <v>-16</v>
      </c>
      <c r="CL7">
        <f t="shared" si="13"/>
        <v>12642</v>
      </c>
      <c r="CM7">
        <f t="shared" si="14"/>
        <v>210.7</v>
      </c>
      <c r="CN7">
        <f t="shared" si="15"/>
        <v>41.999999999999318</v>
      </c>
      <c r="CO7">
        <v>210</v>
      </c>
    </row>
    <row r="8" spans="1:93">
      <c r="A8" t="s">
        <v>1060</v>
      </c>
      <c r="B8" s="14">
        <v>44608</v>
      </c>
      <c r="C8" s="12">
        <v>498.5</v>
      </c>
      <c r="D8" s="4">
        <v>4.4009999999999998</v>
      </c>
      <c r="E8" s="4">
        <v>1.7428999999999999</v>
      </c>
      <c r="F8" s="4">
        <v>3.3052999999999999</v>
      </c>
      <c r="G8" s="212">
        <f>(E8-0.1228)/3.09</f>
        <v>0.52430420711974113</v>
      </c>
      <c r="H8" s="4">
        <v>1.0955999999999999</v>
      </c>
      <c r="I8" s="4">
        <v>6.4109999999999996</v>
      </c>
      <c r="J8" s="4">
        <v>23.181999999999999</v>
      </c>
      <c r="K8" s="4">
        <v>115.1082</v>
      </c>
      <c r="L8" s="4">
        <v>10.395</v>
      </c>
      <c r="M8" s="4">
        <v>2.1305999999999998</v>
      </c>
      <c r="N8" s="4">
        <v>8.0333000000000006</v>
      </c>
      <c r="O8" s="4" t="s">
        <v>1062</v>
      </c>
      <c r="P8" s="4" t="s">
        <v>1063</v>
      </c>
      <c r="Q8" s="4" t="s">
        <v>1064</v>
      </c>
      <c r="R8" s="1">
        <v>4.4180000000000001</v>
      </c>
      <c r="S8" s="1">
        <v>15.886900000000001</v>
      </c>
      <c r="T8" s="1">
        <v>43.090600000000002</v>
      </c>
      <c r="U8" s="212">
        <f>(S8-0.1228)/3.09</f>
        <v>5.1016504854368936</v>
      </c>
      <c r="V8" s="1">
        <v>6.4112999999999998</v>
      </c>
      <c r="W8" s="1">
        <v>6.4139999999999997</v>
      </c>
      <c r="X8" s="1">
        <v>23.170400000000001</v>
      </c>
      <c r="Y8" s="1">
        <v>117.6758</v>
      </c>
      <c r="Z8" s="1">
        <v>10.388</v>
      </c>
      <c r="AA8" s="1">
        <v>2.1941000000000002</v>
      </c>
      <c r="AB8" s="1">
        <v>8.2065999999999999</v>
      </c>
      <c r="AC8" s="1">
        <v>17.081</v>
      </c>
      <c r="AD8" s="1">
        <v>1.8915999999999999</v>
      </c>
      <c r="AE8" s="1">
        <v>4.0176999999999996</v>
      </c>
      <c r="AF8" s="2">
        <v>4.415</v>
      </c>
      <c r="AG8" s="2">
        <v>16.227</v>
      </c>
      <c r="AH8" s="2">
        <v>44.739400000000003</v>
      </c>
      <c r="AI8" s="212">
        <f>(AG8-0.1228)/3.09</f>
        <v>5.2117152103559867</v>
      </c>
      <c r="AJ8" s="2">
        <v>6.5392000000000001</v>
      </c>
      <c r="AK8" s="2">
        <v>6.4109999999999996</v>
      </c>
      <c r="AL8" s="2">
        <v>23.345300000000002</v>
      </c>
      <c r="AM8" s="2">
        <v>118.0806</v>
      </c>
      <c r="AN8" s="2">
        <v>10.385</v>
      </c>
      <c r="AO8" s="2">
        <v>2.0823</v>
      </c>
      <c r="AP8" s="2">
        <v>7.7667000000000002</v>
      </c>
      <c r="AQ8" s="2">
        <v>17.074999999999999</v>
      </c>
      <c r="AR8" s="2">
        <v>2.4043999999999999</v>
      </c>
      <c r="AS8" s="2">
        <v>5.1313000000000004</v>
      </c>
      <c r="AT8" s="264">
        <v>4.4109999999999996</v>
      </c>
      <c r="AU8" s="264">
        <v>12.6936</v>
      </c>
      <c r="AV8" s="264">
        <v>33.969299999999997</v>
      </c>
      <c r="AW8" s="212">
        <f>(AU8-0.1228)/3.09</f>
        <v>4.0682200647249189</v>
      </c>
      <c r="AX8" s="264">
        <v>5.2111999999999998</v>
      </c>
      <c r="AY8" s="264">
        <v>6.3380000000000001</v>
      </c>
      <c r="AZ8" s="264">
        <v>0.87050000000000005</v>
      </c>
      <c r="BA8" s="264">
        <v>4.3265000000000002</v>
      </c>
      <c r="BB8" s="264">
        <v>10.385</v>
      </c>
      <c r="BC8" s="264">
        <v>2.3736000000000002</v>
      </c>
      <c r="BD8" s="264">
        <v>8.9454999999999991</v>
      </c>
      <c r="BE8" s="264">
        <v>17.077999999999999</v>
      </c>
      <c r="BF8" s="264">
        <v>1.2804</v>
      </c>
      <c r="BG8" s="264">
        <v>2.6884999999999999</v>
      </c>
      <c r="BI8" s="12">
        <f t="shared" si="0"/>
        <v>5.1016504854368936</v>
      </c>
      <c r="BJ8" s="12">
        <f t="shared" si="1"/>
        <v>5.2117152103559867</v>
      </c>
      <c r="BK8" s="12">
        <f t="shared" si="2"/>
        <v>5.1566828478964402</v>
      </c>
      <c r="BL8">
        <f t="shared" si="3"/>
        <v>7.7827513359722739E-2</v>
      </c>
      <c r="BM8">
        <v>2</v>
      </c>
      <c r="BN8">
        <v>4.3</v>
      </c>
      <c r="BO8" s="12">
        <f t="shared" si="4"/>
        <v>0.23663915857605022</v>
      </c>
      <c r="BS8">
        <f t="shared" si="5"/>
        <v>-1.0884627831715212</v>
      </c>
      <c r="CG8" t="s">
        <v>1012</v>
      </c>
      <c r="CH8" s="37">
        <v>44601</v>
      </c>
      <c r="CI8" s="32">
        <v>0.42291666666666666</v>
      </c>
      <c r="CJ8">
        <f>CM7+(24*5)</f>
        <v>330.7</v>
      </c>
      <c r="CK8">
        <v>-5</v>
      </c>
      <c r="CL8">
        <f t="shared" si="13"/>
        <v>19837</v>
      </c>
      <c r="CM8">
        <f t="shared" si="14"/>
        <v>330.61666666666667</v>
      </c>
      <c r="CN8">
        <f t="shared" si="15"/>
        <v>37.000000000000455</v>
      </c>
      <c r="CO8">
        <v>330</v>
      </c>
    </row>
    <row r="9" spans="1:93">
      <c r="A9" t="s">
        <v>1060</v>
      </c>
      <c r="B9" s="14">
        <v>44610</v>
      </c>
      <c r="C9" s="12">
        <v>545.95000000000005</v>
      </c>
      <c r="D9" s="4">
        <v>4.391</v>
      </c>
      <c r="E9" s="4">
        <v>1.2302999999999999</v>
      </c>
      <c r="F9" s="4">
        <v>2.3714</v>
      </c>
      <c r="G9" s="212">
        <f>(E9-0.1228)/3.09</f>
        <v>0.35841423948220064</v>
      </c>
      <c r="H9" s="4">
        <v>0.90300000000000002</v>
      </c>
      <c r="I9" s="4">
        <v>6.3810000000000002</v>
      </c>
      <c r="J9" s="4">
        <v>17.628900000000002</v>
      </c>
      <c r="K9" s="4">
        <v>88.431899999999999</v>
      </c>
      <c r="L9" s="4">
        <v>10.391</v>
      </c>
      <c r="M9" s="4">
        <v>2.2854999999999999</v>
      </c>
      <c r="N9" s="4">
        <v>8.6144999999999996</v>
      </c>
      <c r="O9" s="4">
        <v>17.091000000000001</v>
      </c>
      <c r="P9" s="4">
        <v>1.5513999999999999</v>
      </c>
      <c r="Q9" s="4">
        <v>3.2784</v>
      </c>
      <c r="R9" s="1">
        <v>4.4039999999999999</v>
      </c>
      <c r="S9" s="1">
        <v>16.055800000000001</v>
      </c>
      <c r="T9" s="1">
        <v>48.472700000000003</v>
      </c>
      <c r="U9" s="212">
        <f>(S9-0.1228)/3.09</f>
        <v>5.1563106796116509</v>
      </c>
      <c r="V9" s="1">
        <v>6.4748000000000001</v>
      </c>
      <c r="W9" s="1">
        <v>6.4009999999999998</v>
      </c>
      <c r="X9" s="1">
        <v>17.723700000000001</v>
      </c>
      <c r="Y9" s="1">
        <v>87.827200000000005</v>
      </c>
      <c r="Z9" s="1">
        <v>10.384</v>
      </c>
      <c r="AA9" s="1">
        <v>2.4049999999999998</v>
      </c>
      <c r="AB9" s="1">
        <v>9.0281000000000002</v>
      </c>
      <c r="AC9" s="1">
        <v>17.077999999999999</v>
      </c>
      <c r="AD9" s="1">
        <v>1.8693</v>
      </c>
      <c r="AE9" s="1">
        <v>3.9575999999999998</v>
      </c>
      <c r="AF9" s="2">
        <v>4.4039999999999999</v>
      </c>
      <c r="AG9" s="2">
        <v>16.468299999999999</v>
      </c>
      <c r="AH9" s="2">
        <v>49.944000000000003</v>
      </c>
      <c r="AI9" s="212">
        <f>(AG9-0.1228)/3.09</f>
        <v>5.289805825242718</v>
      </c>
      <c r="AJ9" s="2">
        <v>6.6298000000000004</v>
      </c>
      <c r="AK9" s="2">
        <v>6.4080000000000004</v>
      </c>
      <c r="AL9" s="2">
        <v>18.035699999999999</v>
      </c>
      <c r="AM9" s="2">
        <v>93.382400000000004</v>
      </c>
      <c r="AN9" s="2">
        <v>10.391</v>
      </c>
      <c r="AO9" s="2">
        <v>1.7491000000000001</v>
      </c>
      <c r="AP9" s="2">
        <v>6.4623999999999997</v>
      </c>
      <c r="AQ9" s="2">
        <v>17.071000000000002</v>
      </c>
      <c r="AR9" s="2">
        <v>4.0044000000000004</v>
      </c>
      <c r="AS9" s="2">
        <v>8.6114999999999995</v>
      </c>
      <c r="AT9" s="264">
        <v>4.4009999999999998</v>
      </c>
      <c r="AU9" s="264">
        <v>13.2982</v>
      </c>
      <c r="AV9" s="264">
        <v>39.663200000000003</v>
      </c>
      <c r="AW9" s="212">
        <f>(AU9-0.1228)/3.09</f>
        <v>4.263883495145631</v>
      </c>
      <c r="AX9" s="264">
        <v>5.4383999999999997</v>
      </c>
      <c r="AY9" s="264">
        <v>6.3369999999999997</v>
      </c>
      <c r="AZ9" s="264">
        <v>0.82420000000000004</v>
      </c>
      <c r="BA9" s="264">
        <v>4.1260000000000003</v>
      </c>
      <c r="BB9" s="264">
        <v>10.384</v>
      </c>
      <c r="BC9" s="264">
        <v>2.2999000000000001</v>
      </c>
      <c r="BD9" s="264">
        <v>8.6141000000000005</v>
      </c>
      <c r="BE9" s="264">
        <v>17.081</v>
      </c>
      <c r="BF9" s="264">
        <v>1.3139000000000001</v>
      </c>
      <c r="BG9" s="264">
        <v>2.7728999999999999</v>
      </c>
      <c r="BI9" s="12">
        <f t="shared" si="0"/>
        <v>5.1563106796116509</v>
      </c>
      <c r="BJ9" s="12">
        <f t="shared" si="1"/>
        <v>5.289805825242718</v>
      </c>
      <c r="BK9" s="12">
        <f t="shared" si="2"/>
        <v>5.2230582524271849</v>
      </c>
      <c r="BL9">
        <f t="shared" si="3"/>
        <v>9.4395322731213274E-2</v>
      </c>
      <c r="BM9">
        <v>2</v>
      </c>
      <c r="BN9">
        <v>4.3</v>
      </c>
      <c r="BO9" s="12">
        <f t="shared" si="4"/>
        <v>0.28701456310679424</v>
      </c>
      <c r="BS9">
        <f t="shared" si="5"/>
        <v>-0.95917475728155344</v>
      </c>
      <c r="CG9" t="s">
        <v>1013</v>
      </c>
      <c r="CH9" s="37">
        <v>44606</v>
      </c>
      <c r="CI9" s="32">
        <v>0.43472222222222223</v>
      </c>
      <c r="CJ9">
        <f>CM8+(24*5)</f>
        <v>450.61666666666667</v>
      </c>
      <c r="CK9">
        <f>26-9</f>
        <v>17</v>
      </c>
      <c r="CL9">
        <f t="shared" si="13"/>
        <v>27054</v>
      </c>
      <c r="CM9">
        <f t="shared" si="14"/>
        <v>450.9</v>
      </c>
      <c r="CN9">
        <f t="shared" si="15"/>
        <v>53.999999999998636</v>
      </c>
      <c r="CO9">
        <v>450</v>
      </c>
    </row>
    <row r="10" spans="1:93">
      <c r="A10" t="s">
        <v>1274</v>
      </c>
      <c r="B10" s="14">
        <v>44613</v>
      </c>
      <c r="C10" s="12">
        <v>616.76666666666665</v>
      </c>
      <c r="D10" s="4">
        <v>4.4080000000000004</v>
      </c>
      <c r="E10" s="4">
        <v>1.3896999999999999</v>
      </c>
      <c r="F10" s="4">
        <v>2.1326000000000001</v>
      </c>
      <c r="G10" s="212">
        <f>(E10-0.0522)/3.15</f>
        <v>0.42460317460317459</v>
      </c>
      <c r="H10" s="4">
        <v>0.96289999999999998</v>
      </c>
      <c r="I10" s="4">
        <v>6.3310000000000004</v>
      </c>
      <c r="J10" s="4">
        <v>12.6783</v>
      </c>
      <c r="K10" s="4">
        <v>66.072400000000002</v>
      </c>
      <c r="L10" s="4">
        <v>10.315</v>
      </c>
      <c r="M10" s="4">
        <v>2.2728999999999999</v>
      </c>
      <c r="N10" s="4">
        <v>8.4987999999999992</v>
      </c>
      <c r="O10" s="4">
        <v>16.925000000000001</v>
      </c>
      <c r="P10" s="4">
        <v>1.0546</v>
      </c>
      <c r="Q10" s="4">
        <v>2.2269999999999999</v>
      </c>
      <c r="R10" s="1">
        <v>4.4240000000000004</v>
      </c>
      <c r="S10" s="1">
        <v>15.6197</v>
      </c>
      <c r="T10" s="1">
        <v>36.983699999999999</v>
      </c>
      <c r="U10" s="212">
        <f>(S10-0.0522)/3.15</f>
        <v>4.9420634920634923</v>
      </c>
      <c r="V10" s="1">
        <v>6.3109000000000002</v>
      </c>
      <c r="W10" s="1">
        <v>6.3410000000000002</v>
      </c>
      <c r="X10" s="1">
        <v>12.9061</v>
      </c>
      <c r="Y10" s="1">
        <v>58.570999999999998</v>
      </c>
      <c r="Z10" s="1">
        <v>10.311</v>
      </c>
      <c r="AA10" s="1">
        <v>2.3451</v>
      </c>
      <c r="AB10" s="1">
        <v>8.7424999999999997</v>
      </c>
      <c r="AC10" s="1">
        <v>16.911000000000001</v>
      </c>
      <c r="AD10" s="1">
        <v>1.7173</v>
      </c>
      <c r="AE10" s="1">
        <v>3.653</v>
      </c>
      <c r="AF10" s="2">
        <v>4.4210000000000003</v>
      </c>
      <c r="AG10" s="2">
        <v>15.1036</v>
      </c>
      <c r="AH10" s="2">
        <v>36.1389</v>
      </c>
      <c r="AI10" s="212">
        <f>(AG10-0.0522)/3.15</f>
        <v>4.7782222222222224</v>
      </c>
      <c r="AJ10" s="2">
        <v>6.1169000000000002</v>
      </c>
      <c r="AK10" s="2">
        <v>6.335</v>
      </c>
      <c r="AL10" s="2">
        <v>12.7906</v>
      </c>
      <c r="AM10" s="2">
        <v>59.820300000000003</v>
      </c>
      <c r="AN10" s="2">
        <v>10.308</v>
      </c>
      <c r="AO10" s="2">
        <v>2.3738999999999999</v>
      </c>
      <c r="AP10" s="2">
        <v>8.8572000000000006</v>
      </c>
      <c r="AQ10" s="2">
        <v>16.908000000000001</v>
      </c>
      <c r="AR10" s="2">
        <v>1.5726</v>
      </c>
      <c r="AS10" s="2">
        <v>3.3412000000000002</v>
      </c>
      <c r="AT10" s="264">
        <v>4.4080000000000004</v>
      </c>
      <c r="AU10" s="264">
        <v>12.053699999999999</v>
      </c>
      <c r="AV10" s="264">
        <v>26.012599999999999</v>
      </c>
      <c r="AW10" s="212">
        <f>(AU10-0.0522)/3.15</f>
        <v>3.81</v>
      </c>
      <c r="AX10" s="264">
        <v>4.9706999999999999</v>
      </c>
      <c r="AY10" s="264">
        <v>6.3040000000000003</v>
      </c>
      <c r="AZ10" s="264">
        <v>0.85780000000000001</v>
      </c>
      <c r="BA10" s="264">
        <v>4.2984999999999998</v>
      </c>
      <c r="BB10" s="264">
        <v>10.304</v>
      </c>
      <c r="BC10" s="264">
        <v>2.3488000000000002</v>
      </c>
      <c r="BD10" s="264">
        <v>8.7628000000000004</v>
      </c>
      <c r="BE10" s="264">
        <v>16.901</v>
      </c>
      <c r="BF10" s="264">
        <v>1.1345000000000001</v>
      </c>
      <c r="BG10" s="264">
        <v>2.4016000000000002</v>
      </c>
      <c r="BI10" s="12">
        <f t="shared" ref="BI10:BI15" si="16">U10</f>
        <v>4.9420634920634923</v>
      </c>
      <c r="BJ10" s="12">
        <f t="shared" ref="BJ10:BJ15" si="17">AI10</f>
        <v>4.7782222222222224</v>
      </c>
      <c r="BK10" s="12">
        <f t="shared" ref="BK10:BK15" si="18">(U10+AI10)/2</f>
        <v>4.8601428571428578</v>
      </c>
      <c r="BL10">
        <f t="shared" ref="BL10:BL15" si="19">STDEV(BI10:BJ10)</f>
        <v>0.11585327294297693</v>
      </c>
      <c r="BM10">
        <v>2</v>
      </c>
      <c r="BN10">
        <v>4.3</v>
      </c>
      <c r="BO10" s="12">
        <f t="shared" ref="BO10:BO12" si="20">(BN10*BL10)/SQRT(BM10)</f>
        <v>0.35225873015873027</v>
      </c>
      <c r="BS10">
        <f t="shared" si="5"/>
        <v>-1.0501428571428573</v>
      </c>
      <c r="CG10" t="s">
        <v>1011</v>
      </c>
      <c r="CH10" s="37">
        <v>44608</v>
      </c>
      <c r="CI10" s="32">
        <v>0.41805555555555557</v>
      </c>
      <c r="CJ10">
        <f>CM9+(24*2)</f>
        <v>498.9</v>
      </c>
      <c r="CK10">
        <v>-24</v>
      </c>
      <c r="CL10">
        <f t="shared" si="13"/>
        <v>29910</v>
      </c>
      <c r="CM10">
        <f t="shared" si="14"/>
        <v>498.5</v>
      </c>
      <c r="CN10">
        <f t="shared" si="15"/>
        <v>30</v>
      </c>
      <c r="CO10">
        <v>498</v>
      </c>
    </row>
    <row r="11" spans="1:93">
      <c r="A11" t="s">
        <v>1274</v>
      </c>
      <c r="B11" s="14">
        <v>44615</v>
      </c>
      <c r="C11" s="12">
        <v>665.56666666666672</v>
      </c>
      <c r="D11" s="4">
        <v>4.4080000000000004</v>
      </c>
      <c r="E11" s="4">
        <v>1.2652000000000001</v>
      </c>
      <c r="F11" s="4">
        <v>2.1566000000000001</v>
      </c>
      <c r="G11" s="212">
        <f t="shared" ref="G11:G12" si="21">(E11-0.0522)/3.15</f>
        <v>0.38507936507936513</v>
      </c>
      <c r="H11" s="4">
        <v>0.91610000000000003</v>
      </c>
      <c r="I11" s="4">
        <v>6.4610000000000003</v>
      </c>
      <c r="J11" s="4">
        <v>66.210800000000006</v>
      </c>
      <c r="K11" s="4">
        <v>305.01170000000002</v>
      </c>
      <c r="L11" s="4">
        <v>10.318</v>
      </c>
      <c r="M11" s="4">
        <v>2.6202999999999999</v>
      </c>
      <c r="N11" s="4">
        <v>9.8118999999999996</v>
      </c>
      <c r="O11" s="4">
        <v>16.914000000000001</v>
      </c>
      <c r="P11" s="4">
        <v>2.7702</v>
      </c>
      <c r="Q11" s="4">
        <v>5.9280999999999997</v>
      </c>
      <c r="R11" s="1">
        <v>4.4080000000000004</v>
      </c>
      <c r="S11" s="1">
        <v>15.226100000000001</v>
      </c>
      <c r="T11" s="1">
        <v>42.021500000000003</v>
      </c>
      <c r="U11" s="212">
        <f t="shared" ref="U11:U12" si="22">(S11-0.0522)/3.15</f>
        <v>4.817111111111112</v>
      </c>
      <c r="V11" s="1">
        <v>6.1630000000000003</v>
      </c>
      <c r="W11" s="1">
        <v>6.4480000000000004</v>
      </c>
      <c r="X11" s="1">
        <v>63.671599999999998</v>
      </c>
      <c r="Y11" s="1">
        <v>295.07569999999998</v>
      </c>
      <c r="Z11" s="1">
        <v>10.311</v>
      </c>
      <c r="AA11" s="1">
        <v>2.5977999999999999</v>
      </c>
      <c r="AB11" s="1">
        <v>9.6274999999999995</v>
      </c>
      <c r="AC11" s="1">
        <v>16.904</v>
      </c>
      <c r="AD11" s="1">
        <v>1.8461000000000001</v>
      </c>
      <c r="AE11" s="1">
        <v>3.9220999999999999</v>
      </c>
      <c r="AF11" s="2">
        <v>4.4050000000000002</v>
      </c>
      <c r="AG11" s="2">
        <v>14.5129</v>
      </c>
      <c r="AH11" s="2">
        <v>40.335099999999997</v>
      </c>
      <c r="AI11" s="212">
        <f t="shared" ref="AI11:AI12" si="23">(AG11-0.0522)/3.15</f>
        <v>4.5906984126984129</v>
      </c>
      <c r="AJ11" s="2">
        <v>5.8948999999999998</v>
      </c>
      <c r="AK11" s="2">
        <v>6.4480000000000004</v>
      </c>
      <c r="AL11" s="2">
        <v>64.496899999999997</v>
      </c>
      <c r="AM11" s="2">
        <v>297.36110000000002</v>
      </c>
      <c r="AN11" s="2">
        <v>10.311</v>
      </c>
      <c r="AO11" s="2">
        <v>2.6320999999999999</v>
      </c>
      <c r="AP11" s="2">
        <v>9.7606000000000002</v>
      </c>
      <c r="AQ11" s="2">
        <v>16.908000000000001</v>
      </c>
      <c r="AR11" s="2">
        <v>1.6672</v>
      </c>
      <c r="AS11" s="2">
        <v>3.5451999999999999</v>
      </c>
      <c r="AT11" s="264">
        <v>4.3949999999999996</v>
      </c>
      <c r="AU11" s="264">
        <v>12.045999999999999</v>
      </c>
      <c r="AV11" s="264">
        <v>31.143000000000001</v>
      </c>
      <c r="AW11" s="212">
        <f t="shared" ref="AW11:AW12" si="24">(AU11-0.0522)/3.15</f>
        <v>3.8075555555555556</v>
      </c>
      <c r="AX11" s="264">
        <v>4.9678000000000004</v>
      </c>
      <c r="AY11" s="264">
        <v>6.298</v>
      </c>
      <c r="AZ11" s="264">
        <v>0.68659999999999999</v>
      </c>
      <c r="BA11" s="264">
        <v>3.7357</v>
      </c>
      <c r="BB11" s="264">
        <v>10.295</v>
      </c>
      <c r="BC11" s="264">
        <v>2.0156999999999998</v>
      </c>
      <c r="BD11" s="264">
        <v>7.4737</v>
      </c>
      <c r="BE11" s="264">
        <v>16.885000000000002</v>
      </c>
      <c r="BF11" s="264">
        <v>1.1589</v>
      </c>
      <c r="BG11" s="264">
        <v>2.4519000000000002</v>
      </c>
      <c r="BI11" s="12">
        <f t="shared" si="16"/>
        <v>4.817111111111112</v>
      </c>
      <c r="BJ11" s="12">
        <f t="shared" si="17"/>
        <v>4.5906984126984129</v>
      </c>
      <c r="BK11" s="12">
        <f t="shared" si="18"/>
        <v>4.7039047619047629</v>
      </c>
      <c r="BL11">
        <f t="shared" si="19"/>
        <v>0.16009795439436417</v>
      </c>
      <c r="BM11">
        <v>2</v>
      </c>
      <c r="BN11">
        <v>4.3</v>
      </c>
      <c r="BO11" s="12">
        <f t="shared" si="20"/>
        <v>0.48678730158730293</v>
      </c>
      <c r="BS11">
        <f t="shared" si="5"/>
        <v>-0.8963492063492069</v>
      </c>
      <c r="CG11" t="s">
        <v>1174</v>
      </c>
      <c r="CH11" s="37">
        <v>44610</v>
      </c>
      <c r="CI11" s="32">
        <v>0.39513888888888887</v>
      </c>
      <c r="CJ11">
        <f>CM10+(24*2)</f>
        <v>546.5</v>
      </c>
      <c r="CK11">
        <v>-33</v>
      </c>
      <c r="CL11">
        <f t="shared" ref="CL11:CL13" si="25">(CJ11*60)+CK11</f>
        <v>32757</v>
      </c>
      <c r="CM11">
        <f t="shared" ref="CM11:CM13" si="26">CL11/60</f>
        <v>545.95000000000005</v>
      </c>
      <c r="CN11">
        <f t="shared" ref="CN11:CN13" si="27">(CM11-CO11)*60</f>
        <v>57.000000000002728</v>
      </c>
      <c r="CO11">
        <v>545</v>
      </c>
    </row>
    <row r="12" spans="1:93">
      <c r="A12" t="s">
        <v>1274</v>
      </c>
      <c r="B12" s="14">
        <v>44617</v>
      </c>
      <c r="C12" s="12">
        <v>714.1</v>
      </c>
      <c r="D12" s="4">
        <v>4.391</v>
      </c>
      <c r="E12" s="4">
        <v>1.2603</v>
      </c>
      <c r="F12" s="4">
        <v>2.3614999999999999</v>
      </c>
      <c r="G12" s="212">
        <f t="shared" si="21"/>
        <v>0.38352380952380954</v>
      </c>
      <c r="H12" s="4">
        <v>0.91420000000000001</v>
      </c>
      <c r="I12" s="4">
        <v>6.415</v>
      </c>
      <c r="J12" s="4">
        <v>42.6021</v>
      </c>
      <c r="K12" s="4">
        <v>198.82570000000001</v>
      </c>
      <c r="L12" s="4">
        <v>10.308</v>
      </c>
      <c r="M12" s="4">
        <v>2.1257999999999999</v>
      </c>
      <c r="N12" s="4">
        <v>7.9287000000000001</v>
      </c>
      <c r="O12" s="4">
        <v>16.905000000000001</v>
      </c>
      <c r="P12" s="4">
        <v>1.4398</v>
      </c>
      <c r="Q12" s="4">
        <v>3.0533000000000001</v>
      </c>
      <c r="R12" s="1">
        <v>4.3979999999999997</v>
      </c>
      <c r="S12" s="1">
        <v>16.017700000000001</v>
      </c>
      <c r="T12" s="1">
        <v>45.762700000000002</v>
      </c>
      <c r="U12" s="212">
        <f t="shared" si="22"/>
        <v>5.0684126984126996</v>
      </c>
      <c r="V12" s="1">
        <v>6.4604999999999997</v>
      </c>
      <c r="W12" s="1">
        <v>6.4050000000000002</v>
      </c>
      <c r="X12" s="1">
        <v>37.288499999999999</v>
      </c>
      <c r="Y12" s="1">
        <v>181.19540000000001</v>
      </c>
      <c r="Z12" s="1">
        <v>10.298</v>
      </c>
      <c r="AA12" s="1">
        <v>2.0173999999999999</v>
      </c>
      <c r="AB12" s="1">
        <v>7.4573</v>
      </c>
      <c r="AC12" s="1">
        <v>16.890999999999998</v>
      </c>
      <c r="AD12" s="1">
        <v>1.8044</v>
      </c>
      <c r="AE12" s="1">
        <v>3.8418999999999999</v>
      </c>
      <c r="AF12" s="2">
        <v>4.3979999999999997</v>
      </c>
      <c r="AG12" s="2">
        <v>15.4224</v>
      </c>
      <c r="AH12" s="2">
        <v>44.158700000000003</v>
      </c>
      <c r="AI12" s="212">
        <f t="shared" si="23"/>
        <v>4.8794285714285719</v>
      </c>
      <c r="AJ12" s="2">
        <v>6.2366999999999999</v>
      </c>
      <c r="AK12" s="2">
        <v>6.4109999999999996</v>
      </c>
      <c r="AL12" s="2">
        <v>39.058900000000001</v>
      </c>
      <c r="AM12" s="2">
        <v>187.36009999999999</v>
      </c>
      <c r="AN12" s="2">
        <v>10.308</v>
      </c>
      <c r="AO12" s="2">
        <v>2.0733000000000001</v>
      </c>
      <c r="AP12" s="2">
        <v>7.6513</v>
      </c>
      <c r="AQ12" s="2">
        <v>16.898</v>
      </c>
      <c r="AR12" s="2">
        <v>1.6969000000000001</v>
      </c>
      <c r="AS12" s="2">
        <v>3.6072000000000002</v>
      </c>
      <c r="AT12" s="264">
        <v>4.3879999999999999</v>
      </c>
      <c r="AU12" s="264">
        <v>12.6172</v>
      </c>
      <c r="AV12" s="264">
        <v>34.222700000000003</v>
      </c>
      <c r="AW12" s="212">
        <f t="shared" si="24"/>
        <v>3.9888888888888894</v>
      </c>
      <c r="AX12" s="264">
        <v>5.1825000000000001</v>
      </c>
      <c r="AY12" s="264">
        <v>6.298</v>
      </c>
      <c r="AZ12" s="264">
        <v>1.0738000000000001</v>
      </c>
      <c r="BA12" s="264">
        <v>5.5063000000000004</v>
      </c>
      <c r="BB12" s="264">
        <v>10.291</v>
      </c>
      <c r="BC12" s="264">
        <v>2.3578000000000001</v>
      </c>
      <c r="BD12" s="264">
        <v>8.7765000000000004</v>
      </c>
      <c r="BE12" s="264">
        <v>16.878</v>
      </c>
      <c r="BF12" s="264">
        <v>1.1980999999999999</v>
      </c>
      <c r="BG12" s="264">
        <v>2.5346000000000002</v>
      </c>
      <c r="BI12" s="12">
        <f t="shared" si="16"/>
        <v>5.0684126984126996</v>
      </c>
      <c r="BJ12" s="12">
        <f t="shared" si="17"/>
        <v>4.8794285714285719</v>
      </c>
      <c r="BK12" s="12">
        <f t="shared" si="18"/>
        <v>4.9739206349206357</v>
      </c>
      <c r="BL12">
        <f t="shared" si="19"/>
        <v>0.1336319577270963</v>
      </c>
      <c r="BM12">
        <v>2</v>
      </c>
      <c r="BN12">
        <v>4.3</v>
      </c>
      <c r="BO12" s="12">
        <f t="shared" si="20"/>
        <v>0.40631587301587446</v>
      </c>
      <c r="BS12">
        <f t="shared" si="5"/>
        <v>-0.98503174603174637</v>
      </c>
      <c r="CG12" t="s">
        <v>1175</v>
      </c>
      <c r="CH12" s="37">
        <v>44613</v>
      </c>
      <c r="CI12" s="32">
        <v>0.34513888888888888</v>
      </c>
      <c r="CJ12">
        <f>CM11+(24*3)-1</f>
        <v>616.95000000000005</v>
      </c>
      <c r="CK12">
        <v>-11</v>
      </c>
      <c r="CL12">
        <f t="shared" si="25"/>
        <v>37006</v>
      </c>
      <c r="CM12">
        <f t="shared" si="26"/>
        <v>616.76666666666665</v>
      </c>
      <c r="CN12">
        <f t="shared" si="27"/>
        <v>45.999999999999091</v>
      </c>
      <c r="CO12">
        <v>616</v>
      </c>
    </row>
    <row r="13" spans="1:93">
      <c r="A13" t="s">
        <v>1296</v>
      </c>
      <c r="B13" s="14">
        <v>44621</v>
      </c>
      <c r="C13" s="12">
        <v>810.25</v>
      </c>
      <c r="D13" s="4">
        <v>4.3979999999999997</v>
      </c>
      <c r="E13" s="4">
        <v>0.94850000000000001</v>
      </c>
      <c r="F13" s="4">
        <v>1.2821</v>
      </c>
      <c r="G13" s="212">
        <f>(E13+0.4715)/3.0941</f>
        <v>0.458937978733719</v>
      </c>
      <c r="H13" s="4">
        <v>0.79700000000000004</v>
      </c>
      <c r="I13" s="4">
        <v>6.3280000000000003</v>
      </c>
      <c r="J13" s="4">
        <v>24.240300000000001</v>
      </c>
      <c r="K13" s="4">
        <v>119.6438</v>
      </c>
      <c r="L13" s="4">
        <v>10.164</v>
      </c>
      <c r="M13" s="4">
        <v>2.1012</v>
      </c>
      <c r="N13" s="4">
        <v>7.8190999999999997</v>
      </c>
      <c r="O13" s="4">
        <v>16.690999999999999</v>
      </c>
      <c r="P13" s="4">
        <v>1.5526</v>
      </c>
      <c r="Q13" s="4">
        <v>3.3054000000000001</v>
      </c>
      <c r="R13" s="1">
        <v>4.4009999999999998</v>
      </c>
      <c r="S13" s="1">
        <v>16.538900000000002</v>
      </c>
      <c r="T13" s="1">
        <v>35.4788</v>
      </c>
      <c r="U13" s="212">
        <f>(S13+0.4715)/3.0941</f>
        <v>5.4976891503183483</v>
      </c>
      <c r="V13" s="1">
        <v>6.6562999999999999</v>
      </c>
      <c r="W13" s="1">
        <v>6.3339999999999996</v>
      </c>
      <c r="X13" s="1">
        <v>25.232900000000001</v>
      </c>
      <c r="Y13" s="1">
        <v>124.8288</v>
      </c>
      <c r="Z13" s="1">
        <v>10.164</v>
      </c>
      <c r="AA13" s="1">
        <v>2.0369999999999999</v>
      </c>
      <c r="AB13" s="1">
        <v>7.5392000000000001</v>
      </c>
      <c r="AC13" s="1">
        <v>16.684000000000001</v>
      </c>
      <c r="AD13" s="1">
        <v>2.1566999999999998</v>
      </c>
      <c r="AE13" s="1">
        <v>4.6111000000000004</v>
      </c>
      <c r="AF13" s="2">
        <v>4.3940000000000001</v>
      </c>
      <c r="AG13" s="2">
        <v>14.863</v>
      </c>
      <c r="AH13" s="2">
        <v>31.686699999999998</v>
      </c>
      <c r="AI13" s="212">
        <f>(AG13+0.4715)/3.0941</f>
        <v>4.9560453766846582</v>
      </c>
      <c r="AJ13" s="2">
        <v>6.0265000000000004</v>
      </c>
      <c r="AK13" s="2">
        <v>6.3280000000000003</v>
      </c>
      <c r="AL13" s="2">
        <v>24.477900000000002</v>
      </c>
      <c r="AM13" s="2">
        <v>118.4191</v>
      </c>
      <c r="AN13" s="2">
        <v>10.161</v>
      </c>
      <c r="AO13" s="2">
        <v>2.0476000000000001</v>
      </c>
      <c r="AP13" s="2">
        <v>7.5857999999999999</v>
      </c>
      <c r="AQ13" s="2">
        <v>16.681000000000001</v>
      </c>
      <c r="AR13" s="2">
        <v>1.7376</v>
      </c>
      <c r="AS13" s="2">
        <v>3.6977000000000002</v>
      </c>
      <c r="AT13" s="264">
        <v>4.3879999999999999</v>
      </c>
      <c r="AU13" s="264">
        <v>12.4907</v>
      </c>
      <c r="AV13" s="264">
        <v>24.394400000000001</v>
      </c>
      <c r="AW13" s="212">
        <f>(AU13+0.4715)/3.0941</f>
        <v>4.1893280760156433</v>
      </c>
      <c r="AX13" s="264">
        <v>5.1349</v>
      </c>
      <c r="AY13" s="264">
        <v>6.2539999999999996</v>
      </c>
      <c r="AZ13" s="264">
        <v>0.84079999999999999</v>
      </c>
      <c r="BA13" s="264">
        <v>4.0370999999999997</v>
      </c>
      <c r="BB13" s="264">
        <v>10.157999999999999</v>
      </c>
      <c r="BC13" s="264">
        <v>2.3018000000000001</v>
      </c>
      <c r="BD13" s="264">
        <v>8.5455000000000005</v>
      </c>
      <c r="BE13" s="264">
        <v>16.678000000000001</v>
      </c>
      <c r="BF13" s="264">
        <v>1.238</v>
      </c>
      <c r="BG13" s="264">
        <v>2.6231</v>
      </c>
      <c r="BI13" s="12">
        <f t="shared" si="16"/>
        <v>5.4976891503183483</v>
      </c>
      <c r="BJ13" s="12">
        <f t="shared" si="17"/>
        <v>4.9560453766846582</v>
      </c>
      <c r="BK13" s="12">
        <f t="shared" si="18"/>
        <v>5.2268672635015037</v>
      </c>
      <c r="BL13">
        <f t="shared" si="19"/>
        <v>0.3829999853238536</v>
      </c>
      <c r="BM13">
        <v>2</v>
      </c>
      <c r="BN13">
        <v>4.3</v>
      </c>
      <c r="BO13" s="12">
        <f t="shared" ref="BO13:BO15" si="28">(BN13*BL13)/SQRT(BM13)</f>
        <v>1.1645341133124336</v>
      </c>
      <c r="BS13">
        <f t="shared" si="5"/>
        <v>-1.0375391874858599</v>
      </c>
      <c r="CG13" t="s">
        <v>1176</v>
      </c>
      <c r="CH13" s="37">
        <v>44615</v>
      </c>
      <c r="CI13" s="32">
        <v>0.37847222222222227</v>
      </c>
      <c r="CJ13">
        <f>CM12+(24*2)+1</f>
        <v>665.76666666666665</v>
      </c>
      <c r="CK13">
        <v>-12</v>
      </c>
      <c r="CL13">
        <f t="shared" si="25"/>
        <v>39934</v>
      </c>
      <c r="CM13">
        <f t="shared" si="26"/>
        <v>665.56666666666672</v>
      </c>
      <c r="CN13">
        <f t="shared" si="27"/>
        <v>34.000000000003183</v>
      </c>
      <c r="CO13">
        <v>665</v>
      </c>
    </row>
    <row r="14" spans="1:93">
      <c r="A14" t="s">
        <v>1296</v>
      </c>
      <c r="B14" s="14">
        <v>44636</v>
      </c>
      <c r="C14" s="12">
        <v>865.73333333333335</v>
      </c>
      <c r="D14" s="4">
        <v>4.3540000000000001</v>
      </c>
      <c r="E14" s="4">
        <v>0.80389999999999995</v>
      </c>
      <c r="F14" s="4">
        <v>0.92849999999999999</v>
      </c>
      <c r="G14" s="212">
        <f>(E14+0.4715)/3.0941</f>
        <v>0.4122038718852008</v>
      </c>
      <c r="H14" s="4">
        <v>0.74270000000000003</v>
      </c>
      <c r="I14" s="4">
        <v>6.2610000000000001</v>
      </c>
      <c r="J14" s="4">
        <v>5.6814999999999998</v>
      </c>
      <c r="K14" s="4">
        <v>29.498000000000001</v>
      </c>
      <c r="L14" s="4">
        <v>10.154</v>
      </c>
      <c r="M14" s="4">
        <v>1.7931999999999999</v>
      </c>
      <c r="N14" s="4">
        <v>6.6444999999999999</v>
      </c>
      <c r="O14" s="4" t="s">
        <v>1339</v>
      </c>
      <c r="P14" s="4" t="s">
        <v>1340</v>
      </c>
      <c r="Q14" s="4" t="s">
        <v>1341</v>
      </c>
      <c r="R14" s="1">
        <v>4.3879999999999999</v>
      </c>
      <c r="S14" s="1">
        <v>16.181899999999999</v>
      </c>
      <c r="T14" s="1">
        <v>37.679400000000001</v>
      </c>
      <c r="U14" s="212">
        <f>(S14+0.4715)/3.0941</f>
        <v>5.3823082641155739</v>
      </c>
      <c r="V14" s="1">
        <v>6.5221999999999998</v>
      </c>
      <c r="W14" s="1">
        <v>6.3010000000000002</v>
      </c>
      <c r="X14" s="1">
        <v>6.3071000000000002</v>
      </c>
      <c r="Y14" s="1">
        <v>29.171199999999999</v>
      </c>
      <c r="Z14" s="1">
        <v>10.157999999999999</v>
      </c>
      <c r="AA14" s="1">
        <v>1.4337</v>
      </c>
      <c r="AB14" s="1">
        <v>5.2030000000000003</v>
      </c>
      <c r="AC14" s="1">
        <v>16.655000000000001</v>
      </c>
      <c r="AD14" s="1">
        <v>5.1738</v>
      </c>
      <c r="AE14" s="1">
        <v>11.2698</v>
      </c>
      <c r="AF14" s="2">
        <v>4.3879999999999999</v>
      </c>
      <c r="AG14" s="2">
        <v>14.712199999999999</v>
      </c>
      <c r="AH14" s="2">
        <v>34.2301</v>
      </c>
      <c r="AI14" s="212">
        <f>(AG14+0.4715)/3.0941</f>
        <v>4.9073074561261754</v>
      </c>
      <c r="AJ14" s="2">
        <v>5.9698000000000002</v>
      </c>
      <c r="AK14" s="2">
        <v>6.2679999999999998</v>
      </c>
      <c r="AL14" s="2">
        <v>5.8601000000000001</v>
      </c>
      <c r="AM14" s="2">
        <v>26.567399999999999</v>
      </c>
      <c r="AN14" s="2">
        <v>10.161</v>
      </c>
      <c r="AO14" s="2">
        <v>1.7827</v>
      </c>
      <c r="AP14" s="2">
        <v>6.5602</v>
      </c>
      <c r="AQ14" s="2">
        <v>16.675000000000001</v>
      </c>
      <c r="AR14" s="2">
        <v>1.7392000000000001</v>
      </c>
      <c r="AS14" s="2">
        <v>3.7012999999999998</v>
      </c>
      <c r="AT14" s="264">
        <v>4.3710000000000004</v>
      </c>
      <c r="AU14" s="264">
        <v>10.8407</v>
      </c>
      <c r="AV14" s="264">
        <v>23.000699999999998</v>
      </c>
      <c r="AW14" s="212">
        <f>(AU14+0.4715)/3.0941</f>
        <v>3.6560550725574483</v>
      </c>
      <c r="AX14" s="264">
        <v>4.5148000000000001</v>
      </c>
      <c r="AY14" s="264" t="s">
        <v>1342</v>
      </c>
      <c r="AZ14" s="264" t="s">
        <v>1343</v>
      </c>
      <c r="BA14" s="264" t="s">
        <v>1344</v>
      </c>
      <c r="BB14" s="264">
        <v>10.154</v>
      </c>
      <c r="BC14" s="264">
        <v>2.3374999999999999</v>
      </c>
      <c r="BD14" s="264">
        <v>8.6559000000000008</v>
      </c>
      <c r="BE14" s="264">
        <v>16.670999999999999</v>
      </c>
      <c r="BF14" s="264">
        <v>1.2213000000000001</v>
      </c>
      <c r="BG14" s="264">
        <v>2.5870000000000002</v>
      </c>
      <c r="BI14" s="12">
        <f t="shared" si="16"/>
        <v>5.3823082641155739</v>
      </c>
      <c r="BJ14" s="12">
        <f t="shared" si="17"/>
        <v>4.9073074561261754</v>
      </c>
      <c r="BK14" s="12">
        <f t="shared" si="18"/>
        <v>5.1448078601208742</v>
      </c>
      <c r="BL14">
        <f t="shared" si="19"/>
        <v>0.33587629239839295</v>
      </c>
      <c r="BM14">
        <v>2</v>
      </c>
      <c r="BN14">
        <v>4.3</v>
      </c>
      <c r="BO14" s="12">
        <f t="shared" si="28"/>
        <v>1.021251737177207</v>
      </c>
      <c r="BS14">
        <f t="shared" si="5"/>
        <v>-1.4887527875634263</v>
      </c>
      <c r="CG14" t="s">
        <v>1292</v>
      </c>
      <c r="CH14" s="37">
        <v>44617</v>
      </c>
      <c r="CI14" s="32">
        <v>0.40069444444444446</v>
      </c>
      <c r="CJ14">
        <f>CM13+(24*2)</f>
        <v>713.56666666666672</v>
      </c>
      <c r="CK14">
        <v>32</v>
      </c>
      <c r="CL14">
        <f t="shared" ref="CL14:CL15" si="29">(CJ14*60)+CK14</f>
        <v>42846</v>
      </c>
      <c r="CM14">
        <f t="shared" ref="CM14:CM15" si="30">CL14/60</f>
        <v>714.1</v>
      </c>
      <c r="CN14">
        <f t="shared" ref="CN14:CN15" si="31">(CM14-CO14)*60</f>
        <v>6.0000000000013642</v>
      </c>
      <c r="CO14">
        <v>714</v>
      </c>
    </row>
    <row r="15" spans="1:93">
      <c r="B15" s="14">
        <v>44638</v>
      </c>
      <c r="C15" s="12">
        <v>912.31666666666672</v>
      </c>
      <c r="D15" s="4">
        <v>4.3849999999999998</v>
      </c>
      <c r="E15" s="4">
        <v>0.53449999999999998</v>
      </c>
      <c r="F15" s="4">
        <v>0.62749999999999995</v>
      </c>
      <c r="G15" s="212">
        <f>(E15+0.188)/3.0944</f>
        <v>0.23348629782833505</v>
      </c>
      <c r="H15" s="4">
        <v>0.64149999999999996</v>
      </c>
      <c r="I15" s="4">
        <v>6.2750000000000004</v>
      </c>
      <c r="J15" s="4">
        <v>5.0694999999999997</v>
      </c>
      <c r="K15" s="4">
        <v>28.286899999999999</v>
      </c>
      <c r="L15" s="4">
        <v>10.175000000000001</v>
      </c>
      <c r="M15" s="4">
        <v>1.9287000000000001</v>
      </c>
      <c r="N15" s="4">
        <v>7.1567999999999996</v>
      </c>
      <c r="O15" s="4" t="s">
        <v>1375</v>
      </c>
      <c r="P15" s="4" t="s">
        <v>1376</v>
      </c>
      <c r="Q15" s="4" t="s">
        <v>1377</v>
      </c>
      <c r="R15" s="1">
        <v>4.4080000000000004</v>
      </c>
      <c r="S15" s="1">
        <v>13.954800000000001</v>
      </c>
      <c r="T15" s="1">
        <v>30.144300000000001</v>
      </c>
      <c r="U15" s="212">
        <f>(S15+0.188)/3.0944</f>
        <v>4.5704498448810762</v>
      </c>
      <c r="V15" s="1">
        <v>5.6852</v>
      </c>
      <c r="W15" s="1">
        <v>6.2750000000000004</v>
      </c>
      <c r="X15" s="1">
        <v>5.5358999999999998</v>
      </c>
      <c r="Y15" s="1">
        <v>25.453900000000001</v>
      </c>
      <c r="Z15" s="1">
        <v>10.170999999999999</v>
      </c>
      <c r="AA15" s="1">
        <v>1.6017999999999999</v>
      </c>
      <c r="AB15" s="1">
        <v>5.9020000000000001</v>
      </c>
      <c r="AC15" s="1">
        <v>16.710999999999999</v>
      </c>
      <c r="AD15" s="1">
        <v>1.4578</v>
      </c>
      <c r="AE15" s="1">
        <v>3.0948000000000002</v>
      </c>
      <c r="AF15" s="2">
        <v>4.4080000000000004</v>
      </c>
      <c r="AG15" s="2">
        <v>14.4102</v>
      </c>
      <c r="AH15" s="2">
        <v>31.719899999999999</v>
      </c>
      <c r="AI15" s="212">
        <f>(AG15+0.188)/3.0944</f>
        <v>4.7176189245087903</v>
      </c>
      <c r="AJ15" s="2">
        <v>5.8563000000000001</v>
      </c>
      <c r="AK15" s="2">
        <v>6.274</v>
      </c>
      <c r="AL15" s="2">
        <v>5.4725000000000001</v>
      </c>
      <c r="AM15" s="2">
        <v>25.6266</v>
      </c>
      <c r="AN15" s="2">
        <v>10.170999999999999</v>
      </c>
      <c r="AO15" s="2">
        <v>1.6044</v>
      </c>
      <c r="AP15" s="2">
        <v>5.9127000000000001</v>
      </c>
      <c r="AQ15" s="2">
        <v>16.707999999999998</v>
      </c>
      <c r="AR15" s="2">
        <v>1.4392</v>
      </c>
      <c r="AS15" s="2">
        <v>3.0512000000000001</v>
      </c>
      <c r="AT15" s="264">
        <v>4.3979999999999997</v>
      </c>
      <c r="AU15" s="264">
        <v>9.5413999999999994</v>
      </c>
      <c r="AV15" s="264">
        <v>21.854600000000001</v>
      </c>
      <c r="AW15" s="212">
        <f>(AU15+0.188)/3.0944</f>
        <v>3.1441959669079629</v>
      </c>
      <c r="AX15" s="264">
        <v>4.0265000000000004</v>
      </c>
      <c r="AY15" s="264">
        <v>6.2610000000000001</v>
      </c>
      <c r="AZ15" s="264">
        <v>0.70399999999999996</v>
      </c>
      <c r="BA15" s="264">
        <v>3.6625999999999999</v>
      </c>
      <c r="BB15" s="264">
        <v>10.167999999999999</v>
      </c>
      <c r="BC15" s="264">
        <v>2.0186999999999999</v>
      </c>
      <c r="BD15" s="264">
        <v>7.4634999999999998</v>
      </c>
      <c r="BE15" s="264">
        <v>16.707999999999998</v>
      </c>
      <c r="BF15" s="264">
        <v>1.0391999999999999</v>
      </c>
      <c r="BG15" s="264">
        <v>2.1953999999999998</v>
      </c>
      <c r="BI15" s="12">
        <f t="shared" si="16"/>
        <v>4.5704498448810762</v>
      </c>
      <c r="BJ15" s="12">
        <f t="shared" si="17"/>
        <v>4.7176189245087903</v>
      </c>
      <c r="BK15" s="12">
        <f t="shared" si="18"/>
        <v>4.6440343846949332</v>
      </c>
      <c r="BL15">
        <f t="shared" si="19"/>
        <v>0.10406425418573961</v>
      </c>
      <c r="BM15">
        <v>2</v>
      </c>
      <c r="BN15">
        <v>4.3</v>
      </c>
      <c r="BO15" s="12">
        <f t="shared" si="28"/>
        <v>0.31641352119958521</v>
      </c>
      <c r="BS15">
        <f t="shared" si="5"/>
        <v>-1.4998384177869704</v>
      </c>
      <c r="CG15" t="s">
        <v>1291</v>
      </c>
      <c r="CH15" s="37">
        <v>44621</v>
      </c>
      <c r="CI15" s="32">
        <v>0.4069444444444445</v>
      </c>
      <c r="CJ15">
        <f>CM14+(24*4)</f>
        <v>810.1</v>
      </c>
      <c r="CK15">
        <v>9</v>
      </c>
      <c r="CL15">
        <f t="shared" si="29"/>
        <v>48615</v>
      </c>
      <c r="CM15">
        <f t="shared" si="30"/>
        <v>810.25</v>
      </c>
      <c r="CN15">
        <f t="shared" si="31"/>
        <v>15</v>
      </c>
      <c r="CO15">
        <v>810</v>
      </c>
    </row>
    <row r="16" spans="1:93">
      <c r="B16" s="14">
        <v>44641</v>
      </c>
      <c r="C16" s="12">
        <v>984.35</v>
      </c>
      <c r="CG16" t="s">
        <v>1297</v>
      </c>
      <c r="CH16" s="37">
        <v>44636</v>
      </c>
      <c r="CI16" s="32">
        <v>0.4055555555555555</v>
      </c>
      <c r="CJ16">
        <f>CM15+24+7.25+24</f>
        <v>865.5</v>
      </c>
      <c r="CK16">
        <v>14</v>
      </c>
      <c r="CL16">
        <f t="shared" ref="CL16" si="32">(CJ16*60)+CK16</f>
        <v>51944</v>
      </c>
      <c r="CM16">
        <f t="shared" ref="CM16" si="33">CL16/60</f>
        <v>865.73333333333335</v>
      </c>
      <c r="CN16">
        <f t="shared" ref="CN16" si="34">(CM16-CO16)*60</f>
        <v>44.000000000000909</v>
      </c>
      <c r="CO16">
        <v>865</v>
      </c>
    </row>
    <row r="17" spans="71:93">
      <c r="BS17" s="434">
        <f>AVERAGE(BS3:BS15)</f>
        <v>-0.78149398245582091</v>
      </c>
      <c r="CG17" t="s">
        <v>1402</v>
      </c>
      <c r="CH17" s="37">
        <v>44638</v>
      </c>
      <c r="CI17" s="32">
        <v>0.34652777777777777</v>
      </c>
      <c r="CJ17">
        <f>CM16+(24*2)-1</f>
        <v>912.73333333333335</v>
      </c>
      <c r="CK17">
        <v>-25</v>
      </c>
      <c r="CL17">
        <f t="shared" ref="CL17:CL18" si="35">(CJ17*60)+CK17</f>
        <v>54739</v>
      </c>
      <c r="CM17">
        <f t="shared" ref="CM17:CM18" si="36">CL17/60</f>
        <v>912.31666666666672</v>
      </c>
      <c r="CN17">
        <f t="shared" ref="CN17:CN18" si="37">(CM17-CO17)*60</f>
        <v>19.000000000003183</v>
      </c>
      <c r="CO17">
        <v>912</v>
      </c>
    </row>
    <row r="18" spans="71:93">
      <c r="CG18" t="s">
        <v>1399</v>
      </c>
      <c r="CH18" s="37">
        <v>44641</v>
      </c>
      <c r="CI18" s="32">
        <v>0.34791666666666665</v>
      </c>
      <c r="CJ18">
        <f>CM17+(24*3)</f>
        <v>984.31666666666672</v>
      </c>
      <c r="CK18">
        <v>2</v>
      </c>
      <c r="CL18">
        <f t="shared" si="35"/>
        <v>59061</v>
      </c>
      <c r="CM18">
        <f t="shared" si="36"/>
        <v>984.35</v>
      </c>
      <c r="CN18">
        <f t="shared" si="37"/>
        <v>21.000000000001364</v>
      </c>
      <c r="CO18">
        <v>984</v>
      </c>
    </row>
  </sheetData>
  <mergeCells count="4">
    <mergeCell ref="D1:Q1"/>
    <mergeCell ref="R1:AE1"/>
    <mergeCell ref="AF1:AS1"/>
    <mergeCell ref="AT1:BG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E63DC-DA4F-B84F-993C-D524C33003F6}">
  <dimension ref="A1:CG18"/>
  <sheetViews>
    <sheetView workbookViewId="0">
      <pane xSplit="3" ySplit="1" topLeftCell="BB2" activePane="bottomRight" state="frozen"/>
      <selection pane="topRight" activeCell="D1" sqref="D1"/>
      <selection pane="bottomLeft" activeCell="A2" sqref="A2"/>
      <selection pane="bottomRight" activeCell="BJ3" sqref="BJ3:BJ15"/>
    </sheetView>
  </sheetViews>
  <sheetFormatPr defaultColWidth="10.6640625" defaultRowHeight="15.5"/>
  <cols>
    <col min="3" max="3" width="10.83203125" style="12"/>
    <col min="4" max="17" width="10.83203125" style="4"/>
    <col min="18" max="31" width="10.83203125" style="1"/>
    <col min="32" max="45" width="10.83203125" style="2"/>
    <col min="46" max="59" width="10.83203125" style="266"/>
  </cols>
  <sheetData>
    <row r="1" spans="1:85" ht="16" customHeight="1">
      <c r="B1" s="10"/>
      <c r="D1" s="677" t="s">
        <v>955</v>
      </c>
      <c r="E1" s="677"/>
      <c r="F1" s="677"/>
      <c r="G1" s="677"/>
      <c r="H1" s="677"/>
      <c r="I1" s="677"/>
      <c r="J1" s="677"/>
      <c r="K1" s="677"/>
      <c r="L1" s="677"/>
      <c r="M1" s="677"/>
      <c r="N1" s="677"/>
      <c r="O1" s="677"/>
      <c r="P1" s="677"/>
      <c r="Q1" s="677"/>
      <c r="R1" s="675" t="s">
        <v>956</v>
      </c>
      <c r="S1" s="675"/>
      <c r="T1" s="675"/>
      <c r="U1" s="675"/>
      <c r="V1" s="675"/>
      <c r="W1" s="675"/>
      <c r="X1" s="675"/>
      <c r="Y1" s="675"/>
      <c r="Z1" s="675"/>
      <c r="AA1" s="675"/>
      <c r="AB1" s="675"/>
      <c r="AC1" s="675"/>
      <c r="AD1" s="675"/>
      <c r="AE1" s="675"/>
      <c r="AF1" s="676" t="s">
        <v>957</v>
      </c>
      <c r="AG1" s="676"/>
      <c r="AH1" s="676"/>
      <c r="AI1" s="676"/>
      <c r="AJ1" s="676"/>
      <c r="AK1" s="676"/>
      <c r="AL1" s="676"/>
      <c r="AM1" s="676"/>
      <c r="AN1" s="676"/>
      <c r="AO1" s="676"/>
      <c r="AP1" s="676"/>
      <c r="AQ1" s="676"/>
      <c r="AR1" s="676"/>
      <c r="AS1" s="676"/>
      <c r="AT1" s="682" t="s">
        <v>958</v>
      </c>
      <c r="AU1" s="682"/>
      <c r="AV1" s="682"/>
      <c r="AW1" s="682"/>
      <c r="AX1" s="682"/>
      <c r="AY1" s="682"/>
      <c r="AZ1" s="682"/>
      <c r="BA1" s="682"/>
      <c r="BB1" s="682"/>
      <c r="BC1" s="682"/>
      <c r="BD1" s="682"/>
      <c r="BE1" s="682"/>
      <c r="BF1" s="682"/>
      <c r="BG1" s="682"/>
      <c r="BH1" s="27"/>
      <c r="BI1" s="27"/>
      <c r="BJ1" s="27"/>
      <c r="BN1" s="12"/>
      <c r="BP1" t="s">
        <v>102</v>
      </c>
      <c r="BS1" s="27"/>
    </row>
    <row r="2" spans="1:85" ht="31">
      <c r="A2" s="214" t="s">
        <v>10</v>
      </c>
      <c r="B2" s="214" t="s">
        <v>0</v>
      </c>
      <c r="C2" s="13" t="s">
        <v>1</v>
      </c>
      <c r="D2" s="241" t="s">
        <v>2</v>
      </c>
      <c r="E2" s="241" t="s">
        <v>4</v>
      </c>
      <c r="F2" s="241" t="s">
        <v>3</v>
      </c>
      <c r="G2" s="23" t="s">
        <v>94</v>
      </c>
      <c r="H2" s="23" t="s">
        <v>921</v>
      </c>
      <c r="I2" s="241" t="s">
        <v>2</v>
      </c>
      <c r="J2" s="241" t="s">
        <v>4</v>
      </c>
      <c r="K2" s="241" t="s">
        <v>3</v>
      </c>
      <c r="L2" s="241" t="s">
        <v>2</v>
      </c>
      <c r="M2" s="241" t="s">
        <v>4</v>
      </c>
      <c r="N2" s="241" t="s">
        <v>3</v>
      </c>
      <c r="O2" s="241" t="s">
        <v>2</v>
      </c>
      <c r="P2" s="241" t="s">
        <v>4</v>
      </c>
      <c r="Q2" s="241" t="s">
        <v>3</v>
      </c>
      <c r="R2" s="239" t="s">
        <v>2</v>
      </c>
      <c r="S2" s="239" t="s">
        <v>4</v>
      </c>
      <c r="T2" s="239" t="s">
        <v>3</v>
      </c>
      <c r="U2" s="19" t="s">
        <v>92</v>
      </c>
      <c r="V2" s="19" t="s">
        <v>929</v>
      </c>
      <c r="W2" s="239" t="s">
        <v>2</v>
      </c>
      <c r="X2" s="239" t="s">
        <v>4</v>
      </c>
      <c r="Y2" s="239" t="s">
        <v>3</v>
      </c>
      <c r="Z2" s="239" t="s">
        <v>2</v>
      </c>
      <c r="AA2" s="239" t="s">
        <v>4</v>
      </c>
      <c r="AB2" s="239" t="s">
        <v>3</v>
      </c>
      <c r="AC2" s="239" t="s">
        <v>2</v>
      </c>
      <c r="AD2" s="239" t="s">
        <v>4</v>
      </c>
      <c r="AE2" s="239" t="s">
        <v>3</v>
      </c>
      <c r="AF2" s="240" t="s">
        <v>2</v>
      </c>
      <c r="AG2" s="240" t="s">
        <v>4</v>
      </c>
      <c r="AH2" s="240" t="s">
        <v>3</v>
      </c>
      <c r="AI2" s="16" t="s">
        <v>93</v>
      </c>
      <c r="AJ2" s="16" t="s">
        <v>929</v>
      </c>
      <c r="AK2" s="240" t="s">
        <v>2</v>
      </c>
      <c r="AL2" s="240" t="s">
        <v>4</v>
      </c>
      <c r="AM2" s="240" t="s">
        <v>3</v>
      </c>
      <c r="AN2" s="240" t="s">
        <v>2</v>
      </c>
      <c r="AO2" s="240" t="s">
        <v>4</v>
      </c>
      <c r="AP2" s="240" t="s">
        <v>3</v>
      </c>
      <c r="AQ2" s="240" t="s">
        <v>2</v>
      </c>
      <c r="AR2" s="240" t="s">
        <v>4</v>
      </c>
      <c r="AS2" s="240" t="s">
        <v>3</v>
      </c>
      <c r="AT2" s="215" t="s">
        <v>2</v>
      </c>
      <c r="AU2" s="215" t="s">
        <v>4</v>
      </c>
      <c r="AV2" s="215" t="s">
        <v>3</v>
      </c>
      <c r="AW2" s="265" t="s">
        <v>78</v>
      </c>
      <c r="AX2" s="265" t="s">
        <v>925</v>
      </c>
      <c r="AY2" s="215" t="s">
        <v>2</v>
      </c>
      <c r="AZ2" s="215" t="s">
        <v>4</v>
      </c>
      <c r="BA2" s="215" t="s">
        <v>3</v>
      </c>
      <c r="BB2" s="215" t="s">
        <v>2</v>
      </c>
      <c r="BC2" s="215" t="s">
        <v>4</v>
      </c>
      <c r="BD2" s="215" t="s">
        <v>3</v>
      </c>
      <c r="BE2" s="215" t="s">
        <v>2</v>
      </c>
      <c r="BF2" s="215" t="s">
        <v>4</v>
      </c>
      <c r="BG2" s="215" t="s">
        <v>3</v>
      </c>
      <c r="BI2" s="272" t="s">
        <v>998</v>
      </c>
      <c r="BJ2" s="273" t="s">
        <v>999</v>
      </c>
      <c r="BK2" s="28" t="s">
        <v>1187</v>
      </c>
      <c r="BL2" t="s">
        <v>99</v>
      </c>
      <c r="BM2" t="s">
        <v>100</v>
      </c>
      <c r="BN2" t="s">
        <v>101</v>
      </c>
      <c r="BO2" t="s">
        <v>103</v>
      </c>
      <c r="CG2" t="s">
        <v>1556</v>
      </c>
    </row>
    <row r="3" spans="1:85">
      <c r="A3" t="s">
        <v>947</v>
      </c>
      <c r="B3" s="14">
        <v>44589</v>
      </c>
      <c r="C3" s="12">
        <v>45.216666666666669</v>
      </c>
      <c r="D3" s="4">
        <v>4.3979999999999997</v>
      </c>
      <c r="E3" s="4">
        <v>1.0706</v>
      </c>
      <c r="F3" s="4">
        <v>1.9637</v>
      </c>
      <c r="G3" s="212">
        <f>(E3-0.2666)/3.15</f>
        <v>0.25523809523809526</v>
      </c>
      <c r="H3" s="4">
        <v>0.84299999999999997</v>
      </c>
      <c r="I3" s="4">
        <v>6.375</v>
      </c>
      <c r="J3" s="4">
        <v>2.1913</v>
      </c>
      <c r="K3" s="4">
        <v>11.3687</v>
      </c>
      <c r="L3" s="4">
        <v>10.525</v>
      </c>
      <c r="M3" s="4">
        <v>1.6568000000000001</v>
      </c>
      <c r="N3" s="4">
        <v>5.9576000000000002</v>
      </c>
      <c r="O3" s="4" t="s">
        <v>965</v>
      </c>
      <c r="P3" s="4" t="s">
        <v>966</v>
      </c>
      <c r="Q3" s="4" t="s">
        <v>967</v>
      </c>
      <c r="R3" s="1">
        <v>4.4340000000000002</v>
      </c>
      <c r="S3" s="1">
        <v>14.0966</v>
      </c>
      <c r="T3" s="1">
        <v>34.082799999999999</v>
      </c>
      <c r="U3" s="212">
        <f>(S3-0.2666)/3.15</f>
        <v>4.3904761904761909</v>
      </c>
      <c r="V3" s="1">
        <v>5.7385000000000002</v>
      </c>
      <c r="W3" s="1">
        <v>6.3879999999999999</v>
      </c>
      <c r="X3" s="1">
        <v>2.4946000000000002</v>
      </c>
      <c r="Y3" s="1">
        <v>10.312900000000001</v>
      </c>
      <c r="Z3" s="1">
        <v>10.523999999999999</v>
      </c>
      <c r="AA3" s="1">
        <v>0.92149999999999999</v>
      </c>
      <c r="AB3" s="1">
        <v>3.2721</v>
      </c>
      <c r="AC3" s="1" t="s">
        <v>968</v>
      </c>
      <c r="AD3" s="1" t="s">
        <v>969</v>
      </c>
      <c r="AE3" s="1" t="s">
        <v>970</v>
      </c>
      <c r="AF3" s="2">
        <v>4.4349999999999996</v>
      </c>
      <c r="AG3" s="2">
        <v>14.3078</v>
      </c>
      <c r="AH3" s="2">
        <v>35.042099999999998</v>
      </c>
      <c r="AI3" s="212">
        <f>(AG3-0.2666)/3.15</f>
        <v>4.4575238095238099</v>
      </c>
      <c r="AJ3" s="2">
        <v>5.8178000000000001</v>
      </c>
      <c r="AK3" s="2">
        <v>6.3879999999999999</v>
      </c>
      <c r="AL3" s="2">
        <v>2.5605000000000002</v>
      </c>
      <c r="AM3" s="2">
        <v>10.721299999999999</v>
      </c>
      <c r="AN3" s="2">
        <v>10.528</v>
      </c>
      <c r="AO3" s="2">
        <v>0.81479999999999997</v>
      </c>
      <c r="AP3" s="2">
        <v>2.4420999999999999</v>
      </c>
      <c r="AQ3" s="2" t="s">
        <v>971</v>
      </c>
      <c r="AR3" s="2" t="s">
        <v>972</v>
      </c>
      <c r="AS3" s="2" t="s">
        <v>973</v>
      </c>
      <c r="AT3" s="266">
        <v>4.4340000000000002</v>
      </c>
      <c r="AU3" s="266">
        <v>12.817</v>
      </c>
      <c r="AV3" s="266">
        <v>28.616599999999998</v>
      </c>
      <c r="AW3" s="212">
        <f>(AU3-0.2666)/3.15</f>
        <v>3.9842539682539684</v>
      </c>
      <c r="AX3" s="266">
        <v>5.2576000000000001</v>
      </c>
      <c r="AY3" s="266">
        <v>6.3739999999999997</v>
      </c>
      <c r="AZ3" s="266">
        <v>0.97040000000000004</v>
      </c>
      <c r="BA3" s="266">
        <v>4.4481000000000002</v>
      </c>
      <c r="BB3" s="266">
        <v>10.528</v>
      </c>
      <c r="BC3" s="266">
        <v>1.4323999999999999</v>
      </c>
      <c r="BD3" s="266">
        <v>5.1304999999999996</v>
      </c>
      <c r="BE3" s="266">
        <v>17.361000000000001</v>
      </c>
      <c r="BF3" s="266">
        <v>1.6039000000000001</v>
      </c>
      <c r="BG3" s="266">
        <v>3.3264999999999998</v>
      </c>
      <c r="BI3" s="12">
        <f>U3</f>
        <v>4.3904761904761909</v>
      </c>
      <c r="BJ3" s="12">
        <f>AI3</f>
        <v>4.4575238095238099</v>
      </c>
      <c r="BK3" s="12">
        <f>(U3+AI3)/2</f>
        <v>4.4240000000000004</v>
      </c>
      <c r="BL3">
        <f>STDEV(BI3:BJ3)</f>
        <v>4.7409826090983737E-2</v>
      </c>
      <c r="BM3">
        <v>2</v>
      </c>
      <c r="BN3">
        <v>4.3</v>
      </c>
      <c r="BO3" s="12">
        <f>(BN3*BL3)/SQRT(BM3)</f>
        <v>0.14415238095238087</v>
      </c>
      <c r="BX3" t="s">
        <v>1014</v>
      </c>
      <c r="BY3" s="14">
        <v>44587</v>
      </c>
      <c r="BZ3" s="260">
        <v>0.64722222222222225</v>
      </c>
      <c r="CG3">
        <f>((AW3-U3)+(AW3-AI3))/2</f>
        <v>-0.439746031746032</v>
      </c>
    </row>
    <row r="4" spans="1:85">
      <c r="A4" t="s">
        <v>947</v>
      </c>
      <c r="B4" s="14">
        <v>44594</v>
      </c>
      <c r="C4" s="12">
        <v>162.96666666666667</v>
      </c>
      <c r="D4" s="4">
        <v>4.3810000000000002</v>
      </c>
      <c r="E4" s="4">
        <v>1.7774000000000001</v>
      </c>
      <c r="F4" s="4">
        <v>3.3980999999999999</v>
      </c>
      <c r="G4" s="212">
        <f>(E4-0.2666)/3.15</f>
        <v>0.47961904761904767</v>
      </c>
      <c r="H4" s="4">
        <v>1.1086</v>
      </c>
      <c r="I4" s="4">
        <v>6.3680000000000003</v>
      </c>
      <c r="J4" s="4">
        <v>1.5886</v>
      </c>
      <c r="K4" s="4">
        <v>7.0023999999999997</v>
      </c>
      <c r="L4" s="4">
        <v>10.510999999999999</v>
      </c>
      <c r="M4" s="4">
        <v>1.7184999999999999</v>
      </c>
      <c r="N4" s="4">
        <v>6.1840000000000002</v>
      </c>
      <c r="O4" s="4">
        <v>17.347999999999999</v>
      </c>
      <c r="P4" s="4">
        <v>0.10630000000000001</v>
      </c>
      <c r="Q4" s="4">
        <v>0.21929999999999999</v>
      </c>
      <c r="R4" s="1">
        <v>4.4139999999999997</v>
      </c>
      <c r="S4" s="1">
        <v>12.365600000000001</v>
      </c>
      <c r="T4" s="1">
        <v>30.855899999999998</v>
      </c>
      <c r="U4" s="212">
        <f>(S4-0.2666)/3.15</f>
        <v>3.8409523809523813</v>
      </c>
      <c r="V4" s="1">
        <v>5.0879000000000003</v>
      </c>
      <c r="W4" s="1" t="s">
        <v>983</v>
      </c>
      <c r="X4" s="1" t="s">
        <v>984</v>
      </c>
      <c r="Y4" s="1" t="s">
        <v>985</v>
      </c>
      <c r="Z4" s="1">
        <v>10.513999999999999</v>
      </c>
      <c r="AA4" s="1">
        <v>1.8013999999999999</v>
      </c>
      <c r="AB4" s="1">
        <v>6.4739000000000004</v>
      </c>
      <c r="AC4" s="1">
        <v>17.350999999999999</v>
      </c>
      <c r="AD4" s="1">
        <v>0.91790000000000005</v>
      </c>
      <c r="AE4" s="1">
        <v>1.8946000000000001</v>
      </c>
      <c r="AF4" s="2">
        <v>4.4139999999999997</v>
      </c>
      <c r="AG4" s="2">
        <v>13.2105</v>
      </c>
      <c r="AH4" s="2">
        <v>33.655299999999997</v>
      </c>
      <c r="AI4" s="212">
        <f>(AG4-0.2666)/3.15</f>
        <v>4.109174603174603</v>
      </c>
      <c r="AJ4" s="2">
        <v>5.4054000000000002</v>
      </c>
      <c r="AK4" s="2">
        <v>6.3680000000000003</v>
      </c>
      <c r="AL4" s="2">
        <v>1.3328</v>
      </c>
      <c r="AM4" s="2">
        <v>6.1146000000000003</v>
      </c>
      <c r="AN4" s="2">
        <v>10.507999999999999</v>
      </c>
      <c r="AO4" s="2">
        <v>1.7576000000000001</v>
      </c>
      <c r="AP4" s="2">
        <v>6.2074999999999996</v>
      </c>
      <c r="AQ4" s="2">
        <v>17.338000000000001</v>
      </c>
      <c r="AR4" s="2">
        <v>1.1621999999999999</v>
      </c>
      <c r="AS4" s="2">
        <v>2.4035000000000002</v>
      </c>
      <c r="AT4" s="266">
        <v>4.4139999999999997</v>
      </c>
      <c r="AU4" s="266">
        <v>12.8841</v>
      </c>
      <c r="AV4" s="266">
        <v>32.753799999999998</v>
      </c>
      <c r="AW4" s="212">
        <f>(AU4-0.2666)/3.15</f>
        <v>4.0055555555555555</v>
      </c>
      <c r="AX4" s="266">
        <v>5.2827999999999999</v>
      </c>
      <c r="AY4" s="266" t="s">
        <v>986</v>
      </c>
      <c r="AZ4" s="266" t="s">
        <v>987</v>
      </c>
      <c r="BA4" s="266" t="s">
        <v>988</v>
      </c>
      <c r="BB4" s="266">
        <v>10.510999999999999</v>
      </c>
      <c r="BC4" s="266">
        <v>2.2865000000000002</v>
      </c>
      <c r="BD4" s="266">
        <v>8.2972000000000001</v>
      </c>
      <c r="BE4" s="266">
        <v>17.341000000000001</v>
      </c>
      <c r="BF4" s="266">
        <v>1.3871</v>
      </c>
      <c r="BG4" s="266">
        <v>2.8677000000000001</v>
      </c>
      <c r="BI4" s="12">
        <f t="shared" ref="BI4:BI9" si="0">U4</f>
        <v>3.8409523809523813</v>
      </c>
      <c r="BJ4" s="12">
        <f t="shared" ref="BJ4:BJ9" si="1">AI4</f>
        <v>4.109174603174603</v>
      </c>
      <c r="BK4" s="12">
        <f t="shared" ref="BK4:BK9" si="2">(U4+AI4)/2</f>
        <v>3.9750634920634922</v>
      </c>
      <c r="BL4">
        <f t="shared" ref="BL4:BL9" si="3">STDEV(BI4:BJ4)</f>
        <v>0.18966175219825804</v>
      </c>
      <c r="BM4">
        <v>2</v>
      </c>
      <c r="BN4">
        <v>4.3</v>
      </c>
      <c r="BO4" s="12">
        <f t="shared" ref="BO4:BO9" si="4">(BN4*BL4)/SQRT(BM4)</f>
        <v>0.57667777777777662</v>
      </c>
      <c r="BW4" t="s">
        <v>160</v>
      </c>
      <c r="BX4" t="s">
        <v>1</v>
      </c>
      <c r="BY4" t="s">
        <v>140</v>
      </c>
      <c r="BZ4" t="s">
        <v>191</v>
      </c>
      <c r="CA4" t="s">
        <v>192</v>
      </c>
      <c r="CB4" t="s">
        <v>194</v>
      </c>
      <c r="CC4" t="s">
        <v>196</v>
      </c>
      <c r="CD4" t="s">
        <v>197</v>
      </c>
      <c r="CG4">
        <f t="shared" ref="CG4:CG15" si="5">((AW4-U4)+(AW4-AI4))/2</f>
        <v>3.0492063492063348E-2</v>
      </c>
    </row>
    <row r="5" spans="1:85">
      <c r="A5" t="s">
        <v>1025</v>
      </c>
      <c r="B5" s="14">
        <v>44596</v>
      </c>
      <c r="C5" s="12">
        <v>210.7</v>
      </c>
      <c r="D5" s="4">
        <v>4.3810000000000002</v>
      </c>
      <c r="E5" s="4">
        <v>1.825</v>
      </c>
      <c r="F5" s="4">
        <v>3.2945000000000002</v>
      </c>
      <c r="G5" s="212">
        <f>(E5+0.247)/3.2403</f>
        <v>0.63944696478721108</v>
      </c>
      <c r="H5" s="4">
        <v>1.1265000000000001</v>
      </c>
      <c r="I5" s="4" t="s">
        <v>1029</v>
      </c>
      <c r="J5" s="4" t="s">
        <v>1030</v>
      </c>
      <c r="K5" s="4" t="s">
        <v>1031</v>
      </c>
      <c r="L5" s="4">
        <v>10.401</v>
      </c>
      <c r="M5" s="4">
        <v>1.6227</v>
      </c>
      <c r="N5" s="4">
        <v>6.0589000000000004</v>
      </c>
      <c r="O5" s="4">
        <v>17.100999999999999</v>
      </c>
      <c r="P5" s="4">
        <v>0.1072</v>
      </c>
      <c r="Q5" s="4">
        <v>0.22059999999999999</v>
      </c>
      <c r="R5" s="1">
        <v>4.415</v>
      </c>
      <c r="S5" s="1">
        <v>11.8927</v>
      </c>
      <c r="T5" s="1">
        <v>27.935700000000001</v>
      </c>
      <c r="U5" s="212">
        <f>(S5+0.247)/3.2403</f>
        <v>3.7464740919050703</v>
      </c>
      <c r="V5" s="1">
        <v>4.9101999999999997</v>
      </c>
      <c r="W5" s="1">
        <v>6.375</v>
      </c>
      <c r="X5" s="1">
        <v>1.1237999999999999</v>
      </c>
      <c r="Y5" s="1">
        <v>5.3346999999999998</v>
      </c>
      <c r="Z5" s="1">
        <v>10.404999999999999</v>
      </c>
      <c r="AA5" s="1">
        <v>1.7155</v>
      </c>
      <c r="AB5" s="1">
        <v>6.3944000000000001</v>
      </c>
      <c r="AC5" s="1">
        <v>17.094999999999999</v>
      </c>
      <c r="AD5" s="1">
        <v>1.0643</v>
      </c>
      <c r="AE5" s="1">
        <v>2.254</v>
      </c>
      <c r="AF5" s="2">
        <v>4.4139999999999997</v>
      </c>
      <c r="AG5" s="2">
        <v>12.5641</v>
      </c>
      <c r="AH5" s="2">
        <v>30.125299999999999</v>
      </c>
      <c r="AI5" s="212">
        <f>(AG5+0.247)/3.2403</f>
        <v>3.9536771286609262</v>
      </c>
      <c r="AJ5" s="2">
        <v>5.1624999999999996</v>
      </c>
      <c r="AK5" s="2">
        <v>6.3680000000000003</v>
      </c>
      <c r="AL5" s="2">
        <v>1.1742999999999999</v>
      </c>
      <c r="AM5" s="2">
        <v>5.5803000000000003</v>
      </c>
      <c r="AN5" s="2">
        <v>10.401</v>
      </c>
      <c r="AO5" s="2">
        <v>1.7251000000000001</v>
      </c>
      <c r="AP5" s="2">
        <v>6.4427000000000003</v>
      </c>
      <c r="AQ5" s="2">
        <v>17.094000000000001</v>
      </c>
      <c r="AR5" s="2">
        <v>0.96679999999999999</v>
      </c>
      <c r="AS5" s="2">
        <v>2.0501</v>
      </c>
      <c r="AT5" s="266">
        <v>4.4180000000000001</v>
      </c>
      <c r="AU5" s="266">
        <v>13.3888</v>
      </c>
      <c r="AV5" s="266">
        <v>32.2149</v>
      </c>
      <c r="AW5" s="212">
        <f>(AU5+0.247)/3.2403</f>
        <v>4.2081905996358362</v>
      </c>
      <c r="AX5" s="266">
        <v>5.4724000000000004</v>
      </c>
      <c r="AY5" s="266" t="s">
        <v>1032</v>
      </c>
      <c r="AZ5" s="266" t="s">
        <v>1033</v>
      </c>
      <c r="BA5" s="266" t="s">
        <v>1034</v>
      </c>
      <c r="BB5" s="266">
        <v>10.404999999999999</v>
      </c>
      <c r="BC5" s="266">
        <v>2.1541000000000001</v>
      </c>
      <c r="BD5" s="266">
        <v>7.1101000000000001</v>
      </c>
      <c r="BE5" s="266">
        <v>17.088000000000001</v>
      </c>
      <c r="BF5" s="266">
        <v>1.3911</v>
      </c>
      <c r="BG5" s="266">
        <v>2.9262999999999999</v>
      </c>
      <c r="BI5" s="12">
        <f t="shared" si="0"/>
        <v>3.7464740919050703</v>
      </c>
      <c r="BJ5" s="12">
        <f t="shared" si="1"/>
        <v>3.9536771286609262</v>
      </c>
      <c r="BK5" s="12">
        <f t="shared" si="2"/>
        <v>3.8500756102829983</v>
      </c>
      <c r="BL5">
        <f t="shared" si="3"/>
        <v>0.1465146723725112</v>
      </c>
      <c r="BM5">
        <v>2</v>
      </c>
      <c r="BN5">
        <v>4.3</v>
      </c>
      <c r="BO5" s="12">
        <f t="shared" si="4"/>
        <v>0.44548652902509028</v>
      </c>
      <c r="BV5" t="s">
        <v>1006</v>
      </c>
      <c r="BW5" s="37">
        <v>44589</v>
      </c>
      <c r="BX5" s="32">
        <v>0.53125</v>
      </c>
      <c r="BY5">
        <f>(24*2)-3</f>
        <v>45</v>
      </c>
      <c r="BZ5">
        <f>45-32</f>
        <v>13</v>
      </c>
      <c r="CA5">
        <f t="shared" ref="CA5:CA10" si="6">(BY5*60)+BZ5</f>
        <v>2713</v>
      </c>
      <c r="CB5">
        <f t="shared" ref="CB5:CB10" si="7">CA5/60</f>
        <v>45.216666666666669</v>
      </c>
      <c r="CC5">
        <f t="shared" ref="CC5:CC10" si="8">(CB5-CD5)*60</f>
        <v>13.000000000000114</v>
      </c>
      <c r="CD5">
        <v>45</v>
      </c>
      <c r="CG5">
        <f t="shared" si="5"/>
        <v>0.35811498935283792</v>
      </c>
    </row>
    <row r="6" spans="1:85">
      <c r="A6" t="s">
        <v>1025</v>
      </c>
      <c r="B6" s="14">
        <v>44601</v>
      </c>
      <c r="C6" s="12">
        <v>330.61666666666667</v>
      </c>
      <c r="D6" s="1">
        <v>4.3710000000000004</v>
      </c>
      <c r="E6" s="1">
        <v>2.4148999999999998</v>
      </c>
      <c r="F6" s="1">
        <v>5.101</v>
      </c>
      <c r="G6" s="212">
        <f>(E6+0.247)/3.2403</f>
        <v>0.82149800944356999</v>
      </c>
      <c r="H6" s="4">
        <v>5.4568000000000003</v>
      </c>
      <c r="I6" s="4">
        <v>6.3449999999999998</v>
      </c>
      <c r="J6" s="4">
        <v>0.9758</v>
      </c>
      <c r="K6" s="4">
        <v>4.7458</v>
      </c>
      <c r="L6" s="4">
        <v>10.398</v>
      </c>
      <c r="M6" s="4">
        <v>2.4178999999999999</v>
      </c>
      <c r="N6" s="4">
        <v>9.0996000000000006</v>
      </c>
      <c r="O6" s="4">
        <v>17.085000000000001</v>
      </c>
      <c r="P6" s="4">
        <v>1.5111000000000001</v>
      </c>
      <c r="Q6" s="4">
        <v>3.1993</v>
      </c>
      <c r="R6" s="4">
        <v>4.4080000000000004</v>
      </c>
      <c r="S6" s="4">
        <v>13.347099999999999</v>
      </c>
      <c r="T6" s="4">
        <v>35.0167</v>
      </c>
      <c r="U6" s="212">
        <f>(S6+0.247)/3.2403</f>
        <v>4.1953214208560929</v>
      </c>
      <c r="V6" s="1">
        <v>1.3482000000000001</v>
      </c>
      <c r="W6" s="1">
        <v>6.3449999999999998</v>
      </c>
      <c r="X6" s="1">
        <v>1.3403</v>
      </c>
      <c r="Y6" s="1">
        <v>5.3667999999999996</v>
      </c>
      <c r="Z6" s="1">
        <v>10.395</v>
      </c>
      <c r="AA6" s="1">
        <v>2.1158999999999999</v>
      </c>
      <c r="AB6" s="1">
        <v>7.9184000000000001</v>
      </c>
      <c r="AC6" s="1">
        <v>17.077999999999999</v>
      </c>
      <c r="AD6" s="1">
        <v>0.1525</v>
      </c>
      <c r="AE6" s="1">
        <v>0.31890000000000002</v>
      </c>
      <c r="AF6" s="2">
        <v>4.4009999999999998</v>
      </c>
      <c r="AG6" s="2">
        <v>12.3574</v>
      </c>
      <c r="AH6" s="2">
        <v>32.275199999999998</v>
      </c>
      <c r="AI6" s="212">
        <f t="shared" ref="AI6:AI7" si="9">(AG6+0.247)/3.2403</f>
        <v>3.8898867388822023</v>
      </c>
      <c r="AJ6" s="2">
        <v>5.0848000000000004</v>
      </c>
      <c r="AK6" s="2">
        <v>6.3680000000000003</v>
      </c>
      <c r="AL6" s="2">
        <v>1.2075</v>
      </c>
      <c r="AM6" s="2">
        <v>5.7492000000000001</v>
      </c>
      <c r="AN6" s="2">
        <v>10.394</v>
      </c>
      <c r="AO6" s="2">
        <v>2.1894</v>
      </c>
      <c r="AP6" s="2">
        <v>8.1774000000000004</v>
      </c>
      <c r="AQ6" s="2">
        <v>17.081</v>
      </c>
      <c r="AR6" s="2">
        <v>1.0753999999999999</v>
      </c>
      <c r="AS6" s="2">
        <v>2.2658999999999998</v>
      </c>
      <c r="AT6" s="266">
        <v>4.4050000000000002</v>
      </c>
      <c r="AU6" s="266">
        <v>13.329700000000001</v>
      </c>
      <c r="AV6" s="266">
        <v>34.729500000000002</v>
      </c>
      <c r="AW6" s="212">
        <f t="shared" ref="AW6:AW7" si="10">(AU6+0.247)/3.2403</f>
        <v>4.189951547696201</v>
      </c>
      <c r="AX6" s="266">
        <v>5.4501999999999997</v>
      </c>
      <c r="AY6" s="266" t="s">
        <v>1041</v>
      </c>
      <c r="AZ6" s="266" t="s">
        <v>1042</v>
      </c>
      <c r="BA6" s="266" t="s">
        <v>1043</v>
      </c>
      <c r="BB6" s="266">
        <v>10.398</v>
      </c>
      <c r="BC6" s="266">
        <v>2.5177999999999998</v>
      </c>
      <c r="BD6" s="266">
        <v>8.2599</v>
      </c>
      <c r="BE6" s="266">
        <v>17.081</v>
      </c>
      <c r="BF6" s="266">
        <v>1.095</v>
      </c>
      <c r="BG6" s="266">
        <v>2.3098000000000001</v>
      </c>
      <c r="BI6" s="12">
        <f t="shared" si="0"/>
        <v>4.1953214208560929</v>
      </c>
      <c r="BJ6" s="12">
        <f t="shared" si="1"/>
        <v>3.8898867388822023</v>
      </c>
      <c r="BK6" s="12">
        <f t="shared" si="2"/>
        <v>4.0426040798691476</v>
      </c>
      <c r="BL6">
        <f t="shared" si="3"/>
        <v>0.21597493483329464</v>
      </c>
      <c r="BM6">
        <v>2</v>
      </c>
      <c r="BN6">
        <v>4.3</v>
      </c>
      <c r="BO6" s="12">
        <f t="shared" si="4"/>
        <v>0.65668456624386484</v>
      </c>
      <c r="BV6" t="s">
        <v>1007</v>
      </c>
      <c r="BW6" s="37">
        <v>44594</v>
      </c>
      <c r="BX6" s="32">
        <v>0.4375</v>
      </c>
      <c r="BY6">
        <f>CB5+(24*5)-2</f>
        <v>163.21666666666667</v>
      </c>
      <c r="BZ6">
        <v>-15</v>
      </c>
      <c r="CA6">
        <f t="shared" si="6"/>
        <v>9778</v>
      </c>
      <c r="CB6">
        <f t="shared" si="7"/>
        <v>162.96666666666667</v>
      </c>
      <c r="CC6">
        <f t="shared" si="8"/>
        <v>58.000000000000114</v>
      </c>
      <c r="CD6">
        <v>162</v>
      </c>
      <c r="CG6">
        <f t="shared" si="5"/>
        <v>0.14734746782705344</v>
      </c>
    </row>
    <row r="7" spans="1:85">
      <c r="A7" t="s">
        <v>1025</v>
      </c>
      <c r="B7" s="14">
        <v>44606</v>
      </c>
      <c r="C7" s="12">
        <v>450.9</v>
      </c>
      <c r="D7" s="4">
        <v>4.3579999999999997</v>
      </c>
      <c r="E7" s="4">
        <v>2.0388000000000002</v>
      </c>
      <c r="F7" s="4">
        <v>4.6982999999999997</v>
      </c>
      <c r="G7" s="212">
        <f t="shared" ref="G7" si="11">(E7+0.247)/3.2403</f>
        <v>0.70542850970589144</v>
      </c>
      <c r="H7" s="4">
        <v>1.2068000000000001</v>
      </c>
      <c r="I7" s="4">
        <v>6.375</v>
      </c>
      <c r="J7" s="4">
        <v>1.3937999999999999</v>
      </c>
      <c r="K7" s="4">
        <v>6.3463000000000003</v>
      </c>
      <c r="L7" s="4">
        <v>10.385</v>
      </c>
      <c r="M7" s="4">
        <v>2.9127999999999998</v>
      </c>
      <c r="N7" s="4">
        <v>10.7536</v>
      </c>
      <c r="O7" s="4">
        <v>17.074999999999999</v>
      </c>
      <c r="P7" s="4">
        <v>0.11890000000000001</v>
      </c>
      <c r="Q7" s="4">
        <v>0.24929999999999999</v>
      </c>
      <c r="R7" s="1">
        <v>4.3849999999999998</v>
      </c>
      <c r="S7" s="1">
        <v>12.133100000000001</v>
      </c>
      <c r="T7" s="1">
        <v>32.714799999999997</v>
      </c>
      <c r="U7" s="212">
        <f t="shared" ref="U7" si="12">(S7+0.247)/3.2403</f>
        <v>3.8206647532635869</v>
      </c>
      <c r="V7" s="1">
        <v>5.0004999999999997</v>
      </c>
      <c r="W7" s="1">
        <v>6.3780000000000001</v>
      </c>
      <c r="X7" s="1">
        <v>1.1821999999999999</v>
      </c>
      <c r="Y7" s="1">
        <v>5.7889999999999997</v>
      </c>
      <c r="Z7" s="1">
        <v>10.385</v>
      </c>
      <c r="AA7" s="1">
        <v>2.7637999999999998</v>
      </c>
      <c r="AB7" s="1">
        <v>10.171099999999999</v>
      </c>
      <c r="AC7" s="1">
        <v>17.071000000000002</v>
      </c>
      <c r="AD7" s="1">
        <v>0.62890000000000001</v>
      </c>
      <c r="AE7" s="1">
        <v>1.3194999999999999</v>
      </c>
      <c r="AF7" s="2">
        <v>4.3879999999999999</v>
      </c>
      <c r="AG7" s="2">
        <v>13.232900000000001</v>
      </c>
      <c r="AH7" s="2">
        <v>35.388399999999997</v>
      </c>
      <c r="AI7" s="212">
        <f t="shared" si="9"/>
        <v>4.1600777705767991</v>
      </c>
      <c r="AJ7" s="2">
        <v>5.4138999999999999</v>
      </c>
      <c r="AK7" s="2" t="s">
        <v>1053</v>
      </c>
      <c r="AL7" s="2" t="s">
        <v>1054</v>
      </c>
      <c r="AM7" s="2" t="s">
        <v>1055</v>
      </c>
      <c r="AN7" s="2">
        <v>10.388</v>
      </c>
      <c r="AO7" s="2">
        <v>3.5773999999999999</v>
      </c>
      <c r="AP7" s="2">
        <v>11.0909</v>
      </c>
      <c r="AQ7" s="2">
        <v>17.071000000000002</v>
      </c>
      <c r="AR7" s="2">
        <v>0.89429999999999998</v>
      </c>
      <c r="AS7" s="2">
        <v>1.8748</v>
      </c>
      <c r="AT7" s="266">
        <v>4.3979999999999997</v>
      </c>
      <c r="AU7" s="266">
        <v>13.6661</v>
      </c>
      <c r="AV7" s="266">
        <v>39.875700000000002</v>
      </c>
      <c r="AW7" s="212">
        <f t="shared" si="10"/>
        <v>4.2937690954541248</v>
      </c>
      <c r="AX7" s="266">
        <v>5.5766999999999998</v>
      </c>
      <c r="AY7" s="266" t="s">
        <v>1056</v>
      </c>
      <c r="AZ7" s="266" t="s">
        <v>1057</v>
      </c>
      <c r="BA7" s="266" t="s">
        <v>1058</v>
      </c>
      <c r="BB7" s="266">
        <v>10.395</v>
      </c>
      <c r="BC7" s="266">
        <v>2.4758</v>
      </c>
      <c r="BD7" s="266">
        <v>9.2757000000000005</v>
      </c>
      <c r="BE7" s="266">
        <v>17.068000000000001</v>
      </c>
      <c r="BF7" s="266">
        <v>2.7004000000000001</v>
      </c>
      <c r="BG7" s="266">
        <v>5.7621000000000002</v>
      </c>
      <c r="BI7" s="12">
        <f t="shared" si="0"/>
        <v>3.8206647532635869</v>
      </c>
      <c r="BJ7" s="12">
        <f t="shared" si="1"/>
        <v>4.1600777705767991</v>
      </c>
      <c r="BK7" s="12">
        <f t="shared" si="2"/>
        <v>3.9903712619201928</v>
      </c>
      <c r="BL7">
        <f t="shared" si="3"/>
        <v>0.24000124616515939</v>
      </c>
      <c r="BM7">
        <v>2</v>
      </c>
      <c r="BN7">
        <v>4.3</v>
      </c>
      <c r="BO7" s="12">
        <f t="shared" si="4"/>
        <v>0.7297379872234061</v>
      </c>
      <c r="BV7" t="s">
        <v>1008</v>
      </c>
      <c r="BW7" s="37">
        <v>44596</v>
      </c>
      <c r="BX7" s="32">
        <v>0.42638888888888887</v>
      </c>
      <c r="BY7">
        <f>CB6+(24*2)</f>
        <v>210.96666666666667</v>
      </c>
      <c r="BZ7">
        <v>-16</v>
      </c>
      <c r="CA7">
        <f t="shared" si="6"/>
        <v>12642</v>
      </c>
      <c r="CB7">
        <f t="shared" si="7"/>
        <v>210.7</v>
      </c>
      <c r="CC7">
        <f t="shared" si="8"/>
        <v>41.999999999999318</v>
      </c>
      <c r="CD7">
        <v>210</v>
      </c>
      <c r="CG7">
        <f t="shared" si="5"/>
        <v>0.30339783353393179</v>
      </c>
    </row>
    <row r="8" spans="1:85">
      <c r="A8" t="s">
        <v>1060</v>
      </c>
      <c r="B8" s="14">
        <v>44608</v>
      </c>
      <c r="C8" s="12">
        <v>498.5</v>
      </c>
      <c r="D8" s="4">
        <v>4.3680000000000003</v>
      </c>
      <c r="E8" s="4">
        <v>2.2130000000000001</v>
      </c>
      <c r="F8" s="4">
        <v>4.9592000000000001</v>
      </c>
      <c r="G8" s="212">
        <f>(E8-0.1228)/3.09</f>
        <v>0.67644012944983833</v>
      </c>
      <c r="H8" s="4">
        <v>1.2723</v>
      </c>
      <c r="I8" s="4">
        <v>6.3639999999999999</v>
      </c>
      <c r="J8" s="4">
        <v>1.2685999999999999</v>
      </c>
      <c r="K8" s="4">
        <v>5.5288000000000004</v>
      </c>
      <c r="L8" s="4">
        <v>10.371</v>
      </c>
      <c r="M8" s="4">
        <v>2.9350000000000001</v>
      </c>
      <c r="N8" s="4">
        <v>10.9253</v>
      </c>
      <c r="O8" s="4">
        <v>17.071000000000002</v>
      </c>
      <c r="P8" s="4">
        <v>0.1036</v>
      </c>
      <c r="Q8" s="4">
        <v>0.21659999999999999</v>
      </c>
      <c r="R8" s="1">
        <v>4.3970000000000002</v>
      </c>
      <c r="S8" s="1">
        <v>12.110099999999999</v>
      </c>
      <c r="T8" s="1">
        <v>31.633600000000001</v>
      </c>
      <c r="U8" s="212">
        <f>(S8-0.1228)/3.09</f>
        <v>3.8793851132686084</v>
      </c>
      <c r="V8" s="1">
        <v>4.9919000000000002</v>
      </c>
      <c r="W8" s="1">
        <v>6.3710000000000004</v>
      </c>
      <c r="X8" s="1">
        <v>1.2050000000000001</v>
      </c>
      <c r="Y8" s="1">
        <v>5.8506</v>
      </c>
      <c r="Z8" s="1">
        <v>10.377000000000001</v>
      </c>
      <c r="AA8" s="1">
        <v>8.5000000000000006E-2</v>
      </c>
      <c r="AB8" s="1">
        <v>11.461399999999999</v>
      </c>
      <c r="AC8" s="1">
        <v>17.074000000000002</v>
      </c>
      <c r="AD8" s="1">
        <v>0.76349999999999996</v>
      </c>
      <c r="AE8" s="1">
        <v>1.6032</v>
      </c>
      <c r="AF8" s="2">
        <v>4.3979999999999997</v>
      </c>
      <c r="AG8" s="2">
        <v>12.224399999999999</v>
      </c>
      <c r="AH8" s="2">
        <v>32.2042</v>
      </c>
      <c r="AI8" s="212">
        <f>(AG8-0.1228)/3.09</f>
        <v>3.9163754045307444</v>
      </c>
      <c r="AJ8" s="2">
        <v>5.0349000000000004</v>
      </c>
      <c r="AK8" s="2">
        <v>6.3710000000000004</v>
      </c>
      <c r="AL8" s="2">
        <v>1.1264000000000001</v>
      </c>
      <c r="AM8" s="2">
        <v>5.4105999999999996</v>
      </c>
      <c r="AN8" s="2">
        <v>10.375</v>
      </c>
      <c r="AO8" s="2">
        <v>3.0861000000000001</v>
      </c>
      <c r="AP8" s="2">
        <v>11.484999999999999</v>
      </c>
      <c r="AQ8" s="2">
        <v>17.074999999999999</v>
      </c>
      <c r="AR8" s="2">
        <v>0.72850000000000004</v>
      </c>
      <c r="AS8" s="2">
        <v>1.5291999999999999</v>
      </c>
      <c r="AT8" s="266">
        <v>4.4080000000000004</v>
      </c>
      <c r="AU8" s="266">
        <v>13.9711</v>
      </c>
      <c r="AV8" s="266">
        <v>39.126100000000001</v>
      </c>
      <c r="AW8" s="212">
        <f>(AU8-0.1228)/3.09</f>
        <v>4.4816504854368935</v>
      </c>
      <c r="AX8" s="266">
        <v>5.6913</v>
      </c>
      <c r="AY8" s="266">
        <v>6.3380000000000001</v>
      </c>
      <c r="AZ8" s="266">
        <v>0.91659999999999997</v>
      </c>
      <c r="BA8" s="266">
        <v>4.4074999999999998</v>
      </c>
      <c r="BB8" s="266" t="s">
        <v>1065</v>
      </c>
      <c r="BC8" s="266" t="s">
        <v>1066</v>
      </c>
      <c r="BD8" s="266" t="s">
        <v>1067</v>
      </c>
      <c r="BE8" s="266">
        <v>17.068000000000001</v>
      </c>
      <c r="BF8" s="266">
        <v>1.7549999999999999</v>
      </c>
      <c r="BG8" s="266">
        <v>3.6644000000000001</v>
      </c>
      <c r="BI8" s="12">
        <f t="shared" si="0"/>
        <v>3.8793851132686084</v>
      </c>
      <c r="BJ8" s="12">
        <f t="shared" si="1"/>
        <v>3.9163754045307444</v>
      </c>
      <c r="BK8" s="12">
        <f t="shared" si="2"/>
        <v>3.8978802588996766</v>
      </c>
      <c r="BL8">
        <f t="shared" si="3"/>
        <v>2.6156085789521895E-2</v>
      </c>
      <c r="BM8">
        <v>2</v>
      </c>
      <c r="BN8">
        <v>4.3</v>
      </c>
      <c r="BO8" s="12">
        <f t="shared" si="4"/>
        <v>7.9529126213592496E-2</v>
      </c>
      <c r="BV8" t="s">
        <v>1012</v>
      </c>
      <c r="BW8" s="37">
        <v>44601</v>
      </c>
      <c r="BX8" s="32">
        <v>0.42291666666666666</v>
      </c>
      <c r="BY8">
        <f>CB7+(24*5)</f>
        <v>330.7</v>
      </c>
      <c r="BZ8">
        <v>-5</v>
      </c>
      <c r="CA8">
        <f t="shared" si="6"/>
        <v>19837</v>
      </c>
      <c r="CB8">
        <f t="shared" si="7"/>
        <v>330.61666666666667</v>
      </c>
      <c r="CC8">
        <f t="shared" si="8"/>
        <v>37.000000000000455</v>
      </c>
      <c r="CD8">
        <v>330</v>
      </c>
      <c r="CG8">
        <f t="shared" si="5"/>
        <v>0.58377022653721711</v>
      </c>
    </row>
    <row r="9" spans="1:85">
      <c r="A9" t="s">
        <v>1060</v>
      </c>
      <c r="B9" s="14">
        <v>44610</v>
      </c>
      <c r="C9" s="12">
        <v>545.95000000000005</v>
      </c>
      <c r="D9" s="4">
        <v>4.3579999999999997</v>
      </c>
      <c r="E9" s="4">
        <v>2.3921999999999999</v>
      </c>
      <c r="F9" s="4">
        <v>5.9829999999999997</v>
      </c>
      <c r="G9" s="212">
        <f>(E9-0.1228)/3.09</f>
        <v>0.73443365695792884</v>
      </c>
      <c r="H9" s="4">
        <v>1.3395999999999999</v>
      </c>
      <c r="I9" s="4">
        <v>6.3680000000000003</v>
      </c>
      <c r="J9" s="4">
        <v>1.1840999999999999</v>
      </c>
      <c r="K9" s="4">
        <v>5.0506000000000002</v>
      </c>
      <c r="L9" s="4">
        <v>10.378</v>
      </c>
      <c r="M9" s="4">
        <v>2.8134000000000001</v>
      </c>
      <c r="N9" s="4">
        <v>10.472099999999999</v>
      </c>
      <c r="O9" s="4">
        <v>17.081</v>
      </c>
      <c r="P9" s="4">
        <v>8.1199999999999994E-2</v>
      </c>
      <c r="Q9" s="4">
        <v>0.16850000000000001</v>
      </c>
      <c r="R9" s="1">
        <v>4.3879999999999999</v>
      </c>
      <c r="S9" s="1">
        <v>11.629799999999999</v>
      </c>
      <c r="T9" s="1">
        <v>33.096299999999999</v>
      </c>
      <c r="U9" s="212">
        <f>(S9-0.1228)/3.09</f>
        <v>3.7239482200647251</v>
      </c>
      <c r="V9" s="1">
        <v>4.8113999999999999</v>
      </c>
      <c r="W9" s="1">
        <v>6.3710000000000004</v>
      </c>
      <c r="X9" s="1">
        <v>1.1181000000000001</v>
      </c>
      <c r="Y9" s="1">
        <v>5.3117000000000001</v>
      </c>
      <c r="Z9" s="1">
        <v>10.381</v>
      </c>
      <c r="AA9" s="1">
        <v>2.9943</v>
      </c>
      <c r="AB9" s="1">
        <v>11.1387</v>
      </c>
      <c r="AC9" s="1">
        <v>17.077999999999999</v>
      </c>
      <c r="AD9" s="1">
        <v>0.71960000000000002</v>
      </c>
      <c r="AE9" s="1">
        <v>1.5057</v>
      </c>
      <c r="AF9" s="2">
        <v>4.3879999999999999</v>
      </c>
      <c r="AG9" s="2">
        <v>12.236000000000001</v>
      </c>
      <c r="AH9" s="2">
        <v>34.718400000000003</v>
      </c>
      <c r="AI9" s="212">
        <f>(AG9-0.1228)/3.09</f>
        <v>3.9201294498381882</v>
      </c>
      <c r="AJ9" s="2">
        <v>5.0392000000000001</v>
      </c>
      <c r="AK9" s="2">
        <v>6.3680000000000003</v>
      </c>
      <c r="AL9" s="2">
        <v>1.2082999999999999</v>
      </c>
      <c r="AM9" s="2">
        <v>5.7786999999999997</v>
      </c>
      <c r="AN9" s="2">
        <v>10.378</v>
      </c>
      <c r="AO9" s="2">
        <v>3.6802999999999999</v>
      </c>
      <c r="AP9" s="2">
        <v>12.2493</v>
      </c>
      <c r="AQ9" s="2">
        <v>17.074999999999999</v>
      </c>
      <c r="AR9" s="2">
        <v>0.68679999999999997</v>
      </c>
      <c r="AS9" s="2">
        <v>1.4429000000000001</v>
      </c>
      <c r="AT9" s="266">
        <v>4.4009999999999998</v>
      </c>
      <c r="AU9" s="266">
        <v>14.392200000000001</v>
      </c>
      <c r="AV9" s="266">
        <v>44.309800000000003</v>
      </c>
      <c r="AW9" s="212">
        <f>(AU9-0.1228)/3.09</f>
        <v>4.6179288025889971</v>
      </c>
      <c r="AX9" s="266">
        <v>5.8495999999999997</v>
      </c>
      <c r="AY9" s="266">
        <v>6.3609999999999998</v>
      </c>
      <c r="AZ9" s="266">
        <v>0.91469999999999996</v>
      </c>
      <c r="BA9" s="266">
        <v>4.1969000000000003</v>
      </c>
      <c r="BB9" s="266" t="s">
        <v>1068</v>
      </c>
      <c r="BC9" s="266" t="s">
        <v>1069</v>
      </c>
      <c r="BD9" s="266" t="s">
        <v>1070</v>
      </c>
      <c r="BE9" s="266">
        <v>17.071000000000002</v>
      </c>
      <c r="BF9" s="266">
        <v>2.9618000000000002</v>
      </c>
      <c r="BG9" s="266">
        <v>6.3291000000000004</v>
      </c>
      <c r="BI9" s="12">
        <f t="shared" si="0"/>
        <v>3.7239482200647251</v>
      </c>
      <c r="BJ9" s="12">
        <f t="shared" si="1"/>
        <v>3.9201294498381882</v>
      </c>
      <c r="BK9" s="12">
        <f t="shared" si="2"/>
        <v>3.8220388349514565</v>
      </c>
      <c r="BL9">
        <f t="shared" si="3"/>
        <v>0.13872107791433197</v>
      </c>
      <c r="BM9">
        <v>2</v>
      </c>
      <c r="BN9">
        <v>4.3</v>
      </c>
      <c r="BO9" s="12">
        <f t="shared" si="4"/>
        <v>0.42178964401294561</v>
      </c>
      <c r="BV9" t="s">
        <v>1013</v>
      </c>
      <c r="BW9" s="37">
        <v>44606</v>
      </c>
      <c r="BX9" s="32">
        <v>0.43472222222222223</v>
      </c>
      <c r="BY9">
        <f>CB8+(24*5)</f>
        <v>450.61666666666667</v>
      </c>
      <c r="BZ9">
        <f>26-9</f>
        <v>17</v>
      </c>
      <c r="CA9">
        <f t="shared" si="6"/>
        <v>27054</v>
      </c>
      <c r="CB9">
        <f t="shared" si="7"/>
        <v>450.9</v>
      </c>
      <c r="CC9">
        <f t="shared" si="8"/>
        <v>53.999999999998636</v>
      </c>
      <c r="CD9">
        <v>450</v>
      </c>
      <c r="CG9">
        <f t="shared" si="5"/>
        <v>0.79588996763754039</v>
      </c>
    </row>
    <row r="10" spans="1:85">
      <c r="A10" t="s">
        <v>1274</v>
      </c>
      <c r="B10" s="14">
        <v>44613</v>
      </c>
      <c r="C10" s="12">
        <v>616.76666666666665</v>
      </c>
      <c r="D10" s="4">
        <v>4.3739999999999997</v>
      </c>
      <c r="E10" s="4">
        <v>2.0444</v>
      </c>
      <c r="F10" s="4">
        <v>4.0014000000000003</v>
      </c>
      <c r="G10" s="212">
        <f>(E10-0.0522)/3.15</f>
        <v>0.63244444444444448</v>
      </c>
      <c r="H10" s="4">
        <v>1.2089000000000001</v>
      </c>
      <c r="I10" s="4">
        <v>6.3140000000000001</v>
      </c>
      <c r="J10" s="4">
        <v>1.1517999999999999</v>
      </c>
      <c r="K10" s="4">
        <v>4.4641000000000002</v>
      </c>
      <c r="L10" s="4">
        <v>10.301</v>
      </c>
      <c r="M10" s="4">
        <v>2.7898000000000001</v>
      </c>
      <c r="N10" s="4">
        <v>10.367900000000001</v>
      </c>
      <c r="O10" s="4">
        <v>16.908000000000001</v>
      </c>
      <c r="P10" s="4">
        <v>6.9800000000000001E-2</v>
      </c>
      <c r="Q10" s="4">
        <v>0.1467</v>
      </c>
      <c r="R10" s="1">
        <v>4.3979999999999997</v>
      </c>
      <c r="S10" s="1">
        <v>10.9277</v>
      </c>
      <c r="T10" s="1">
        <v>24.4345</v>
      </c>
      <c r="U10" s="212">
        <f>(S10-0.0522)/3.15</f>
        <v>3.4525396825396828</v>
      </c>
      <c r="V10" s="1">
        <v>4.5475000000000003</v>
      </c>
      <c r="W10" s="1">
        <v>6.3339999999999996</v>
      </c>
      <c r="X10" s="1">
        <v>1.1087</v>
      </c>
      <c r="Y10" s="1">
        <v>4.8620999999999999</v>
      </c>
      <c r="Z10" s="1">
        <v>10.294</v>
      </c>
      <c r="AA10" s="1">
        <v>2.9392999999999998</v>
      </c>
      <c r="AB10" s="1">
        <v>10.889900000000001</v>
      </c>
      <c r="AC10" s="1">
        <v>16.893999999999998</v>
      </c>
      <c r="AD10" s="1">
        <v>0.83609999999999995</v>
      </c>
      <c r="AE10" s="1">
        <v>1.7611000000000001</v>
      </c>
      <c r="AF10" s="2">
        <v>4.3979999999999997</v>
      </c>
      <c r="AG10" s="2">
        <v>10.625999999999999</v>
      </c>
      <c r="AH10" s="2">
        <v>25.426500000000001</v>
      </c>
      <c r="AI10" s="212">
        <f>(AG10-0.0522)/3.15</f>
        <v>3.3567619047619051</v>
      </c>
      <c r="AJ10" s="2">
        <v>4.4340999999999999</v>
      </c>
      <c r="AK10" s="2">
        <v>6.3310000000000004</v>
      </c>
      <c r="AL10" s="2">
        <v>1.9134</v>
      </c>
      <c r="AM10" s="2">
        <v>6.5129000000000001</v>
      </c>
      <c r="AN10" s="2">
        <v>10.294</v>
      </c>
      <c r="AO10" s="2">
        <v>2.8649</v>
      </c>
      <c r="AP10" s="2">
        <v>10.6365</v>
      </c>
      <c r="AQ10" s="2">
        <v>16.893999999999998</v>
      </c>
      <c r="AR10" s="2">
        <v>0.78039999999999998</v>
      </c>
      <c r="AS10" s="2">
        <v>1.6448</v>
      </c>
      <c r="AT10" s="266">
        <v>4.4009999999999998</v>
      </c>
      <c r="AU10" s="266">
        <v>11.8248</v>
      </c>
      <c r="AV10" s="266">
        <v>26.738900000000001</v>
      </c>
      <c r="AW10" s="212">
        <f>(AU10-0.0522)/3.15</f>
        <v>3.7373333333333338</v>
      </c>
      <c r="AX10" s="266">
        <v>4.8846999999999996</v>
      </c>
      <c r="AY10" s="266">
        <v>6.3010000000000002</v>
      </c>
      <c r="AZ10" s="266">
        <v>0.91020000000000001</v>
      </c>
      <c r="BA10" s="266">
        <v>4.5754000000000001</v>
      </c>
      <c r="BB10" s="266">
        <v>10.298</v>
      </c>
      <c r="BC10" s="266">
        <v>2.3994</v>
      </c>
      <c r="BD10" s="266">
        <v>8.9329999999999998</v>
      </c>
      <c r="BE10" s="266">
        <v>16.895</v>
      </c>
      <c r="BF10" s="266">
        <v>1.1209</v>
      </c>
      <c r="BG10" s="266">
        <v>2.3658999999999999</v>
      </c>
      <c r="BI10" s="12">
        <f t="shared" ref="BI10:BI14" si="13">U10</f>
        <v>3.4525396825396828</v>
      </c>
      <c r="BJ10" s="12">
        <f t="shared" ref="BJ10:BJ14" si="14">AI10</f>
        <v>3.3567619047619051</v>
      </c>
      <c r="BK10" s="12">
        <f t="shared" ref="BK10:BK14" si="15">(U10+AI10)/2</f>
        <v>3.4046507936507941</v>
      </c>
      <c r="BL10">
        <f t="shared" ref="BL10:BL14" si="16">STDEV(BI10:BJ10)</f>
        <v>6.7725116153644863E-2</v>
      </c>
      <c r="BM10">
        <v>2</v>
      </c>
      <c r="BN10">
        <v>4.3</v>
      </c>
      <c r="BO10" s="12">
        <f t="shared" ref="BO10:BO14" si="17">(BN10*BL10)/SQRT(BM10)</f>
        <v>0.20592222222222212</v>
      </c>
      <c r="BV10" t="s">
        <v>1011</v>
      </c>
      <c r="BW10" s="37">
        <v>44608</v>
      </c>
      <c r="BX10" s="32">
        <v>0.41805555555555557</v>
      </c>
      <c r="BY10">
        <f>CB9+(24*2)</f>
        <v>498.9</v>
      </c>
      <c r="BZ10">
        <v>-24</v>
      </c>
      <c r="CA10">
        <f t="shared" si="6"/>
        <v>29910</v>
      </c>
      <c r="CB10">
        <f t="shared" si="7"/>
        <v>498.5</v>
      </c>
      <c r="CC10">
        <f t="shared" si="8"/>
        <v>30</v>
      </c>
      <c r="CD10">
        <v>498</v>
      </c>
      <c r="CG10">
        <f t="shared" si="5"/>
        <v>0.33268253968253991</v>
      </c>
    </row>
    <row r="11" spans="1:85">
      <c r="A11" t="s">
        <v>1274</v>
      </c>
      <c r="B11" s="14">
        <v>44615</v>
      </c>
      <c r="C11" s="12">
        <v>665.56666666666672</v>
      </c>
      <c r="D11" s="4">
        <v>4.3550000000000004</v>
      </c>
      <c r="E11" s="4">
        <v>1.7522</v>
      </c>
      <c r="F11" s="4">
        <v>3.6968000000000001</v>
      </c>
      <c r="G11" s="212">
        <f t="shared" ref="G11:G12" si="18">(E11-0.0522)/3.15</f>
        <v>0.53968253968253965</v>
      </c>
      <c r="H11" s="4">
        <v>1.0991</v>
      </c>
      <c r="I11" s="4">
        <v>6.3479999999999999</v>
      </c>
      <c r="J11" s="4">
        <v>1.288</v>
      </c>
      <c r="K11" s="4">
        <v>5.3174000000000001</v>
      </c>
      <c r="L11" s="4">
        <v>10.288</v>
      </c>
      <c r="M11" s="4">
        <v>2.8877999999999999</v>
      </c>
      <c r="N11" s="4">
        <v>10.5183</v>
      </c>
      <c r="O11" s="4">
        <v>16.885000000000002</v>
      </c>
      <c r="P11" s="4">
        <v>8.6499999999999994E-2</v>
      </c>
      <c r="Q11" s="4">
        <v>0.18160000000000001</v>
      </c>
      <c r="R11" s="1">
        <v>4.3780000000000001</v>
      </c>
      <c r="S11" s="1">
        <v>9.6616</v>
      </c>
      <c r="T11" s="1">
        <v>24.765599999999999</v>
      </c>
      <c r="U11" s="212">
        <f t="shared" ref="U11:U12" si="19">(S11-0.0522)/3.15</f>
        <v>3.0506031746031748</v>
      </c>
      <c r="V11" s="1">
        <v>4.0716999999999999</v>
      </c>
      <c r="W11" s="1" t="s">
        <v>1281</v>
      </c>
      <c r="X11" s="1" t="s">
        <v>1282</v>
      </c>
      <c r="Y11" s="1" t="s">
        <v>1283</v>
      </c>
      <c r="Z11" s="1">
        <v>10.288</v>
      </c>
      <c r="AA11" s="1">
        <v>2.9990000000000001</v>
      </c>
      <c r="AB11" s="1">
        <v>10.8933</v>
      </c>
      <c r="AC11" s="1">
        <v>16.881</v>
      </c>
      <c r="AD11" s="1">
        <v>0.42809999999999998</v>
      </c>
      <c r="AE11" s="1">
        <v>0.90059999999999996</v>
      </c>
      <c r="AF11" s="2">
        <v>4.3780000000000001</v>
      </c>
      <c r="AG11" s="2">
        <v>9.8508999999999993</v>
      </c>
      <c r="AH11" s="2">
        <v>25.950500000000002</v>
      </c>
      <c r="AI11" s="212">
        <f t="shared" ref="AI11:AI12" si="20">(AG11-0.0522)/3.15</f>
        <v>3.110698412698413</v>
      </c>
      <c r="AJ11" s="2">
        <v>4.1428000000000003</v>
      </c>
      <c r="AK11" s="2">
        <v>6.3440000000000003</v>
      </c>
      <c r="AL11" s="2">
        <v>1.4547000000000001</v>
      </c>
      <c r="AM11" s="2">
        <v>5.8331</v>
      </c>
      <c r="AN11" s="2">
        <v>10.284000000000001</v>
      </c>
      <c r="AO11" s="2">
        <v>3.0032000000000001</v>
      </c>
      <c r="AP11" s="2">
        <v>10.951499999999999</v>
      </c>
      <c r="AQ11" s="2">
        <v>16.881</v>
      </c>
      <c r="AR11" s="2">
        <v>0.40439999999999998</v>
      </c>
      <c r="AS11" s="2">
        <v>0.84909999999999997</v>
      </c>
      <c r="AT11" s="266">
        <v>4.391</v>
      </c>
      <c r="AU11" s="266">
        <v>12.6668</v>
      </c>
      <c r="AV11" s="266">
        <v>31.845099999999999</v>
      </c>
      <c r="AW11" s="212">
        <f t="shared" ref="AW11:AW12" si="21">(AU11-0.0522)/3.15</f>
        <v>4.0046349206349214</v>
      </c>
      <c r="AX11" s="266">
        <v>5.2011000000000003</v>
      </c>
      <c r="AY11" s="266">
        <v>6.3010000000000002</v>
      </c>
      <c r="AZ11" s="266">
        <v>0.75700000000000001</v>
      </c>
      <c r="BA11" s="266">
        <v>4.1265000000000001</v>
      </c>
      <c r="BB11" s="266">
        <v>10.298</v>
      </c>
      <c r="BC11" s="266">
        <v>2.0127999999999999</v>
      </c>
      <c r="BD11" s="266">
        <v>7.4607999999999999</v>
      </c>
      <c r="BE11" s="266">
        <v>16.888000000000002</v>
      </c>
      <c r="BF11" s="266">
        <v>1.1909000000000001</v>
      </c>
      <c r="BG11" s="266">
        <v>2.5116999999999998</v>
      </c>
      <c r="BI11" s="12">
        <f t="shared" si="13"/>
        <v>3.0506031746031748</v>
      </c>
      <c r="BJ11" s="12">
        <f t="shared" si="14"/>
        <v>3.110698412698413</v>
      </c>
      <c r="BK11" s="12">
        <f t="shared" si="15"/>
        <v>3.0806507936507939</v>
      </c>
      <c r="BL11">
        <f t="shared" si="16"/>
        <v>4.2493750374163072E-2</v>
      </c>
      <c r="BM11">
        <v>2</v>
      </c>
      <c r="BN11">
        <v>4.3</v>
      </c>
      <c r="BO11" s="12">
        <f t="shared" si="17"/>
        <v>0.1292047619047621</v>
      </c>
      <c r="BV11" t="s">
        <v>1174</v>
      </c>
      <c r="BW11" s="37">
        <v>44610</v>
      </c>
      <c r="BX11" s="32">
        <v>0.39513888888888887</v>
      </c>
      <c r="BY11">
        <f>CB10+(24*2)</f>
        <v>546.5</v>
      </c>
      <c r="BZ11">
        <v>-33</v>
      </c>
      <c r="CA11">
        <f t="shared" ref="CA11:CA15" si="22">(BY11*60)+BZ11</f>
        <v>32757</v>
      </c>
      <c r="CB11">
        <f t="shared" ref="CB11:CB15" si="23">CA11/60</f>
        <v>545.95000000000005</v>
      </c>
      <c r="CC11">
        <f t="shared" ref="CC11:CC15" si="24">(CB11-CD11)*60</f>
        <v>57.000000000002728</v>
      </c>
      <c r="CD11">
        <v>545</v>
      </c>
      <c r="CG11">
        <f t="shared" si="5"/>
        <v>0.92398412698412757</v>
      </c>
    </row>
    <row r="12" spans="1:85">
      <c r="A12" t="s">
        <v>1274</v>
      </c>
      <c r="B12" s="14">
        <v>44617</v>
      </c>
      <c r="C12" s="12">
        <v>714.1</v>
      </c>
      <c r="D12" s="4">
        <v>4.3440000000000003</v>
      </c>
      <c r="E12" s="4">
        <v>1.5398000000000001</v>
      </c>
      <c r="F12" s="4">
        <v>3.4312</v>
      </c>
      <c r="G12" s="212">
        <f t="shared" si="18"/>
        <v>0.47225396825396826</v>
      </c>
      <c r="H12" s="4">
        <v>1.0193000000000001</v>
      </c>
      <c r="I12" s="4">
        <v>6.3310000000000004</v>
      </c>
      <c r="J12" s="4">
        <v>1.5746</v>
      </c>
      <c r="K12" s="4">
        <v>6.6928999999999998</v>
      </c>
      <c r="L12" s="4">
        <v>10.281000000000001</v>
      </c>
      <c r="M12" s="4">
        <v>2.4146000000000001</v>
      </c>
      <c r="N12" s="4">
        <v>8.8501999999999992</v>
      </c>
      <c r="O12" s="4">
        <v>16.878</v>
      </c>
      <c r="P12" s="4">
        <v>0.16839999999999999</v>
      </c>
      <c r="Q12" s="4">
        <v>0.34889999999999999</v>
      </c>
      <c r="R12" s="1">
        <v>4.3710000000000004</v>
      </c>
      <c r="S12" s="1">
        <v>10.595800000000001</v>
      </c>
      <c r="T12" s="1">
        <v>28.1722</v>
      </c>
      <c r="U12" s="212">
        <f t="shared" si="19"/>
        <v>3.3471746031746039</v>
      </c>
      <c r="V12" s="1">
        <v>4.4227999999999996</v>
      </c>
      <c r="W12" s="1">
        <v>6.335</v>
      </c>
      <c r="X12" s="1">
        <v>1.2405999999999999</v>
      </c>
      <c r="Y12" s="1">
        <v>5.6283000000000003</v>
      </c>
      <c r="Z12" s="1">
        <v>10.285</v>
      </c>
      <c r="AA12" s="1">
        <v>2.4335</v>
      </c>
      <c r="AB12" s="1">
        <v>8.9123000000000001</v>
      </c>
      <c r="AC12" s="1">
        <v>16.878</v>
      </c>
      <c r="AD12" s="1">
        <v>0.56169999999999998</v>
      </c>
      <c r="AE12" s="1">
        <v>1.179</v>
      </c>
      <c r="AF12" s="2">
        <v>4.375</v>
      </c>
      <c r="AG12" s="2">
        <v>10.8726</v>
      </c>
      <c r="AH12" s="2">
        <v>29.196200000000001</v>
      </c>
      <c r="AI12" s="212">
        <f t="shared" si="20"/>
        <v>3.4350476190476193</v>
      </c>
      <c r="AJ12" s="2">
        <v>4.5267999999999997</v>
      </c>
      <c r="AK12" s="2">
        <v>6.3380000000000001</v>
      </c>
      <c r="AL12" s="2">
        <v>0.99709999999999999</v>
      </c>
      <c r="AM12" s="2">
        <v>4.4112999999999998</v>
      </c>
      <c r="AN12" s="2">
        <v>10.288</v>
      </c>
      <c r="AO12" s="2">
        <v>2.4615</v>
      </c>
      <c r="AP12" s="2">
        <v>9.0190000000000001</v>
      </c>
      <c r="AQ12" s="2">
        <v>16.878</v>
      </c>
      <c r="AR12" s="2">
        <v>0.56159999999999999</v>
      </c>
      <c r="AS12" s="2">
        <v>1.1830000000000001</v>
      </c>
      <c r="AT12" s="266">
        <v>4.3879999999999999</v>
      </c>
      <c r="AU12" s="266">
        <v>12.015700000000001</v>
      </c>
      <c r="AV12" s="266">
        <v>34.554099999999998</v>
      </c>
      <c r="AW12" s="212">
        <f t="shared" si="21"/>
        <v>3.7979365079365084</v>
      </c>
      <c r="AX12" s="266">
        <v>4.9564000000000004</v>
      </c>
      <c r="AY12" s="266">
        <v>6.3010000000000002</v>
      </c>
      <c r="AZ12" s="266">
        <v>0.83440000000000003</v>
      </c>
      <c r="BA12" s="266">
        <v>4.2504</v>
      </c>
      <c r="BB12" s="266">
        <v>10.298</v>
      </c>
      <c r="BC12" s="266">
        <v>2.2696999999999998</v>
      </c>
      <c r="BD12" s="266">
        <v>8.4344000000000001</v>
      </c>
      <c r="BE12" s="266">
        <v>16.884</v>
      </c>
      <c r="BF12" s="266">
        <v>1.204</v>
      </c>
      <c r="BG12" s="266">
        <v>2.5436999999999999</v>
      </c>
      <c r="BI12" s="12">
        <f t="shared" si="13"/>
        <v>3.3471746031746039</v>
      </c>
      <c r="BJ12" s="12">
        <f t="shared" si="14"/>
        <v>3.4350476190476193</v>
      </c>
      <c r="BK12" s="12">
        <f t="shared" si="15"/>
        <v>3.3911111111111119</v>
      </c>
      <c r="BL12">
        <f t="shared" si="16"/>
        <v>6.2135605407122346E-2</v>
      </c>
      <c r="BM12">
        <v>2</v>
      </c>
      <c r="BN12">
        <v>4.3</v>
      </c>
      <c r="BO12" s="12">
        <f t="shared" si="17"/>
        <v>0.18892698412698317</v>
      </c>
      <c r="BV12" t="s">
        <v>1175</v>
      </c>
      <c r="BW12" s="37">
        <v>44613</v>
      </c>
      <c r="BX12" s="32">
        <v>0.34513888888888888</v>
      </c>
      <c r="BY12">
        <f>CB11+(24*3)-1</f>
        <v>616.95000000000005</v>
      </c>
      <c r="BZ12">
        <v>-11</v>
      </c>
      <c r="CA12">
        <f t="shared" si="22"/>
        <v>37006</v>
      </c>
      <c r="CB12">
        <f t="shared" si="23"/>
        <v>616.76666666666665</v>
      </c>
      <c r="CC12">
        <f t="shared" si="24"/>
        <v>45.999999999999091</v>
      </c>
      <c r="CD12">
        <v>616</v>
      </c>
      <c r="CG12">
        <f t="shared" si="5"/>
        <v>0.40682539682539676</v>
      </c>
    </row>
    <row r="13" spans="1:85">
      <c r="A13" t="s">
        <v>1296</v>
      </c>
      <c r="B13" s="14">
        <v>44621</v>
      </c>
      <c r="C13" s="12">
        <v>810.25</v>
      </c>
      <c r="D13" s="4">
        <v>4.351</v>
      </c>
      <c r="E13" s="4">
        <v>1.7114</v>
      </c>
      <c r="F13" s="4">
        <v>2.7097000000000002</v>
      </c>
      <c r="G13" s="212">
        <f>(E13+0.4715)/3.0941</f>
        <v>0.70550402378720789</v>
      </c>
      <c r="H13" s="4">
        <v>1.0838000000000001</v>
      </c>
      <c r="I13" s="4">
        <v>6.2850000000000001</v>
      </c>
      <c r="J13" s="4">
        <v>1.0387</v>
      </c>
      <c r="K13" s="4">
        <v>4.2332999999999998</v>
      </c>
      <c r="L13" s="4">
        <v>10.148</v>
      </c>
      <c r="M13" s="4">
        <v>2.3490000000000002</v>
      </c>
      <c r="N13" s="4">
        <v>8.6379000000000001</v>
      </c>
      <c r="O13" s="4">
        <v>16.678000000000001</v>
      </c>
      <c r="P13" s="4">
        <v>0.14849999999999999</v>
      </c>
      <c r="Q13" s="4">
        <v>0.31540000000000001</v>
      </c>
      <c r="R13" s="1">
        <v>4.3810000000000002</v>
      </c>
      <c r="S13" s="1">
        <v>10.728199999999999</v>
      </c>
      <c r="T13" s="1">
        <v>22.210899999999999</v>
      </c>
      <c r="U13" s="212">
        <f>(S13+0.4715)/3.0941</f>
        <v>3.6196955495943892</v>
      </c>
      <c r="V13" s="1">
        <v>4.4725000000000001</v>
      </c>
      <c r="W13" s="1">
        <v>6.2939999999999996</v>
      </c>
      <c r="X13" s="1">
        <v>2.1676000000000002</v>
      </c>
      <c r="Y13" s="1">
        <v>7.9393000000000002</v>
      </c>
      <c r="Z13" s="1">
        <v>10.157999999999999</v>
      </c>
      <c r="AA13" s="1">
        <v>2.1956000000000002</v>
      </c>
      <c r="AB13" s="1">
        <v>8.0405999999999995</v>
      </c>
      <c r="AC13" s="1">
        <v>16.681000000000001</v>
      </c>
      <c r="AD13" s="1">
        <v>0.86009999999999998</v>
      </c>
      <c r="AE13" s="1">
        <v>1.8208</v>
      </c>
      <c r="AF13" s="2">
        <v>4.3739999999999997</v>
      </c>
      <c r="AG13" s="2">
        <v>10.116</v>
      </c>
      <c r="AH13" s="2">
        <v>20.988900000000001</v>
      </c>
      <c r="AI13" s="212">
        <f>(AG13+0.4715)/3.0941</f>
        <v>3.4218351055234155</v>
      </c>
      <c r="AJ13" s="2">
        <v>4.2423999999999999</v>
      </c>
      <c r="AK13" s="2">
        <v>6.2880000000000003</v>
      </c>
      <c r="AL13" s="2">
        <v>1.5681</v>
      </c>
      <c r="AM13" s="2">
        <v>4.9718</v>
      </c>
      <c r="AN13" s="2">
        <v>10.151</v>
      </c>
      <c r="AO13" s="2">
        <v>2.3475000000000001</v>
      </c>
      <c r="AP13" s="2">
        <v>8.6052</v>
      </c>
      <c r="AQ13" s="2">
        <v>16.673999999999999</v>
      </c>
      <c r="AR13" s="2">
        <v>0.72060000000000002</v>
      </c>
      <c r="AS13" s="2">
        <v>1.5199</v>
      </c>
      <c r="AT13" s="266">
        <v>4.3879999999999999</v>
      </c>
      <c r="AU13" s="266">
        <v>12.698600000000001</v>
      </c>
      <c r="AV13" s="266">
        <v>25.966100000000001</v>
      </c>
      <c r="AW13" s="212">
        <f>(AU13+0.4715)/3.0941</f>
        <v>4.2565204744513752</v>
      </c>
      <c r="AX13" s="266">
        <v>5.2130000000000001</v>
      </c>
      <c r="AY13" s="266">
        <v>6.258</v>
      </c>
      <c r="AZ13" s="266">
        <v>0.88019999999999998</v>
      </c>
      <c r="BA13" s="266">
        <v>4.2363</v>
      </c>
      <c r="BB13" s="266">
        <v>10.161</v>
      </c>
      <c r="BC13" s="266">
        <v>2.3443000000000001</v>
      </c>
      <c r="BD13" s="266">
        <v>8.6973000000000003</v>
      </c>
      <c r="BE13" s="266">
        <v>16.681000000000001</v>
      </c>
      <c r="BF13" s="266">
        <v>1.4336</v>
      </c>
      <c r="BG13" s="266">
        <v>3.0457999999999998</v>
      </c>
      <c r="BI13" s="12">
        <f t="shared" si="13"/>
        <v>3.6196955495943892</v>
      </c>
      <c r="BJ13" s="12">
        <f t="shared" si="14"/>
        <v>3.4218351055234155</v>
      </c>
      <c r="BK13" s="12">
        <f t="shared" si="15"/>
        <v>3.5207653275589026</v>
      </c>
      <c r="BL13">
        <f t="shared" si="16"/>
        <v>0.13990846173116714</v>
      </c>
      <c r="BM13">
        <v>2</v>
      </c>
      <c r="BN13">
        <v>4.3</v>
      </c>
      <c r="BO13" s="12">
        <f t="shared" si="17"/>
        <v>0.42539995475259346</v>
      </c>
      <c r="BV13" t="s">
        <v>1176</v>
      </c>
      <c r="BW13" s="37">
        <v>44615</v>
      </c>
      <c r="BX13" s="32">
        <v>0.37847222222222227</v>
      </c>
      <c r="BY13">
        <f>CB12+(24*2)+1</f>
        <v>665.76666666666665</v>
      </c>
      <c r="BZ13">
        <v>-12</v>
      </c>
      <c r="CA13">
        <f t="shared" si="22"/>
        <v>39934</v>
      </c>
      <c r="CB13">
        <f t="shared" si="23"/>
        <v>665.56666666666672</v>
      </c>
      <c r="CC13">
        <f t="shared" si="24"/>
        <v>34.000000000003183</v>
      </c>
      <c r="CD13">
        <v>665</v>
      </c>
      <c r="CG13">
        <f t="shared" si="5"/>
        <v>0.73575514689247279</v>
      </c>
    </row>
    <row r="14" spans="1:85">
      <c r="A14" t="s">
        <v>1296</v>
      </c>
      <c r="B14" s="14">
        <v>44636</v>
      </c>
      <c r="C14" s="12">
        <v>865.73333333333335</v>
      </c>
      <c r="D14" s="4">
        <v>4.3380000000000001</v>
      </c>
      <c r="E14" s="4">
        <v>1.0781000000000001</v>
      </c>
      <c r="F14" s="4">
        <v>1.6625000000000001</v>
      </c>
      <c r="G14" s="212">
        <f>(E14+0.4715)/3.0941</f>
        <v>0.50082414918716267</v>
      </c>
      <c r="H14" s="4">
        <v>0.8458</v>
      </c>
      <c r="I14" s="4">
        <v>6.2850000000000001</v>
      </c>
      <c r="J14" s="4">
        <v>0.99470000000000003</v>
      </c>
      <c r="K14" s="4">
        <v>4.0483000000000002</v>
      </c>
      <c r="L14" s="4">
        <v>10.145</v>
      </c>
      <c r="M14" s="4">
        <v>2.1536</v>
      </c>
      <c r="N14" s="4">
        <v>7.8056000000000001</v>
      </c>
      <c r="O14" s="4">
        <v>16.658000000000001</v>
      </c>
      <c r="P14" s="4">
        <v>8.4699999999999998E-2</v>
      </c>
      <c r="Q14" s="4">
        <v>0.17610000000000001</v>
      </c>
      <c r="R14" s="1">
        <v>4.3609999999999998</v>
      </c>
      <c r="S14" s="1">
        <v>11.0563</v>
      </c>
      <c r="T14" s="1">
        <v>23.409500000000001</v>
      </c>
      <c r="U14" s="212">
        <f>(S14+0.4715)/3.0941</f>
        <v>3.7257360783426523</v>
      </c>
      <c r="V14" s="1">
        <v>4.5957999999999997</v>
      </c>
      <c r="W14" s="1" t="s">
        <v>1345</v>
      </c>
      <c r="X14" s="1" t="s">
        <v>1346</v>
      </c>
      <c r="Y14" s="1" t="s">
        <v>1347</v>
      </c>
      <c r="Z14" s="1">
        <v>10.141</v>
      </c>
      <c r="AA14" s="1">
        <v>2.0325000000000002</v>
      </c>
      <c r="AB14" s="1">
        <v>7.3489000000000004</v>
      </c>
      <c r="AC14" s="1">
        <v>16.658000000000001</v>
      </c>
      <c r="AD14" s="1">
        <v>0.49209999999999998</v>
      </c>
      <c r="AE14" s="1">
        <v>1.0347</v>
      </c>
      <c r="AF14" s="2">
        <v>4.3540000000000001</v>
      </c>
      <c r="AG14" s="2">
        <v>10.127599999999999</v>
      </c>
      <c r="AH14" s="2">
        <v>22.688099999999999</v>
      </c>
      <c r="AI14" s="212">
        <f>(AG14+0.4715)/3.0941</f>
        <v>3.4255841763356063</v>
      </c>
      <c r="AJ14" s="2">
        <v>4.2468000000000004</v>
      </c>
      <c r="AK14" s="2" t="s">
        <v>1348</v>
      </c>
      <c r="AL14" s="2" t="s">
        <v>1349</v>
      </c>
      <c r="AM14" s="2" t="s">
        <v>1350</v>
      </c>
      <c r="AN14" s="2">
        <v>10.138</v>
      </c>
      <c r="AO14" s="2">
        <v>2.4298999999999999</v>
      </c>
      <c r="AP14" s="2">
        <v>8.7588000000000008</v>
      </c>
      <c r="AQ14" s="2">
        <v>16.658000000000001</v>
      </c>
      <c r="AR14" s="2">
        <v>0.4451</v>
      </c>
      <c r="AS14" s="2">
        <v>0.92820000000000003</v>
      </c>
      <c r="AT14" s="266">
        <v>4.3710000000000004</v>
      </c>
      <c r="AU14" s="266">
        <v>11.36</v>
      </c>
      <c r="AV14" s="266">
        <v>25.009</v>
      </c>
      <c r="AW14" s="212">
        <f>(AU14+0.4715)/3.0941</f>
        <v>3.823890630554927</v>
      </c>
      <c r="AX14" s="266">
        <v>4.71</v>
      </c>
      <c r="AY14" s="266" t="s">
        <v>1351</v>
      </c>
      <c r="AZ14" s="266" t="s">
        <v>1352</v>
      </c>
      <c r="BA14" s="266" t="s">
        <v>1353</v>
      </c>
      <c r="BB14" s="266">
        <v>10.154</v>
      </c>
      <c r="BC14" s="266">
        <v>2.2250999999999999</v>
      </c>
      <c r="BD14" s="266">
        <v>8.2127999999999997</v>
      </c>
      <c r="BE14" s="266">
        <v>16.664000000000001</v>
      </c>
      <c r="BF14" s="266">
        <v>1.2848999999999999</v>
      </c>
      <c r="BG14" s="266">
        <v>2.7181000000000002</v>
      </c>
      <c r="BI14" s="12">
        <f t="shared" si="13"/>
        <v>3.7257360783426523</v>
      </c>
      <c r="BJ14" s="12">
        <f t="shared" si="14"/>
        <v>3.4255841763356063</v>
      </c>
      <c r="BK14" s="12">
        <f t="shared" si="15"/>
        <v>3.5756601273391295</v>
      </c>
      <c r="BL14">
        <f t="shared" si="16"/>
        <v>0.21223944529522235</v>
      </c>
      <c r="BM14">
        <v>2</v>
      </c>
      <c r="BN14">
        <v>4.3</v>
      </c>
      <c r="BO14" s="12">
        <f t="shared" si="17"/>
        <v>0.64532658931514886</v>
      </c>
      <c r="BV14" t="s">
        <v>1292</v>
      </c>
      <c r="BW14" s="37">
        <v>44617</v>
      </c>
      <c r="BX14" s="32">
        <v>0.40069444444444446</v>
      </c>
      <c r="BY14">
        <f>CB13+(24*2)</f>
        <v>713.56666666666672</v>
      </c>
      <c r="BZ14">
        <v>32</v>
      </c>
      <c r="CA14">
        <f t="shared" si="22"/>
        <v>42846</v>
      </c>
      <c r="CB14">
        <f t="shared" si="23"/>
        <v>714.1</v>
      </c>
      <c r="CC14">
        <f t="shared" si="24"/>
        <v>6.0000000000013642</v>
      </c>
      <c r="CD14">
        <v>714</v>
      </c>
      <c r="CG14">
        <f t="shared" si="5"/>
        <v>0.24823050321579765</v>
      </c>
    </row>
    <row r="15" spans="1:85">
      <c r="A15" t="s">
        <v>1374</v>
      </c>
      <c r="B15" s="14">
        <v>44638</v>
      </c>
      <c r="C15" s="12">
        <v>912.31666666666672</v>
      </c>
      <c r="D15" s="4">
        <v>4.3609999999999998</v>
      </c>
      <c r="E15" s="4">
        <v>1.2946</v>
      </c>
      <c r="F15" s="4">
        <v>1.8371999999999999</v>
      </c>
      <c r="G15" s="212">
        <f>(E15+0.188)/3.0944</f>
        <v>0.47912357807652534</v>
      </c>
      <c r="H15" s="4">
        <v>0.92710000000000004</v>
      </c>
      <c r="I15" s="4">
        <v>6.2850000000000001</v>
      </c>
      <c r="J15" s="4">
        <v>0.99980000000000002</v>
      </c>
      <c r="K15" s="4">
        <v>3.2019000000000002</v>
      </c>
      <c r="L15" s="4">
        <v>10.154999999999999</v>
      </c>
      <c r="M15" s="4">
        <v>2.0632000000000001</v>
      </c>
      <c r="N15" s="4">
        <v>7.54</v>
      </c>
      <c r="O15" s="4">
        <v>16.687999999999999</v>
      </c>
      <c r="P15" s="4">
        <v>6.7400000000000002E-2</v>
      </c>
      <c r="Q15" s="4">
        <v>0.14419999999999999</v>
      </c>
      <c r="R15" s="1">
        <v>4.3849999999999998</v>
      </c>
      <c r="S15" s="1">
        <v>9.5952000000000002</v>
      </c>
      <c r="T15" s="1">
        <v>9.1326000000000001</v>
      </c>
      <c r="U15" s="212">
        <f>(S15+0.188)/3.0944</f>
        <v>3.1615822130299902</v>
      </c>
      <c r="V15" s="1">
        <v>4.0467000000000004</v>
      </c>
      <c r="W15" s="1">
        <v>6.298</v>
      </c>
      <c r="X15" s="1">
        <v>0.68520000000000003</v>
      </c>
      <c r="Y15" s="1">
        <v>2.9996999999999998</v>
      </c>
      <c r="Z15" s="1">
        <v>10.161</v>
      </c>
      <c r="AA15" s="1">
        <v>1.7747999999999999</v>
      </c>
      <c r="AB15" s="1">
        <v>6.4329000000000001</v>
      </c>
      <c r="AC15" s="1">
        <v>16.704999999999998</v>
      </c>
      <c r="AD15" s="1">
        <v>0.49530000000000002</v>
      </c>
      <c r="AE15" s="1">
        <v>1.0389999999999999</v>
      </c>
      <c r="AF15" s="2">
        <v>4.3840000000000003</v>
      </c>
      <c r="AG15" s="2">
        <v>9.9263999999999992</v>
      </c>
      <c r="AH15" s="2">
        <v>20.085599999999999</v>
      </c>
      <c r="AI15" s="212">
        <f>(AG15+0.188)/3.0944</f>
        <v>3.2686142709410548</v>
      </c>
      <c r="AJ15" s="2">
        <v>4.1711999999999998</v>
      </c>
      <c r="AK15" s="2" t="s">
        <v>1378</v>
      </c>
      <c r="AL15" s="2" t="s">
        <v>1379</v>
      </c>
      <c r="AM15" s="2" t="s">
        <v>1380</v>
      </c>
      <c r="AN15" s="2">
        <v>10.161</v>
      </c>
      <c r="AO15" s="2">
        <v>1.7931999999999999</v>
      </c>
      <c r="AP15" s="2">
        <v>6.5069999999999997</v>
      </c>
      <c r="AQ15" s="2">
        <v>16.701000000000001</v>
      </c>
      <c r="AR15" s="2">
        <v>0.48049999999999998</v>
      </c>
      <c r="AS15" s="2">
        <v>1.0155000000000001</v>
      </c>
      <c r="AT15" s="266">
        <v>4.391</v>
      </c>
      <c r="AU15" s="266">
        <v>10.6374</v>
      </c>
      <c r="AV15" s="266">
        <v>22.3642</v>
      </c>
      <c r="AW15" s="212">
        <f>(AU15+0.188)/3.0944</f>
        <v>3.4983841778697005</v>
      </c>
      <c r="AX15" s="266">
        <v>4.4383999999999997</v>
      </c>
      <c r="AY15" s="266" t="s">
        <v>1381</v>
      </c>
      <c r="AZ15" s="266" t="s">
        <v>1382</v>
      </c>
      <c r="BA15" s="266" t="s">
        <v>1383</v>
      </c>
      <c r="BB15" s="266">
        <v>10.170999999999999</v>
      </c>
      <c r="BC15" s="266">
        <v>1.9883999999999999</v>
      </c>
      <c r="BD15" s="266">
        <v>7.3486000000000002</v>
      </c>
      <c r="BE15" s="266">
        <v>16.710999999999999</v>
      </c>
      <c r="BF15" s="266">
        <v>1.0134000000000001</v>
      </c>
      <c r="BG15" s="266">
        <v>2.1339999999999999</v>
      </c>
      <c r="BI15" s="12">
        <f t="shared" ref="BI15" si="25">U15</f>
        <v>3.1615822130299902</v>
      </c>
      <c r="BJ15" s="12">
        <f t="shared" ref="BJ15" si="26">AI15</f>
        <v>3.2686142709410548</v>
      </c>
      <c r="BK15" s="12">
        <f t="shared" ref="BK15" si="27">(U15+AI15)/2</f>
        <v>3.2150982419855225</v>
      </c>
      <c r="BL15">
        <f t="shared" ref="BL15" si="28">STDEV(BI15:BJ15)</f>
        <v>7.5683093953265057E-2</v>
      </c>
      <c r="BM15">
        <v>2</v>
      </c>
      <c r="BN15">
        <v>4.3</v>
      </c>
      <c r="BO15" s="12">
        <f t="shared" ref="BO15" si="29">(BN15*BL15)/SQRT(BM15)</f>
        <v>0.23011892450878893</v>
      </c>
      <c r="BV15" t="s">
        <v>1291</v>
      </c>
      <c r="BW15" s="37">
        <v>44621</v>
      </c>
      <c r="BX15" s="32">
        <v>0.4069444444444445</v>
      </c>
      <c r="BY15">
        <f>CB14+(24*4)</f>
        <v>810.1</v>
      </c>
      <c r="BZ15">
        <v>9</v>
      </c>
      <c r="CA15">
        <f t="shared" si="22"/>
        <v>48615</v>
      </c>
      <c r="CB15">
        <f t="shared" si="23"/>
        <v>810.25</v>
      </c>
      <c r="CC15">
        <f t="shared" si="24"/>
        <v>15</v>
      </c>
      <c r="CD15">
        <v>810</v>
      </c>
      <c r="CG15">
        <f t="shared" si="5"/>
        <v>0.28328593588417794</v>
      </c>
    </row>
    <row r="16" spans="1:85">
      <c r="BV16" t="s">
        <v>1297</v>
      </c>
      <c r="BW16" s="37">
        <v>44636</v>
      </c>
      <c r="BX16" s="32">
        <v>0.4055555555555555</v>
      </c>
      <c r="BY16">
        <f>CB15+24+7.25+24</f>
        <v>865.5</v>
      </c>
      <c r="BZ16">
        <v>14</v>
      </c>
      <c r="CA16">
        <f t="shared" ref="CA16" si="30">(BY16*60)+BZ16</f>
        <v>51944</v>
      </c>
      <c r="CB16">
        <f t="shared" ref="CB16" si="31">CA16/60</f>
        <v>865.73333333333335</v>
      </c>
      <c r="CC16">
        <f t="shared" ref="CC16" si="32">(CB16-CD16)*60</f>
        <v>44.000000000000909</v>
      </c>
      <c r="CD16">
        <v>865</v>
      </c>
    </row>
    <row r="17" spans="74:85">
      <c r="BV17" t="s">
        <v>1402</v>
      </c>
      <c r="BW17" s="37">
        <v>44638</v>
      </c>
      <c r="BX17" s="32">
        <v>0.34652777777777777</v>
      </c>
      <c r="BY17">
        <f>CB16+(24*2)-1</f>
        <v>912.73333333333335</v>
      </c>
      <c r="BZ17">
        <v>-25</v>
      </c>
      <c r="CA17">
        <f t="shared" ref="CA17:CA18" si="33">(BY17*60)+BZ17</f>
        <v>54739</v>
      </c>
      <c r="CB17">
        <f t="shared" ref="CB17:CB18" si="34">CA17/60</f>
        <v>912.31666666666672</v>
      </c>
      <c r="CC17">
        <f t="shared" ref="CC17:CC18" si="35">(CB17-CD17)*60</f>
        <v>19.000000000003183</v>
      </c>
      <c r="CD17">
        <v>912</v>
      </c>
      <c r="CG17" s="434">
        <f>AVERAGE(CG3:CG15)</f>
        <v>0.36231001277839414</v>
      </c>
    </row>
    <row r="18" spans="74:85">
      <c r="BV18" t="s">
        <v>1399</v>
      </c>
      <c r="BW18" s="37">
        <v>44641</v>
      </c>
      <c r="BX18" s="32">
        <v>0.34791666666666665</v>
      </c>
      <c r="BY18">
        <f>CB17+(24*3)</f>
        <v>984.31666666666672</v>
      </c>
      <c r="BZ18">
        <v>2</v>
      </c>
      <c r="CA18">
        <f t="shared" si="33"/>
        <v>59061</v>
      </c>
      <c r="CB18">
        <f t="shared" si="34"/>
        <v>984.35</v>
      </c>
      <c r="CC18">
        <f t="shared" si="35"/>
        <v>21.000000000001364</v>
      </c>
      <c r="CD18">
        <v>984</v>
      </c>
    </row>
  </sheetData>
  <mergeCells count="4">
    <mergeCell ref="D1:Q1"/>
    <mergeCell ref="R1:AE1"/>
    <mergeCell ref="AF1:AS1"/>
    <mergeCell ref="AT1:BG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906D4-B78B-9444-8A6C-363C98F34F21}">
  <dimension ref="A1:CZ16"/>
  <sheetViews>
    <sheetView workbookViewId="0">
      <pane xSplit="3" ySplit="1" topLeftCell="T2" activePane="bottomRight" state="frozen"/>
      <selection pane="topRight" activeCell="D1" sqref="D1"/>
      <selection pane="bottomLeft" activeCell="A2" sqref="A2"/>
      <selection pane="bottomRight" activeCell="B3" sqref="B3:C14"/>
    </sheetView>
  </sheetViews>
  <sheetFormatPr defaultColWidth="10.6640625" defaultRowHeight="15.5"/>
  <cols>
    <col min="3" max="3" width="10.83203125" style="12"/>
    <col min="4" max="4" width="8.33203125" customWidth="1"/>
    <col min="5" max="5" width="8.5" customWidth="1"/>
    <col min="6" max="6" width="9.6640625" customWidth="1"/>
    <col min="7" max="7" width="10.83203125" style="12"/>
    <col min="24" max="24" width="10.83203125" style="12"/>
    <col min="41" max="41" width="10.83203125" style="12"/>
    <col min="58" max="58" width="10.83203125" style="12"/>
    <col min="75" max="75" width="10.83203125" style="12"/>
  </cols>
  <sheetData>
    <row r="1" spans="1:104" ht="46.5">
      <c r="B1" s="10" t="s">
        <v>1543</v>
      </c>
      <c r="D1" s="677" t="s">
        <v>1358</v>
      </c>
      <c r="E1" s="677"/>
      <c r="F1" s="677"/>
      <c r="G1" s="677"/>
      <c r="H1" s="677"/>
      <c r="I1" s="677"/>
      <c r="J1" s="677"/>
      <c r="K1" s="677"/>
      <c r="L1" s="677"/>
      <c r="M1" s="677"/>
      <c r="N1" s="677"/>
      <c r="O1" s="677"/>
      <c r="P1" s="677"/>
      <c r="Q1" s="677"/>
      <c r="R1" s="677"/>
      <c r="S1" s="677"/>
      <c r="T1" s="677"/>
      <c r="U1" s="675" t="s">
        <v>1357</v>
      </c>
      <c r="V1" s="675"/>
      <c r="W1" s="675"/>
      <c r="X1" s="675"/>
      <c r="Y1" s="675"/>
      <c r="Z1" s="675"/>
      <c r="AA1" s="675"/>
      <c r="AB1" s="675"/>
      <c r="AC1" s="675"/>
      <c r="AD1" s="675"/>
      <c r="AE1" s="675"/>
      <c r="AF1" s="675"/>
      <c r="AG1" s="675"/>
      <c r="AH1" s="675"/>
      <c r="AI1" s="675"/>
      <c r="AJ1" s="675"/>
      <c r="AK1" s="675"/>
      <c r="AL1" s="676" t="s">
        <v>1356</v>
      </c>
      <c r="AM1" s="676"/>
      <c r="AN1" s="676"/>
      <c r="AO1" s="676"/>
      <c r="AP1" s="676"/>
      <c r="AQ1" s="676"/>
      <c r="AR1" s="676"/>
      <c r="AS1" s="676"/>
      <c r="AT1" s="676"/>
      <c r="AU1" s="676"/>
      <c r="AV1" s="676"/>
      <c r="AW1" s="676"/>
      <c r="AX1" s="676"/>
      <c r="AY1" s="676"/>
      <c r="AZ1" s="676"/>
      <c r="BA1" s="676"/>
      <c r="BB1" s="676"/>
      <c r="BC1" s="679" t="s">
        <v>1355</v>
      </c>
      <c r="BD1" s="679"/>
      <c r="BE1" s="679"/>
      <c r="BF1" s="679"/>
      <c r="BG1" s="679"/>
      <c r="BH1" s="679"/>
      <c r="BI1" s="679"/>
      <c r="BJ1" s="679"/>
      <c r="BK1" s="679"/>
      <c r="BL1" s="679"/>
      <c r="BM1" s="679"/>
      <c r="BN1" s="679"/>
      <c r="BO1" s="679"/>
      <c r="BP1" s="679"/>
      <c r="BQ1" s="679"/>
      <c r="BR1" s="679"/>
      <c r="BS1" s="679"/>
      <c r="BT1" s="685" t="s">
        <v>1354</v>
      </c>
      <c r="BU1" s="685"/>
      <c r="BV1" s="685"/>
      <c r="BW1" s="685"/>
      <c r="BX1" s="685"/>
      <c r="BY1" s="685"/>
      <c r="BZ1" s="685"/>
      <c r="CA1" s="685"/>
      <c r="CB1" s="685"/>
      <c r="CC1" s="685"/>
      <c r="CD1" s="685"/>
      <c r="CE1" s="685"/>
      <c r="CF1" s="685"/>
      <c r="CG1" s="685"/>
    </row>
    <row r="2" spans="1:104" ht="31">
      <c r="A2" s="311" t="s">
        <v>10</v>
      </c>
      <c r="B2" s="311" t="s">
        <v>0</v>
      </c>
      <c r="C2" s="13" t="s">
        <v>1</v>
      </c>
      <c r="D2" s="309" t="s">
        <v>2</v>
      </c>
      <c r="E2" s="309" t="s">
        <v>4</v>
      </c>
      <c r="F2" s="309" t="s">
        <v>3</v>
      </c>
      <c r="G2" s="23" t="s">
        <v>94</v>
      </c>
      <c r="H2" s="23" t="s">
        <v>921</v>
      </c>
      <c r="I2" s="23"/>
      <c r="J2" s="23"/>
      <c r="K2" s="23"/>
      <c r="L2" s="309" t="s">
        <v>2</v>
      </c>
      <c r="M2" s="309" t="s">
        <v>4</v>
      </c>
      <c r="N2" s="309" t="s">
        <v>3</v>
      </c>
      <c r="O2" s="309" t="s">
        <v>2</v>
      </c>
      <c r="P2" s="309" t="s">
        <v>4</v>
      </c>
      <c r="Q2" s="309" t="s">
        <v>3</v>
      </c>
      <c r="R2" s="309" t="s">
        <v>2</v>
      </c>
      <c r="S2" s="309" t="s">
        <v>4</v>
      </c>
      <c r="T2" s="309" t="s">
        <v>3</v>
      </c>
      <c r="U2" s="306" t="s">
        <v>2</v>
      </c>
      <c r="V2" s="306" t="s">
        <v>4</v>
      </c>
      <c r="W2" s="306" t="s">
        <v>3</v>
      </c>
      <c r="X2" s="19" t="s">
        <v>92</v>
      </c>
      <c r="Y2" s="19" t="s">
        <v>929</v>
      </c>
      <c r="Z2" s="19"/>
      <c r="AA2" s="19"/>
      <c r="AB2" s="19"/>
      <c r="AC2" s="306" t="s">
        <v>2</v>
      </c>
      <c r="AD2" s="306" t="s">
        <v>4</v>
      </c>
      <c r="AE2" s="306" t="s">
        <v>3</v>
      </c>
      <c r="AF2" s="306" t="s">
        <v>2</v>
      </c>
      <c r="AG2" s="306" t="s">
        <v>4</v>
      </c>
      <c r="AH2" s="306" t="s">
        <v>3</v>
      </c>
      <c r="AI2" s="306" t="s">
        <v>2</v>
      </c>
      <c r="AJ2" s="306" t="s">
        <v>4</v>
      </c>
      <c r="AK2" s="306" t="s">
        <v>3</v>
      </c>
      <c r="AL2" s="307" t="s">
        <v>2</v>
      </c>
      <c r="AM2" s="307" t="s">
        <v>4</v>
      </c>
      <c r="AN2" s="307" t="s">
        <v>3</v>
      </c>
      <c r="AO2" s="16" t="s">
        <v>93</v>
      </c>
      <c r="AP2" s="16" t="s">
        <v>929</v>
      </c>
      <c r="AQ2" s="16"/>
      <c r="AR2" s="16"/>
      <c r="AS2" s="16"/>
      <c r="AT2" s="307" t="s">
        <v>2</v>
      </c>
      <c r="AU2" s="307" t="s">
        <v>4</v>
      </c>
      <c r="AV2" s="307" t="s">
        <v>3</v>
      </c>
      <c r="AW2" s="307" t="s">
        <v>2</v>
      </c>
      <c r="AX2" s="307" t="s">
        <v>4</v>
      </c>
      <c r="AY2" s="307" t="s">
        <v>3</v>
      </c>
      <c r="AZ2" s="307" t="s">
        <v>2</v>
      </c>
      <c r="BA2" s="307" t="s">
        <v>4</v>
      </c>
      <c r="BB2" s="307" t="s">
        <v>3</v>
      </c>
      <c r="BC2" s="308" t="s">
        <v>2</v>
      </c>
      <c r="BD2" s="308" t="s">
        <v>4</v>
      </c>
      <c r="BE2" s="308" t="s">
        <v>3</v>
      </c>
      <c r="BF2" s="18" t="s">
        <v>93</v>
      </c>
      <c r="BG2" s="18" t="s">
        <v>929</v>
      </c>
      <c r="BH2" s="18"/>
      <c r="BI2" s="18"/>
      <c r="BJ2" s="18"/>
      <c r="BK2" s="308" t="s">
        <v>2</v>
      </c>
      <c r="BL2" s="308" t="s">
        <v>4</v>
      </c>
      <c r="BM2" s="308" t="s">
        <v>3</v>
      </c>
      <c r="BN2" s="308" t="s">
        <v>2</v>
      </c>
      <c r="BO2" s="308" t="s">
        <v>4</v>
      </c>
      <c r="BP2" s="308" t="s">
        <v>3</v>
      </c>
      <c r="BQ2" s="308" t="s">
        <v>2</v>
      </c>
      <c r="BR2" s="308" t="s">
        <v>4</v>
      </c>
      <c r="BS2" s="308" t="s">
        <v>3</v>
      </c>
      <c r="BT2" s="316" t="s">
        <v>2</v>
      </c>
      <c r="BU2" s="316" t="s">
        <v>4</v>
      </c>
      <c r="BV2" s="316" t="s">
        <v>3</v>
      </c>
      <c r="BW2" s="317" t="s">
        <v>93</v>
      </c>
      <c r="BX2" s="317" t="s">
        <v>929</v>
      </c>
      <c r="BY2" s="316" t="s">
        <v>2</v>
      </c>
      <c r="BZ2" s="316" t="s">
        <v>4</v>
      </c>
      <c r="CA2" s="316" t="s">
        <v>3</v>
      </c>
      <c r="CB2" s="316" t="s">
        <v>2</v>
      </c>
      <c r="CC2" s="316" t="s">
        <v>4</v>
      </c>
      <c r="CD2" s="316" t="s">
        <v>3</v>
      </c>
      <c r="CE2" s="316" t="s">
        <v>2</v>
      </c>
      <c r="CF2" s="316" t="s">
        <v>4</v>
      </c>
      <c r="CG2" s="316" t="s">
        <v>3</v>
      </c>
      <c r="CJ2" s="350" t="s">
        <v>227</v>
      </c>
      <c r="CK2" t="s">
        <v>1550</v>
      </c>
      <c r="CS2" t="s">
        <v>1400</v>
      </c>
      <c r="CT2" s="260">
        <v>0.41944444444444445</v>
      </c>
    </row>
    <row r="3" spans="1:104">
      <c r="A3" t="s">
        <v>1296</v>
      </c>
      <c r="B3" s="14">
        <v>44636</v>
      </c>
      <c r="C3" s="12">
        <v>23.666666666666668</v>
      </c>
      <c r="D3">
        <v>4.3440000000000003</v>
      </c>
      <c r="E3">
        <v>1.2991999999999999</v>
      </c>
      <c r="F3">
        <v>2.1497999999999999</v>
      </c>
      <c r="G3" s="212">
        <f>(E3+0.4715)/3.0941</f>
        <v>0.57228273165056076</v>
      </c>
      <c r="H3">
        <v>0.92889999999999995</v>
      </c>
      <c r="L3">
        <v>6.2510000000000003</v>
      </c>
      <c r="M3">
        <v>1.004</v>
      </c>
      <c r="N3">
        <v>4.7613000000000003</v>
      </c>
      <c r="O3">
        <v>10.154</v>
      </c>
      <c r="P3">
        <v>1.9391</v>
      </c>
      <c r="Q3">
        <v>7.1645000000000003</v>
      </c>
      <c r="R3" t="s">
        <v>1359</v>
      </c>
      <c r="S3" t="s">
        <v>1360</v>
      </c>
      <c r="T3" t="s">
        <v>1361</v>
      </c>
      <c r="U3">
        <v>4.3680000000000003</v>
      </c>
      <c r="V3">
        <v>8.6128</v>
      </c>
      <c r="W3">
        <v>19.624300000000002</v>
      </c>
      <c r="X3" s="212">
        <f>(V3+0.4715)/3.0941</f>
        <v>2.9360072395850167</v>
      </c>
      <c r="Y3">
        <v>3.6775000000000002</v>
      </c>
      <c r="AC3">
        <v>6.2640000000000002</v>
      </c>
      <c r="AD3">
        <v>1.8227</v>
      </c>
      <c r="AE3">
        <v>5.0199999999999996</v>
      </c>
      <c r="AF3">
        <v>10.157999999999999</v>
      </c>
      <c r="AG3">
        <v>1.9564999999999999</v>
      </c>
      <c r="AH3">
        <v>7.2004999999999999</v>
      </c>
      <c r="AI3" t="s">
        <v>1362</v>
      </c>
      <c r="AJ3" t="s">
        <v>1363</v>
      </c>
      <c r="AK3" t="s">
        <v>1364</v>
      </c>
      <c r="AL3">
        <v>4.3730000000000002</v>
      </c>
      <c r="AM3">
        <v>9.9205000000000005</v>
      </c>
      <c r="AN3">
        <v>23.659199999999998</v>
      </c>
      <c r="AO3" s="212">
        <f>(AM3+0.4715)/3.0941</f>
        <v>3.3586503345076117</v>
      </c>
      <c r="AP3">
        <v>4.1689999999999996</v>
      </c>
      <c r="AT3">
        <v>6.27</v>
      </c>
      <c r="AU3">
        <v>1.4171</v>
      </c>
      <c r="AV3">
        <v>5.5164</v>
      </c>
      <c r="AW3">
        <v>10.16</v>
      </c>
      <c r="AX3">
        <v>2.0926999999999998</v>
      </c>
      <c r="AY3">
        <v>7.7058999999999997</v>
      </c>
      <c r="AZ3" t="s">
        <v>1365</v>
      </c>
      <c r="BA3" t="s">
        <v>1366</v>
      </c>
      <c r="BB3" t="s">
        <v>1367</v>
      </c>
      <c r="BC3">
        <v>4.3680000000000003</v>
      </c>
      <c r="BD3">
        <v>9.94</v>
      </c>
      <c r="BE3">
        <v>23.849</v>
      </c>
      <c r="BF3" s="212">
        <f>(BD3+0.4715)/3.0941</f>
        <v>3.3649526518212083</v>
      </c>
      <c r="BG3">
        <v>4.1763000000000003</v>
      </c>
      <c r="BK3">
        <v>6.2709999999999999</v>
      </c>
      <c r="BL3">
        <v>2.0626000000000002</v>
      </c>
      <c r="BM3">
        <v>8.6700999999999997</v>
      </c>
      <c r="BN3">
        <v>10.157999999999999</v>
      </c>
      <c r="BO3">
        <v>2.3858999999999999</v>
      </c>
      <c r="BP3">
        <v>8.7980999999999998</v>
      </c>
      <c r="BQ3" t="s">
        <v>1368</v>
      </c>
      <c r="BR3" t="s">
        <v>1369</v>
      </c>
      <c r="BS3" t="s">
        <v>1370</v>
      </c>
      <c r="BT3">
        <v>4.3609999999999998</v>
      </c>
      <c r="BU3">
        <v>9.2159999999999993</v>
      </c>
      <c r="BV3">
        <v>22.193200000000001</v>
      </c>
      <c r="BW3" s="212">
        <f>(BU3+0.4715)/3.0941</f>
        <v>3.1309589218189458</v>
      </c>
      <c r="BX3">
        <v>3.9041999999999999</v>
      </c>
      <c r="BY3">
        <v>6.2610000000000001</v>
      </c>
      <c r="BZ3">
        <v>1.3057000000000001</v>
      </c>
      <c r="CA3">
        <v>5.0770999999999997</v>
      </c>
      <c r="CB3">
        <v>10.148</v>
      </c>
      <c r="CC3">
        <v>2.0629</v>
      </c>
      <c r="CD3">
        <v>7.5838000000000001</v>
      </c>
      <c r="CE3" t="s">
        <v>1371</v>
      </c>
      <c r="CF3" t="s">
        <v>1372</v>
      </c>
      <c r="CG3" t="s">
        <v>1373</v>
      </c>
      <c r="CJ3" s="12">
        <f t="shared" ref="CJ3:CJ13" si="0">(X3+AO3+BF3)/3</f>
        <v>3.2198700753046126</v>
      </c>
      <c r="CK3">
        <f t="shared" ref="CK3:CK13" si="1">((BW3-X3)+(BW3-AO3)+(BW3-BF3))/3</f>
        <v>-8.8911153485666514E-2</v>
      </c>
      <c r="CR3" t="s">
        <v>160</v>
      </c>
      <c r="CS3" t="s">
        <v>1</v>
      </c>
      <c r="CT3" t="s">
        <v>140</v>
      </c>
      <c r="CU3" t="s">
        <v>191</v>
      </c>
      <c r="CV3" t="s">
        <v>192</v>
      </c>
      <c r="CW3" t="s">
        <v>194</v>
      </c>
      <c r="CX3" t="s">
        <v>196</v>
      </c>
      <c r="CY3" t="s">
        <v>197</v>
      </c>
    </row>
    <row r="4" spans="1:104">
      <c r="A4" t="s">
        <v>1374</v>
      </c>
      <c r="B4" s="14">
        <v>44638</v>
      </c>
      <c r="C4" s="12">
        <v>78.25</v>
      </c>
      <c r="D4">
        <v>4.3650000000000002</v>
      </c>
      <c r="E4">
        <v>1.8248</v>
      </c>
      <c r="F4">
        <v>3.2700999999999998</v>
      </c>
      <c r="G4" s="212">
        <f>(E4+0.188)/3.0944</f>
        <v>0.65046535677352635</v>
      </c>
      <c r="H4">
        <v>1.1264000000000001</v>
      </c>
      <c r="L4">
        <v>6.2679999999999998</v>
      </c>
      <c r="M4">
        <v>0.9577</v>
      </c>
      <c r="N4">
        <v>4.7241999999999997</v>
      </c>
      <c r="O4">
        <v>10.170999999999999</v>
      </c>
      <c r="P4">
        <v>2.1211000000000002</v>
      </c>
      <c r="Q4">
        <v>7.8815999999999997</v>
      </c>
      <c r="R4">
        <v>16.710999999999999</v>
      </c>
      <c r="S4">
        <v>0.159</v>
      </c>
      <c r="T4">
        <v>0.32829999999999998</v>
      </c>
      <c r="U4">
        <v>4.3879999999999999</v>
      </c>
      <c r="V4">
        <v>8.8740000000000006</v>
      </c>
      <c r="W4">
        <v>19.750699999999998</v>
      </c>
      <c r="X4" s="212">
        <f>(V4+0.188)/3.0944</f>
        <v>2.9285160289555332</v>
      </c>
      <c r="Y4">
        <v>3.7757000000000001</v>
      </c>
      <c r="AC4">
        <v>6.2640000000000002</v>
      </c>
      <c r="AD4">
        <v>1.7055</v>
      </c>
      <c r="AE4">
        <v>4.8197000000000001</v>
      </c>
      <c r="AF4">
        <v>10.170999999999999</v>
      </c>
      <c r="AG4">
        <v>2.0476999999999999</v>
      </c>
      <c r="AH4">
        <v>7.5495999999999999</v>
      </c>
      <c r="AI4">
        <v>16.710999999999999</v>
      </c>
      <c r="AJ4">
        <v>1.1692</v>
      </c>
      <c r="AK4">
        <v>2.4655999999999998</v>
      </c>
      <c r="AL4">
        <v>4.3879999999999999</v>
      </c>
      <c r="AM4">
        <v>8.5045000000000002</v>
      </c>
      <c r="AN4">
        <v>19.412800000000001</v>
      </c>
      <c r="AO4" s="212">
        <f>(AM4+0.188)/3.0944</f>
        <v>2.8091067735263708</v>
      </c>
      <c r="AP4">
        <v>3.6368</v>
      </c>
      <c r="AT4">
        <v>6.2640000000000002</v>
      </c>
      <c r="AU4">
        <v>1.1180000000000001</v>
      </c>
      <c r="AV4">
        <v>4.4546000000000001</v>
      </c>
      <c r="AW4">
        <v>10.173999999999999</v>
      </c>
      <c r="AX4">
        <v>1.8210999999999999</v>
      </c>
      <c r="AY4">
        <v>6.7047999999999996</v>
      </c>
      <c r="AZ4">
        <v>16.713999999999999</v>
      </c>
      <c r="BA4">
        <v>1.1235999999999999</v>
      </c>
      <c r="BB4">
        <v>2.3651</v>
      </c>
      <c r="BC4">
        <v>4.3840000000000003</v>
      </c>
      <c r="BD4">
        <v>8.6562999999999999</v>
      </c>
      <c r="BE4">
        <v>20.054300000000001</v>
      </c>
      <c r="BF4" s="212">
        <f>(BD4+0.188)/3.0944</f>
        <v>2.8581631334022752</v>
      </c>
      <c r="BG4">
        <v>3.6939000000000002</v>
      </c>
      <c r="BK4">
        <v>6.2610000000000001</v>
      </c>
      <c r="BL4">
        <v>1.1019000000000001</v>
      </c>
      <c r="BM4">
        <v>4.4100999999999999</v>
      </c>
      <c r="BN4">
        <v>10.170999999999999</v>
      </c>
      <c r="BO4">
        <v>1.61</v>
      </c>
      <c r="BP4">
        <v>5.9051</v>
      </c>
      <c r="BQ4">
        <v>16.704000000000001</v>
      </c>
      <c r="BR4">
        <v>1.1921999999999999</v>
      </c>
      <c r="BS4">
        <v>2.5213999999999999</v>
      </c>
      <c r="BT4">
        <v>4.3840000000000003</v>
      </c>
      <c r="BU4">
        <v>10.0693</v>
      </c>
      <c r="BV4">
        <v>22.1175</v>
      </c>
      <c r="BW4" s="212">
        <f>(BU4+0.188)/3.0944</f>
        <v>3.3147944674250263</v>
      </c>
      <c r="BX4">
        <v>4.2248999999999999</v>
      </c>
      <c r="BY4">
        <v>6.2610000000000001</v>
      </c>
      <c r="BZ4">
        <v>0.81899999999999995</v>
      </c>
      <c r="CA4">
        <v>3.9272999999999998</v>
      </c>
      <c r="CB4">
        <v>10.167999999999999</v>
      </c>
      <c r="CC4">
        <v>1.5475000000000001</v>
      </c>
      <c r="CD4">
        <v>5.6683000000000003</v>
      </c>
      <c r="CE4">
        <v>16.701000000000001</v>
      </c>
      <c r="CF4">
        <v>1.1868000000000001</v>
      </c>
      <c r="CG4">
        <v>2.5087000000000002</v>
      </c>
      <c r="CJ4" s="12">
        <f t="shared" si="0"/>
        <v>2.8652619786280602</v>
      </c>
      <c r="CK4">
        <f t="shared" si="1"/>
        <v>0.4495324887969665</v>
      </c>
      <c r="CQ4" t="s">
        <v>1297</v>
      </c>
      <c r="CR4" s="37">
        <v>44636</v>
      </c>
      <c r="CS4" s="32">
        <v>0.4055555555555555</v>
      </c>
      <c r="CT4">
        <f>24</f>
        <v>24</v>
      </c>
      <c r="CU4">
        <v>-20</v>
      </c>
      <c r="CV4">
        <f t="shared" ref="CV4" si="2">(CT4*60)+CU4</f>
        <v>1420</v>
      </c>
      <c r="CW4">
        <f t="shared" ref="CW4" si="3">CV4/60</f>
        <v>23.666666666666668</v>
      </c>
      <c r="CX4">
        <f t="shared" ref="CX4" si="4">(CW4-CY4)*60</f>
        <v>40.000000000000071</v>
      </c>
      <c r="CY4">
        <v>23</v>
      </c>
    </row>
    <row r="5" spans="1:104">
      <c r="A5" t="s">
        <v>1419</v>
      </c>
      <c r="B5" s="14">
        <v>44641</v>
      </c>
      <c r="C5" s="12">
        <v>142.28333333333333</v>
      </c>
      <c r="D5">
        <v>4.3739999999999997</v>
      </c>
      <c r="E5">
        <v>1.9282999999999999</v>
      </c>
      <c r="F5">
        <v>3.9239000000000002</v>
      </c>
      <c r="G5" s="12">
        <f>(E5-0.6424)/2.9139</f>
        <v>0.44129860324650805</v>
      </c>
      <c r="H5">
        <v>1.1653</v>
      </c>
      <c r="L5">
        <v>6.274</v>
      </c>
      <c r="M5">
        <v>0.46439999999999998</v>
      </c>
      <c r="N5">
        <v>2.5059999999999998</v>
      </c>
      <c r="O5">
        <v>10.167999999999999</v>
      </c>
      <c r="P5">
        <v>0.68940000000000001</v>
      </c>
      <c r="Q5">
        <v>2.5030000000000001</v>
      </c>
      <c r="R5">
        <v>16.898</v>
      </c>
      <c r="S5">
        <v>0.1318</v>
      </c>
      <c r="T5">
        <v>0.2676</v>
      </c>
      <c r="U5">
        <v>4.4080000000000004</v>
      </c>
      <c r="V5">
        <v>11.1533</v>
      </c>
      <c r="W5">
        <v>24.982900000000001</v>
      </c>
      <c r="X5" s="12">
        <f>(V5-0.6424)/2.9139</f>
        <v>3.6071587906242493</v>
      </c>
      <c r="Y5">
        <v>4.6322999999999999</v>
      </c>
      <c r="AC5">
        <v>6.2679999999999998</v>
      </c>
      <c r="AD5">
        <v>1.3036000000000001</v>
      </c>
      <c r="AE5">
        <v>2.3813</v>
      </c>
      <c r="AF5">
        <v>10.167999999999999</v>
      </c>
      <c r="AG5">
        <v>0.4415</v>
      </c>
      <c r="AH5">
        <v>1.5902000000000001</v>
      </c>
      <c r="AI5">
        <v>16.901</v>
      </c>
      <c r="AJ5">
        <v>1.0742</v>
      </c>
      <c r="AK5">
        <v>2.2263999999999999</v>
      </c>
      <c r="AL5">
        <v>4.4080000000000004</v>
      </c>
      <c r="AM5">
        <v>11.3635</v>
      </c>
      <c r="AN5">
        <v>26.209700000000002</v>
      </c>
      <c r="AO5" s="12">
        <f>(AM5-0.6424)/2.9139</f>
        <v>3.679295789148564</v>
      </c>
      <c r="AP5">
        <v>4.7112999999999996</v>
      </c>
      <c r="AT5">
        <v>6.2679999999999998</v>
      </c>
      <c r="AU5">
        <v>0.74370000000000003</v>
      </c>
      <c r="AV5">
        <v>2.3330000000000002</v>
      </c>
      <c r="AW5">
        <v>10.167999999999999</v>
      </c>
      <c r="AX5">
        <v>0.2913</v>
      </c>
      <c r="AY5">
        <v>1.0436000000000001</v>
      </c>
      <c r="AZ5">
        <v>16.898</v>
      </c>
      <c r="BA5">
        <v>1.1739999999999999</v>
      </c>
      <c r="BB5">
        <v>2.4416000000000002</v>
      </c>
      <c r="BC5">
        <v>4.4080000000000004</v>
      </c>
      <c r="BD5">
        <v>12.411199999999999</v>
      </c>
      <c r="BE5">
        <v>27.018000000000001</v>
      </c>
      <c r="BF5" s="12">
        <f>(BD5-0.6424)/2.9139</f>
        <v>4.0388482789388789</v>
      </c>
      <c r="BG5">
        <v>5.1050000000000004</v>
      </c>
      <c r="BK5">
        <v>6.2709999999999999</v>
      </c>
      <c r="BL5">
        <v>0.66410000000000002</v>
      </c>
      <c r="BM5">
        <v>3.1478999999999999</v>
      </c>
      <c r="BN5">
        <v>10.167999999999999</v>
      </c>
      <c r="BO5">
        <v>1.5027999999999999</v>
      </c>
      <c r="BP5">
        <v>5.4908999999999999</v>
      </c>
      <c r="BQ5">
        <v>16.901</v>
      </c>
      <c r="BR5">
        <v>1.2093</v>
      </c>
      <c r="BS5">
        <v>2.5116000000000001</v>
      </c>
      <c r="BT5">
        <v>4.4050000000000002</v>
      </c>
      <c r="BU5">
        <v>11.729699999999999</v>
      </c>
      <c r="BV5">
        <v>25.562899999999999</v>
      </c>
      <c r="BW5" s="12">
        <f>(BU5-0.6424)/2.9139</f>
        <v>3.8049692851504853</v>
      </c>
      <c r="BX5">
        <v>4.8489000000000004</v>
      </c>
      <c r="BY5">
        <v>6.2709999999999999</v>
      </c>
      <c r="BZ5">
        <v>0.70860000000000001</v>
      </c>
      <c r="CA5">
        <v>3.3157000000000001</v>
      </c>
      <c r="CB5">
        <v>10.167999999999999</v>
      </c>
      <c r="CC5">
        <v>0.38040000000000002</v>
      </c>
      <c r="CD5">
        <v>1.3692</v>
      </c>
      <c r="CE5">
        <v>16.901</v>
      </c>
      <c r="CF5">
        <v>1.1595</v>
      </c>
      <c r="CG5">
        <v>2.4064999999999999</v>
      </c>
      <c r="CJ5" s="12">
        <f t="shared" si="0"/>
        <v>3.7751009529038977</v>
      </c>
      <c r="CK5">
        <f t="shared" si="1"/>
        <v>2.9868332246587876E-2</v>
      </c>
      <c r="CQ5" t="s">
        <v>1402</v>
      </c>
      <c r="CR5" s="37">
        <v>44638</v>
      </c>
      <c r="CS5" s="32">
        <v>0.34652777777777777</v>
      </c>
      <c r="CT5">
        <f>CW4+(24*2)-1</f>
        <v>70.666666666666671</v>
      </c>
      <c r="CU5">
        <v>-25</v>
      </c>
      <c r="CV5">
        <f t="shared" ref="CV5:CV6" si="5">(CT5*60)+CU5</f>
        <v>4215</v>
      </c>
      <c r="CW5">
        <f t="shared" ref="CW5:CW6" si="6">CV5/60</f>
        <v>70.25</v>
      </c>
      <c r="CX5">
        <f t="shared" ref="CX5:CX6" si="7">(CW5-CY5)*60</f>
        <v>15</v>
      </c>
      <c r="CY5">
        <v>70</v>
      </c>
    </row>
    <row r="6" spans="1:104">
      <c r="A6" t="s">
        <v>1419</v>
      </c>
      <c r="B6" s="14">
        <v>44644</v>
      </c>
      <c r="C6" s="12">
        <v>215.41666666666666</v>
      </c>
      <c r="D6">
        <v>4.3680000000000003</v>
      </c>
      <c r="E6">
        <v>2.1764000000000001</v>
      </c>
      <c r="F6">
        <v>4.8864000000000001</v>
      </c>
      <c r="G6" s="12">
        <f t="shared" ref="G6:G7" si="8">(E6-0.6424)/2.9139</f>
        <v>0.52644222519647221</v>
      </c>
      <c r="H6">
        <v>1.2585</v>
      </c>
      <c r="L6">
        <v>6.2809999999999997</v>
      </c>
      <c r="M6">
        <v>0.47020000000000001</v>
      </c>
      <c r="N6">
        <v>2.5188000000000001</v>
      </c>
      <c r="O6">
        <v>10.170999999999999</v>
      </c>
      <c r="P6">
        <v>1.0038</v>
      </c>
      <c r="Q6">
        <v>3.6585000000000001</v>
      </c>
      <c r="R6">
        <v>16.905000000000001</v>
      </c>
      <c r="S6">
        <v>0.1072</v>
      </c>
      <c r="T6">
        <v>0.21970000000000001</v>
      </c>
      <c r="U6">
        <v>4.3949999999999996</v>
      </c>
      <c r="V6">
        <v>12.3071</v>
      </c>
      <c r="W6">
        <v>29.395199999999999</v>
      </c>
      <c r="X6" s="12">
        <f t="shared" ref="X6:X7" si="9">(V6-0.6424)/2.9139</f>
        <v>4.0031229623528608</v>
      </c>
      <c r="Y6">
        <v>5.0659000000000001</v>
      </c>
      <c r="AC6">
        <v>6.2679999999999998</v>
      </c>
      <c r="AD6">
        <v>0.5091</v>
      </c>
      <c r="AE6">
        <v>2.331</v>
      </c>
      <c r="AF6">
        <v>10.161</v>
      </c>
      <c r="AG6">
        <v>1.0573999999999999</v>
      </c>
      <c r="AH6">
        <v>3.8340000000000001</v>
      </c>
      <c r="AI6">
        <v>16.890999999999998</v>
      </c>
      <c r="AJ6">
        <v>1.1299999999999999</v>
      </c>
      <c r="AK6">
        <v>2.3481000000000001</v>
      </c>
      <c r="AL6">
        <v>4.3979999999999997</v>
      </c>
      <c r="AM6">
        <v>12.6815</v>
      </c>
      <c r="AN6">
        <v>32.166400000000003</v>
      </c>
      <c r="AO6" s="12">
        <f t="shared" ref="AO6:AO7" si="10">(AM6-0.6424)/2.9139</f>
        <v>4.1316105562991181</v>
      </c>
      <c r="AP6">
        <v>5.2065999999999999</v>
      </c>
      <c r="AT6">
        <v>6.2709999999999999</v>
      </c>
      <c r="AU6">
        <v>1.4247000000000001</v>
      </c>
      <c r="AV6">
        <v>2.8923999999999999</v>
      </c>
      <c r="AW6">
        <v>10.164999999999999</v>
      </c>
      <c r="AX6">
        <v>0.98399999999999999</v>
      </c>
      <c r="AY6">
        <v>3.5644999999999998</v>
      </c>
      <c r="AZ6">
        <v>16.901</v>
      </c>
      <c r="BA6">
        <v>1.2231000000000001</v>
      </c>
      <c r="BB6">
        <v>2.5384000000000002</v>
      </c>
      <c r="BC6">
        <v>4.3949999999999996</v>
      </c>
      <c r="BD6">
        <v>12.195600000000001</v>
      </c>
      <c r="BE6">
        <v>31.0427</v>
      </c>
      <c r="BF6" s="12">
        <f t="shared" ref="BF6:BF7" si="11">(BD6-0.6424)/2.9139</f>
        <v>3.964858093963417</v>
      </c>
      <c r="BG6">
        <v>5.024</v>
      </c>
      <c r="BK6">
        <v>6.2709999999999999</v>
      </c>
      <c r="BL6">
        <v>1.3729</v>
      </c>
      <c r="BM6">
        <v>2.9937</v>
      </c>
      <c r="BN6">
        <v>10.164999999999999</v>
      </c>
      <c r="BO6">
        <v>0.92920000000000003</v>
      </c>
      <c r="BP6">
        <v>3.3656999999999999</v>
      </c>
      <c r="BQ6">
        <v>16.890999999999998</v>
      </c>
      <c r="BR6">
        <v>1.1808000000000001</v>
      </c>
      <c r="BS6">
        <v>2.4462000000000002</v>
      </c>
      <c r="BT6">
        <v>4.3949999999999996</v>
      </c>
      <c r="BU6">
        <v>13.1412</v>
      </c>
      <c r="BV6">
        <v>32.2712</v>
      </c>
      <c r="BW6" s="12">
        <f t="shared" ref="BW6:BW7" si="12">(BU6-0.6424)/2.9139</f>
        <v>4.2893716325199902</v>
      </c>
      <c r="BX6">
        <v>5.3794000000000004</v>
      </c>
      <c r="BY6">
        <v>6.2679999999999998</v>
      </c>
      <c r="BZ6">
        <v>0.61680000000000001</v>
      </c>
      <c r="CA6">
        <v>2.8931</v>
      </c>
      <c r="CB6">
        <v>10.161</v>
      </c>
      <c r="CC6">
        <v>1.2434000000000001</v>
      </c>
      <c r="CD6">
        <v>4.5143000000000004</v>
      </c>
      <c r="CE6">
        <v>16.888000000000002</v>
      </c>
      <c r="CF6">
        <v>1.3259000000000001</v>
      </c>
      <c r="CG6">
        <v>2.7572000000000001</v>
      </c>
      <c r="CJ6" s="12">
        <f t="shared" si="0"/>
        <v>4.0331972042051314</v>
      </c>
      <c r="CK6">
        <f t="shared" si="1"/>
        <v>0.2561744283148582</v>
      </c>
      <c r="CQ6" t="s">
        <v>1399</v>
      </c>
      <c r="CR6" s="37">
        <v>44641</v>
      </c>
      <c r="CS6" s="32">
        <v>0.34791666666666665</v>
      </c>
      <c r="CT6">
        <f>CW5+(24*3)</f>
        <v>142.25</v>
      </c>
      <c r="CU6">
        <v>2</v>
      </c>
      <c r="CV6">
        <f t="shared" si="5"/>
        <v>8537</v>
      </c>
      <c r="CW6">
        <f t="shared" si="6"/>
        <v>142.28333333333333</v>
      </c>
      <c r="CX6">
        <f t="shared" si="7"/>
        <v>16.999999999999886</v>
      </c>
      <c r="CY6">
        <v>142</v>
      </c>
    </row>
    <row r="7" spans="1:104">
      <c r="A7" t="s">
        <v>1419</v>
      </c>
      <c r="B7" s="14">
        <v>44648</v>
      </c>
      <c r="C7" s="12">
        <v>314.46666666666658</v>
      </c>
      <c r="D7">
        <v>4.3579999999999997</v>
      </c>
      <c r="E7">
        <v>2.3824000000000001</v>
      </c>
      <c r="F7">
        <v>5.7904</v>
      </c>
      <c r="G7" s="12">
        <f t="shared" si="8"/>
        <v>0.59713785648100492</v>
      </c>
      <c r="H7">
        <v>1.3360000000000001</v>
      </c>
      <c r="L7">
        <v>6.274</v>
      </c>
      <c r="M7">
        <v>0.50729999999999997</v>
      </c>
      <c r="N7">
        <v>2.7320000000000002</v>
      </c>
      <c r="O7">
        <v>10.161</v>
      </c>
      <c r="P7">
        <v>1.3327</v>
      </c>
      <c r="Q7">
        <v>4.8624000000000001</v>
      </c>
      <c r="R7">
        <v>16.904</v>
      </c>
      <c r="S7">
        <v>0.1023</v>
      </c>
      <c r="T7">
        <v>0.20669999999999999</v>
      </c>
      <c r="U7">
        <v>4.3879999999999999</v>
      </c>
      <c r="V7">
        <v>12.312200000000001</v>
      </c>
      <c r="W7">
        <v>31.665600000000001</v>
      </c>
      <c r="X7" s="12">
        <f t="shared" si="9"/>
        <v>4.004873194001167</v>
      </c>
      <c r="Y7">
        <v>5.0678000000000001</v>
      </c>
      <c r="AC7">
        <v>6.2679999999999998</v>
      </c>
      <c r="AD7">
        <v>0.62009999999999998</v>
      </c>
      <c r="AE7">
        <v>2.9468999999999999</v>
      </c>
      <c r="AF7">
        <v>10.161</v>
      </c>
      <c r="AG7">
        <v>1.3893</v>
      </c>
      <c r="AH7">
        <v>5.0629999999999997</v>
      </c>
      <c r="AI7">
        <v>16.893999999999998</v>
      </c>
      <c r="AJ7">
        <v>1.1391</v>
      </c>
      <c r="AK7">
        <v>2.3607</v>
      </c>
      <c r="AL7">
        <v>4.3879999999999999</v>
      </c>
      <c r="AM7">
        <v>13.365</v>
      </c>
      <c r="AN7">
        <v>33.955599999999997</v>
      </c>
      <c r="AO7" s="12">
        <f t="shared" si="10"/>
        <v>4.366175915439789</v>
      </c>
      <c r="AP7">
        <v>5.4634999999999998</v>
      </c>
      <c r="AT7">
        <v>6.2679999999999998</v>
      </c>
      <c r="AU7">
        <v>0.56559999999999999</v>
      </c>
      <c r="AV7">
        <v>2.8005</v>
      </c>
      <c r="AW7">
        <v>10.161</v>
      </c>
      <c r="AX7">
        <v>1.3611</v>
      </c>
      <c r="AY7">
        <v>4.9691000000000001</v>
      </c>
      <c r="AZ7">
        <v>16.890999999999998</v>
      </c>
      <c r="BA7">
        <v>1.2365999999999999</v>
      </c>
      <c r="BB7">
        <v>2.5623</v>
      </c>
      <c r="BC7">
        <v>4.3879999999999999</v>
      </c>
      <c r="BD7">
        <v>12.029</v>
      </c>
      <c r="BE7">
        <v>32.714199999999998</v>
      </c>
      <c r="BF7" s="12">
        <f t="shared" si="11"/>
        <v>3.9076838601187411</v>
      </c>
      <c r="BG7">
        <v>4.9614000000000003</v>
      </c>
      <c r="BK7">
        <v>6.2709999999999999</v>
      </c>
      <c r="BL7">
        <v>1.3603000000000001</v>
      </c>
      <c r="BM7">
        <v>3.1842000000000001</v>
      </c>
      <c r="BN7">
        <v>10.164</v>
      </c>
      <c r="BO7">
        <v>1.3653999999999999</v>
      </c>
      <c r="BP7">
        <v>4.968</v>
      </c>
      <c r="BQ7">
        <v>16.893999999999998</v>
      </c>
      <c r="BR7">
        <v>1.1380999999999999</v>
      </c>
      <c r="BS7">
        <v>2.3534999999999999</v>
      </c>
      <c r="BT7">
        <v>4.3879999999999999</v>
      </c>
      <c r="BU7">
        <v>12.646599999999999</v>
      </c>
      <c r="BV7">
        <v>34.695500000000003</v>
      </c>
      <c r="BW7" s="12">
        <f t="shared" si="12"/>
        <v>4.119633480901884</v>
      </c>
      <c r="BX7">
        <v>5.1935000000000002</v>
      </c>
      <c r="BY7">
        <v>6.2679999999999998</v>
      </c>
      <c r="BZ7">
        <v>1.3516999999999999</v>
      </c>
      <c r="CA7">
        <v>2.9923000000000002</v>
      </c>
      <c r="CB7">
        <v>10.161</v>
      </c>
      <c r="CC7">
        <v>1.2329000000000001</v>
      </c>
      <c r="CD7">
        <v>4.4779</v>
      </c>
      <c r="CE7">
        <v>16.893999999999998</v>
      </c>
      <c r="CF7">
        <v>1.2934000000000001</v>
      </c>
      <c r="CG7">
        <v>2.6897000000000002</v>
      </c>
      <c r="CJ7" s="12">
        <f t="shared" si="0"/>
        <v>4.092910989853233</v>
      </c>
      <c r="CK7">
        <f t="shared" si="1"/>
        <v>2.672249104865158E-2</v>
      </c>
      <c r="CQ7" t="s">
        <v>1420</v>
      </c>
      <c r="CR7" s="37">
        <v>44644</v>
      </c>
      <c r="CS7" s="32">
        <v>0.39513888888888887</v>
      </c>
      <c r="CT7">
        <f>CW6+(24*3)+1</f>
        <v>215.28333333333333</v>
      </c>
      <c r="CU7">
        <v>8</v>
      </c>
      <c r="CV7">
        <f t="shared" ref="CV7" si="13">(CT7*60)+CU7</f>
        <v>12925</v>
      </c>
      <c r="CW7">
        <f t="shared" ref="CW7" si="14">CV7/60</f>
        <v>215.41666666666666</v>
      </c>
      <c r="CX7">
        <f t="shared" ref="CX7" si="15">(CW7-CY7)*60</f>
        <v>24.999999999999432</v>
      </c>
      <c r="CY7">
        <v>215</v>
      </c>
    </row>
    <row r="8" spans="1:104">
      <c r="A8" t="s">
        <v>1436</v>
      </c>
      <c r="B8" s="14">
        <v>44650</v>
      </c>
      <c r="C8" s="12">
        <v>359.18333333333328</v>
      </c>
      <c r="D8">
        <v>4.431</v>
      </c>
      <c r="E8">
        <v>2.0112999999999999</v>
      </c>
      <c r="F8">
        <v>2.9893000000000001</v>
      </c>
      <c r="G8" s="12">
        <f>(E8+0.2617)/3.0853</f>
        <v>0.73671928175542067</v>
      </c>
      <c r="H8">
        <v>1.1964999999999999</v>
      </c>
      <c r="L8">
        <v>6.258</v>
      </c>
      <c r="M8">
        <v>0.36630000000000001</v>
      </c>
      <c r="N8">
        <v>1.9044000000000001</v>
      </c>
      <c r="O8">
        <v>10.093999999999999</v>
      </c>
      <c r="P8">
        <v>0.79869999999999997</v>
      </c>
      <c r="Q8">
        <v>2.9161000000000001</v>
      </c>
      <c r="R8">
        <v>16.574000000000002</v>
      </c>
      <c r="S8">
        <v>8.1799999999999998E-2</v>
      </c>
      <c r="T8">
        <v>0.17150000000000001</v>
      </c>
      <c r="U8">
        <v>4.4640000000000004</v>
      </c>
      <c r="V8">
        <v>10.955500000000001</v>
      </c>
      <c r="W8">
        <v>17.008600000000001</v>
      </c>
      <c r="X8" s="12">
        <f t="shared" ref="X8:X9" si="16">(V8+0.2617)/3.0853</f>
        <v>3.6356918289955593</v>
      </c>
      <c r="Y8">
        <v>4.5579999999999998</v>
      </c>
      <c r="AC8">
        <v>6.2539999999999996</v>
      </c>
      <c r="AD8">
        <v>0.31859999999999999</v>
      </c>
      <c r="AE8">
        <v>1.6702999999999999</v>
      </c>
      <c r="AF8">
        <v>10.103999999999999</v>
      </c>
      <c r="AG8">
        <v>0.87809999999999999</v>
      </c>
      <c r="AH8">
        <v>3.1957</v>
      </c>
      <c r="AI8">
        <v>16.588000000000001</v>
      </c>
      <c r="AJ8">
        <v>1.0189999999999999</v>
      </c>
      <c r="AK8">
        <v>2.1507000000000001</v>
      </c>
      <c r="AL8">
        <v>4.4649999999999999</v>
      </c>
      <c r="AM8">
        <v>12.6288</v>
      </c>
      <c r="AN8">
        <v>18.4758</v>
      </c>
      <c r="AO8" s="12">
        <f t="shared" ref="AO8:AO9" si="17">(AM8+0.2617)/3.0853</f>
        <v>4.1780377921109775</v>
      </c>
      <c r="AP8">
        <v>5.1867999999999999</v>
      </c>
      <c r="AT8">
        <v>6.2549999999999999</v>
      </c>
      <c r="AU8">
        <v>0.2823</v>
      </c>
      <c r="AV8">
        <v>1.5108999999999999</v>
      </c>
      <c r="AW8">
        <v>10.105</v>
      </c>
      <c r="AX8">
        <v>0.86299999999999999</v>
      </c>
      <c r="AY8">
        <v>3.1396000000000002</v>
      </c>
      <c r="AZ8">
        <v>16.581</v>
      </c>
      <c r="BA8">
        <v>1.1113999999999999</v>
      </c>
      <c r="BB8">
        <v>2.3433000000000002</v>
      </c>
      <c r="BC8">
        <v>4.4539999999999997</v>
      </c>
      <c r="BD8">
        <v>13.1831</v>
      </c>
      <c r="BE8">
        <v>18.329599999999999</v>
      </c>
      <c r="BF8" s="12">
        <f t="shared" ref="BF8:BF9" si="18">(BD8+0.2617)/3.0853</f>
        <v>4.3576961721712628</v>
      </c>
      <c r="BG8">
        <v>5.3951000000000002</v>
      </c>
      <c r="BK8">
        <v>6.2510000000000003</v>
      </c>
      <c r="BL8">
        <v>0.26379999999999998</v>
      </c>
      <c r="BM8">
        <v>1.4248000000000001</v>
      </c>
      <c r="BN8">
        <v>10.093999999999999</v>
      </c>
      <c r="BO8">
        <v>0.85860000000000003</v>
      </c>
      <c r="BP8">
        <v>3.1255999999999999</v>
      </c>
      <c r="BQ8">
        <v>16.571000000000002</v>
      </c>
      <c r="BR8">
        <v>1.0808</v>
      </c>
      <c r="BS8">
        <v>2.2700999999999998</v>
      </c>
      <c r="BT8">
        <v>4.4539999999999997</v>
      </c>
      <c r="BU8">
        <v>12.6616</v>
      </c>
      <c r="BV8">
        <v>19.453199999999999</v>
      </c>
      <c r="BW8" s="12">
        <f t="shared" ref="BW8:BW10" si="19">(BU8+0.2617)/3.0853</f>
        <v>4.1886688490584376</v>
      </c>
      <c r="BX8">
        <v>5.1992000000000003</v>
      </c>
      <c r="BY8">
        <v>6.2510000000000003</v>
      </c>
      <c r="BZ8">
        <v>0.42059999999999997</v>
      </c>
      <c r="CA8">
        <v>2.0004</v>
      </c>
      <c r="CB8">
        <v>10.098000000000001</v>
      </c>
      <c r="CC8">
        <v>1.6435999999999999</v>
      </c>
      <c r="CD8">
        <v>4.3282999999999996</v>
      </c>
      <c r="CE8">
        <v>16.577999999999999</v>
      </c>
      <c r="CF8">
        <v>1.2137</v>
      </c>
      <c r="CG8">
        <v>2.5579000000000001</v>
      </c>
      <c r="CJ8" s="12">
        <f t="shared" si="0"/>
        <v>4.0571419310926</v>
      </c>
      <c r="CK8">
        <f t="shared" si="1"/>
        <v>0.13152691796583774</v>
      </c>
      <c r="CQ8" t="s">
        <v>1421</v>
      </c>
      <c r="CR8" s="37">
        <v>44648</v>
      </c>
      <c r="CS8" s="32">
        <v>0.52222222222222225</v>
      </c>
      <c r="CT8">
        <f>CW7+(24*4)+3</f>
        <v>314.41666666666663</v>
      </c>
      <c r="CU8">
        <v>3</v>
      </c>
      <c r="CV8">
        <f>(CT8*60)+CU8</f>
        <v>18867.999999999996</v>
      </c>
      <c r="CW8">
        <f>CV8/60</f>
        <v>314.46666666666658</v>
      </c>
      <c r="CX8">
        <f>(CW8-CY8)*60</f>
        <v>27.999999999994998</v>
      </c>
      <c r="CY8">
        <v>314</v>
      </c>
    </row>
    <row r="9" spans="1:104" ht="16" thickBot="1">
      <c r="A9" t="s">
        <v>1436</v>
      </c>
      <c r="B9" s="14">
        <v>44652</v>
      </c>
      <c r="C9" s="12">
        <v>406.99999999999994</v>
      </c>
      <c r="D9">
        <v>4.4050000000000002</v>
      </c>
      <c r="E9">
        <v>1.8582000000000001</v>
      </c>
      <c r="F9">
        <v>3.0381</v>
      </c>
      <c r="G9" s="12">
        <f t="shared" ref="G9" si="20">(E9+0.2617)/3.0853</f>
        <v>0.68709687874760961</v>
      </c>
      <c r="H9">
        <v>1.139</v>
      </c>
      <c r="L9">
        <v>6.2610000000000001</v>
      </c>
      <c r="M9">
        <v>0.40620000000000001</v>
      </c>
      <c r="N9">
        <v>2.1025999999999998</v>
      </c>
      <c r="O9">
        <v>10.098000000000001</v>
      </c>
      <c r="P9">
        <v>1.1099000000000001</v>
      </c>
      <c r="Q9">
        <v>4.0468000000000002</v>
      </c>
      <c r="R9">
        <v>16.577999999999999</v>
      </c>
      <c r="S9">
        <v>6.1699999999999998E-2</v>
      </c>
      <c r="T9">
        <v>0.1273</v>
      </c>
      <c r="U9">
        <v>4.431</v>
      </c>
      <c r="V9">
        <v>11.6069</v>
      </c>
      <c r="W9">
        <v>19.172699999999999</v>
      </c>
      <c r="X9" s="12">
        <f t="shared" si="16"/>
        <v>3.8468220270314064</v>
      </c>
      <c r="Y9">
        <v>4.8028000000000004</v>
      </c>
      <c r="AC9">
        <v>6.2510000000000003</v>
      </c>
      <c r="AD9">
        <v>0.38319999999999999</v>
      </c>
      <c r="AE9">
        <v>2.0415000000000001</v>
      </c>
      <c r="AF9">
        <v>10.090999999999999</v>
      </c>
      <c r="AG9">
        <v>1.0650999999999999</v>
      </c>
      <c r="AH9">
        <v>3.8700999999999999</v>
      </c>
      <c r="AI9">
        <v>16.564</v>
      </c>
      <c r="AJ9">
        <v>1.0328999999999999</v>
      </c>
      <c r="AK9">
        <v>2.1659999999999999</v>
      </c>
      <c r="AL9">
        <v>4.431</v>
      </c>
      <c r="AM9">
        <v>12.257999999999999</v>
      </c>
      <c r="AN9">
        <v>20.569600000000001</v>
      </c>
      <c r="AO9" s="12">
        <f t="shared" si="17"/>
        <v>4.0578549897902949</v>
      </c>
      <c r="AP9">
        <v>5.0475000000000003</v>
      </c>
      <c r="AT9">
        <v>6.2510000000000003</v>
      </c>
      <c r="AU9">
        <v>0.40689999999999998</v>
      </c>
      <c r="AV9">
        <v>2.1642999999999999</v>
      </c>
      <c r="AW9">
        <v>10.090999999999999</v>
      </c>
      <c r="AX9">
        <v>1.0402</v>
      </c>
      <c r="AY9">
        <v>0.78790000000000004</v>
      </c>
      <c r="AZ9">
        <v>16.568000000000001</v>
      </c>
      <c r="BA9">
        <v>1.0404</v>
      </c>
      <c r="BB9">
        <v>2.1802999999999999</v>
      </c>
      <c r="BC9">
        <v>4.431</v>
      </c>
      <c r="BD9">
        <v>12.0219</v>
      </c>
      <c r="BE9">
        <v>20.380800000000001</v>
      </c>
      <c r="BF9" s="12">
        <f t="shared" si="18"/>
        <v>3.9813308268239713</v>
      </c>
      <c r="BG9">
        <v>4.9587000000000003</v>
      </c>
      <c r="BK9">
        <v>6.2510000000000003</v>
      </c>
      <c r="BL9">
        <v>0.38190000000000002</v>
      </c>
      <c r="BM9">
        <v>2.0518000000000001</v>
      </c>
      <c r="BN9">
        <v>10.095000000000001</v>
      </c>
      <c r="BO9">
        <v>1.0914999999999999</v>
      </c>
      <c r="BP9">
        <v>3.9704999999999999</v>
      </c>
      <c r="BQ9">
        <v>16.568000000000001</v>
      </c>
      <c r="BR9">
        <v>1.0401</v>
      </c>
      <c r="BS9">
        <v>2.1873999999999998</v>
      </c>
      <c r="BT9">
        <v>4.431</v>
      </c>
      <c r="BU9">
        <v>12.218299999999999</v>
      </c>
      <c r="BV9">
        <v>21.662299999999998</v>
      </c>
      <c r="BW9" s="12">
        <f t="shared" si="19"/>
        <v>4.0449875214727893</v>
      </c>
      <c r="BX9">
        <v>5.0324999999999998</v>
      </c>
      <c r="BY9">
        <v>6.2510000000000003</v>
      </c>
      <c r="BZ9">
        <v>0.49740000000000001</v>
      </c>
      <c r="CA9">
        <v>0.40279999999999999</v>
      </c>
      <c r="CB9">
        <v>10.095000000000001</v>
      </c>
      <c r="CC9">
        <v>1.3104</v>
      </c>
      <c r="CD9">
        <v>4.7721</v>
      </c>
      <c r="CE9">
        <v>16.571000000000002</v>
      </c>
      <c r="CF9">
        <v>1.1448</v>
      </c>
      <c r="CG9">
        <v>2.4039000000000001</v>
      </c>
      <c r="CJ9" s="12">
        <f t="shared" si="0"/>
        <v>3.9620026145485574</v>
      </c>
      <c r="CK9">
        <f t="shared" si="1"/>
        <v>8.298490692423173E-2</v>
      </c>
      <c r="CQ9" t="s">
        <v>1488</v>
      </c>
      <c r="CR9" s="37">
        <v>44650</v>
      </c>
      <c r="CS9" s="32">
        <v>0.38541666666666669</v>
      </c>
      <c r="CT9">
        <f>CW8+(24*2)-3</f>
        <v>359.46666666666658</v>
      </c>
      <c r="CU9">
        <v>-17</v>
      </c>
      <c r="CV9">
        <f t="shared" ref="CV9:CV15" si="21">(CT9*60)+CU9</f>
        <v>21550.999999999996</v>
      </c>
      <c r="CW9">
        <f t="shared" ref="CW9:CW15" si="22">CV9/60</f>
        <v>359.18333333333328</v>
      </c>
      <c r="CX9">
        <f t="shared" ref="CX9:CX15" si="23">(CW9-CY9)*60</f>
        <v>10.999999999996817</v>
      </c>
      <c r="CY9">
        <v>359</v>
      </c>
    </row>
    <row r="10" spans="1:104" ht="16" thickTop="1">
      <c r="A10" t="s">
        <v>1436</v>
      </c>
      <c r="B10" s="382">
        <v>44655</v>
      </c>
      <c r="C10" s="12">
        <v>479.24999999999994</v>
      </c>
      <c r="D10">
        <v>4.6239999999999997</v>
      </c>
      <c r="E10">
        <v>0.88900000000000001</v>
      </c>
      <c r="F10">
        <v>3.7530000000000001</v>
      </c>
      <c r="G10" s="12">
        <f>(0.889+0.2617)/3.0853</f>
        <v>0.37296211065374518</v>
      </c>
      <c r="H10">
        <v>0.77470000000000006</v>
      </c>
      <c r="I10">
        <v>4.9980000000000002</v>
      </c>
      <c r="J10">
        <v>8.8726000000000003</v>
      </c>
      <c r="K10">
        <v>38.577599999999997</v>
      </c>
      <c r="L10">
        <v>6.2510000000000003</v>
      </c>
      <c r="M10">
        <v>0.4708</v>
      </c>
      <c r="N10">
        <v>2.1920999999999999</v>
      </c>
      <c r="O10">
        <v>10.090999999999999</v>
      </c>
      <c r="P10">
        <v>0.75390000000000001</v>
      </c>
      <c r="Q10">
        <v>2.718</v>
      </c>
      <c r="R10">
        <v>16.574000000000002</v>
      </c>
      <c r="S10">
        <v>0.1108</v>
      </c>
      <c r="T10">
        <v>0.22570000000000001</v>
      </c>
      <c r="U10">
        <v>4.4139999999999997</v>
      </c>
      <c r="V10">
        <v>9.2417999999999996</v>
      </c>
      <c r="W10">
        <v>18.553799999999999</v>
      </c>
      <c r="X10" s="12">
        <f>(V10+0.2617)/3.0853</f>
        <v>3.0802515152497323</v>
      </c>
      <c r="Y10">
        <v>3.9138999999999999</v>
      </c>
      <c r="Z10">
        <v>5.0010000000000003</v>
      </c>
      <c r="AA10">
        <v>8.2090999999999994</v>
      </c>
      <c r="AB10">
        <v>36.829700000000003</v>
      </c>
      <c r="AC10">
        <v>6.2640000000000002</v>
      </c>
      <c r="AD10">
        <v>0.5161</v>
      </c>
      <c r="AE10">
        <v>2.2021000000000002</v>
      </c>
      <c r="AF10">
        <v>10.090999999999999</v>
      </c>
      <c r="AG10">
        <v>0.40870000000000001</v>
      </c>
      <c r="AH10">
        <v>1.4652000000000001</v>
      </c>
      <c r="AI10">
        <v>16.574000000000002</v>
      </c>
      <c r="AJ10">
        <v>0.47449999999999998</v>
      </c>
      <c r="AK10">
        <v>0.98819999999999997</v>
      </c>
      <c r="AL10">
        <v>4.4139999999999997</v>
      </c>
      <c r="AM10">
        <v>9.5465999999999998</v>
      </c>
      <c r="AN10">
        <v>20.182600000000001</v>
      </c>
      <c r="AO10" s="12">
        <f>(AM10+0.2617)/3.0853</f>
        <v>3.1790425566395486</v>
      </c>
      <c r="AP10">
        <v>4.0284000000000004</v>
      </c>
      <c r="AQ10">
        <v>4.9939999999999998</v>
      </c>
      <c r="AR10">
        <v>7.0777000000000001</v>
      </c>
      <c r="AS10">
        <v>32.466500000000003</v>
      </c>
      <c r="AT10">
        <v>6.274</v>
      </c>
      <c r="AU10">
        <v>0.57269999999999999</v>
      </c>
      <c r="AV10">
        <v>2.4159000000000002</v>
      </c>
      <c r="AW10">
        <v>10.090999999999999</v>
      </c>
      <c r="AX10">
        <v>0.28670000000000001</v>
      </c>
      <c r="AY10">
        <v>1.0309999999999999</v>
      </c>
      <c r="AZ10">
        <v>16.571000000000002</v>
      </c>
      <c r="BA10">
        <v>0.45319999999999999</v>
      </c>
      <c r="BB10">
        <v>0.94879999999999998</v>
      </c>
      <c r="BC10">
        <v>4.415</v>
      </c>
      <c r="BD10">
        <v>9.3346</v>
      </c>
      <c r="BE10">
        <v>19.854800000000001</v>
      </c>
      <c r="BF10" s="12">
        <f>(BD10+0.2617)/3.0853</f>
        <v>3.110329627588889</v>
      </c>
      <c r="BG10">
        <v>3.9487999999999999</v>
      </c>
      <c r="BH10">
        <v>4.9909999999999997</v>
      </c>
      <c r="BI10">
        <v>6.8311000000000002</v>
      </c>
      <c r="BJ10">
        <v>30.1616</v>
      </c>
      <c r="BK10">
        <v>6.2679999999999998</v>
      </c>
      <c r="BL10">
        <v>0.43940000000000001</v>
      </c>
      <c r="BM10">
        <v>1.82</v>
      </c>
      <c r="BN10">
        <v>10.090999999999999</v>
      </c>
      <c r="BO10">
        <v>0.32790000000000002</v>
      </c>
      <c r="BP10">
        <v>1.1755</v>
      </c>
      <c r="BQ10">
        <v>16.574999999999999</v>
      </c>
      <c r="BR10">
        <v>0.38650000000000001</v>
      </c>
      <c r="BS10">
        <v>0.80989999999999995</v>
      </c>
      <c r="BT10">
        <v>4.4180000000000001</v>
      </c>
      <c r="BU10">
        <v>12.6686</v>
      </c>
      <c r="BV10">
        <v>24.772300000000001</v>
      </c>
      <c r="BW10" s="12">
        <f t="shared" si="19"/>
        <v>4.1909376721874692</v>
      </c>
      <c r="BX10">
        <v>5.2018000000000004</v>
      </c>
      <c r="BY10">
        <v>6.2510000000000003</v>
      </c>
      <c r="BZ10">
        <v>0.4839</v>
      </c>
      <c r="CA10">
        <v>2.3325</v>
      </c>
      <c r="CB10">
        <v>10.093999999999999</v>
      </c>
      <c r="CC10">
        <v>1.1597</v>
      </c>
      <c r="CD10">
        <v>4.2121000000000004</v>
      </c>
      <c r="CE10">
        <v>16.574000000000002</v>
      </c>
      <c r="CF10">
        <v>1.1756</v>
      </c>
      <c r="CG10">
        <v>2.4641999999999999</v>
      </c>
      <c r="CJ10" s="12">
        <f t="shared" si="0"/>
        <v>3.1232078998260566</v>
      </c>
      <c r="CK10">
        <f t="shared" si="1"/>
        <v>1.0677297723614125</v>
      </c>
      <c r="CQ10" t="s">
        <v>1490</v>
      </c>
      <c r="CR10" s="37">
        <v>44652</v>
      </c>
      <c r="CS10" s="32">
        <v>0.37777777777777777</v>
      </c>
      <c r="CT10">
        <f>CW9+(24*2)</f>
        <v>407.18333333333328</v>
      </c>
      <c r="CU10">
        <v>-11</v>
      </c>
      <c r="CV10">
        <f t="shared" si="21"/>
        <v>24419.999999999996</v>
      </c>
      <c r="CW10">
        <f t="shared" si="22"/>
        <v>406.99999999999994</v>
      </c>
      <c r="CX10">
        <f t="shared" si="23"/>
        <v>-3.4106051316484809E-12</v>
      </c>
      <c r="CY10">
        <v>407</v>
      </c>
    </row>
    <row r="11" spans="1:104">
      <c r="A11" t="s">
        <v>1493</v>
      </c>
      <c r="B11" s="14">
        <v>44658</v>
      </c>
      <c r="C11" s="12">
        <v>551.63333333333333</v>
      </c>
      <c r="D11">
        <v>4.5910000000000002</v>
      </c>
      <c r="E11">
        <v>0.81220000000000003</v>
      </c>
      <c r="F11">
        <v>2.2111999999999998</v>
      </c>
      <c r="G11" s="12">
        <f>(E11-0.3024)/3.399</f>
        <v>0.14998528979111503</v>
      </c>
      <c r="H11" t="s">
        <v>182</v>
      </c>
      <c r="I11">
        <v>4.9610000000000003</v>
      </c>
      <c r="J11">
        <v>8.1306999999999992</v>
      </c>
      <c r="K11">
        <v>33.684100000000001</v>
      </c>
      <c r="L11">
        <v>6.1909999999999998</v>
      </c>
      <c r="M11">
        <v>0.78080000000000005</v>
      </c>
      <c r="N11">
        <v>2.6545999999999998</v>
      </c>
      <c r="O11">
        <v>9.9710000000000001</v>
      </c>
      <c r="P11">
        <v>0.1043</v>
      </c>
      <c r="Q11">
        <v>0.37309999999999999</v>
      </c>
      <c r="R11">
        <v>16.355</v>
      </c>
      <c r="S11">
        <v>0.16520000000000001</v>
      </c>
      <c r="T11">
        <v>0.3417</v>
      </c>
      <c r="U11">
        <v>4.468</v>
      </c>
      <c r="V11">
        <v>10.236800000000001</v>
      </c>
      <c r="W11">
        <v>12.6615</v>
      </c>
      <c r="X11" s="12">
        <f>(V11-0.3024)/3.399</f>
        <v>2.9227419829361576</v>
      </c>
      <c r="Y11">
        <v>4.2877999999999998</v>
      </c>
      <c r="Z11">
        <v>4.9409999999999998</v>
      </c>
      <c r="AA11">
        <v>3.3565</v>
      </c>
      <c r="AB11">
        <v>16.699100000000001</v>
      </c>
      <c r="AC11">
        <v>6.2210000000000001</v>
      </c>
      <c r="AD11">
        <v>0.84850000000000003</v>
      </c>
      <c r="AE11">
        <v>3.6031</v>
      </c>
      <c r="AF11">
        <v>9.9640000000000004</v>
      </c>
      <c r="AG11">
        <v>0.28920000000000001</v>
      </c>
      <c r="AH11">
        <v>1.0370999999999999</v>
      </c>
      <c r="AI11">
        <v>16.344000000000001</v>
      </c>
      <c r="AJ11">
        <v>0.51219999999999999</v>
      </c>
      <c r="AK11">
        <v>1.0670999999999999</v>
      </c>
      <c r="AL11">
        <v>4.4640000000000004</v>
      </c>
      <c r="AM11">
        <v>11.145</v>
      </c>
      <c r="AN11">
        <v>13.318099999999999</v>
      </c>
      <c r="AO11" s="12">
        <f>(AM11-0.3024)/3.399</f>
        <v>3.1899382171226827</v>
      </c>
      <c r="AP11">
        <v>4.6292</v>
      </c>
      <c r="AQ11">
        <v>4.9340000000000002</v>
      </c>
      <c r="AR11">
        <v>1.9023000000000001</v>
      </c>
      <c r="AS11">
        <v>12.078099999999999</v>
      </c>
      <c r="AT11">
        <v>6.2240000000000002</v>
      </c>
      <c r="AU11">
        <v>0.3866</v>
      </c>
      <c r="AV11">
        <v>1.4925999999999999</v>
      </c>
      <c r="AW11">
        <v>9.968</v>
      </c>
      <c r="AX11">
        <v>0.13100000000000001</v>
      </c>
      <c r="AY11">
        <v>0.46110000000000001</v>
      </c>
      <c r="AZ11">
        <v>16.350999999999999</v>
      </c>
      <c r="BA11">
        <v>0.44290000000000002</v>
      </c>
      <c r="BB11">
        <v>0.92379999999999995</v>
      </c>
      <c r="BC11">
        <v>4.468</v>
      </c>
      <c r="BD11">
        <f>9.2799+0.3032</f>
        <v>9.5831</v>
      </c>
      <c r="BE11">
        <v>13.2987</v>
      </c>
      <c r="BF11" s="12">
        <f>(BD11-0.3024)/3.399</f>
        <v>2.73042071197411</v>
      </c>
      <c r="BG11">
        <v>3.9281999999999999</v>
      </c>
      <c r="BH11">
        <v>4.931</v>
      </c>
      <c r="BI11">
        <v>1.5621</v>
      </c>
      <c r="BJ11">
        <v>8.8289000000000009</v>
      </c>
      <c r="BK11">
        <v>6.2210000000000001</v>
      </c>
      <c r="BL11">
        <v>0.4793</v>
      </c>
      <c r="BM11">
        <v>1.9041999999999999</v>
      </c>
      <c r="BN11">
        <v>9.9649999999999999</v>
      </c>
      <c r="BO11">
        <v>0.23330000000000001</v>
      </c>
      <c r="BP11">
        <v>0.83530000000000004</v>
      </c>
      <c r="BQ11">
        <v>16.350999999999999</v>
      </c>
      <c r="BR11">
        <v>0.48559999999999998</v>
      </c>
      <c r="BS11">
        <v>1.0132000000000001</v>
      </c>
      <c r="BT11">
        <v>4.4640000000000004</v>
      </c>
      <c r="BU11">
        <v>13.2982</v>
      </c>
      <c r="BV11">
        <v>16.4194</v>
      </c>
      <c r="BW11" s="12">
        <f>(BU11-0.3024)/3.399</f>
        <v>3.8234186525448659</v>
      </c>
      <c r="BX11">
        <v>5.4383999999999997</v>
      </c>
      <c r="BY11">
        <v>6.1909999999999998</v>
      </c>
      <c r="BZ11">
        <v>0.36009999999999998</v>
      </c>
      <c r="CA11">
        <v>1.9276</v>
      </c>
      <c r="CB11">
        <v>9.9710000000000001</v>
      </c>
      <c r="CC11">
        <v>1.0710999999999999</v>
      </c>
      <c r="CD11">
        <v>3.9058000000000002</v>
      </c>
      <c r="CE11">
        <v>16.350999999999999</v>
      </c>
      <c r="CF11">
        <v>1.2154</v>
      </c>
      <c r="CG11">
        <v>2.5663</v>
      </c>
      <c r="CJ11" s="12">
        <f t="shared" si="0"/>
        <v>2.9477003040109833</v>
      </c>
      <c r="CK11">
        <f t="shared" si="1"/>
        <v>0.87571834853388253</v>
      </c>
      <c r="CQ11" t="s">
        <v>1489</v>
      </c>
      <c r="CR11" s="37">
        <v>44655</v>
      </c>
      <c r="CS11" s="32">
        <v>0.36736111111111108</v>
      </c>
      <c r="CT11">
        <f>CW10+(24*3)</f>
        <v>478.99999999999994</v>
      </c>
      <c r="CU11">
        <f>15</f>
        <v>15</v>
      </c>
      <c r="CV11">
        <f t="shared" si="21"/>
        <v>28754.999999999996</v>
      </c>
      <c r="CW11">
        <f t="shared" si="22"/>
        <v>479.24999999999994</v>
      </c>
      <c r="CX11">
        <f t="shared" si="23"/>
        <v>14.999999999996589</v>
      </c>
      <c r="CY11">
        <v>479</v>
      </c>
      <c r="CZ11" t="s">
        <v>1507</v>
      </c>
    </row>
    <row r="12" spans="1:104">
      <c r="A12" t="s">
        <v>1493</v>
      </c>
      <c r="B12" s="14">
        <v>44662</v>
      </c>
      <c r="C12" s="12">
        <v>651.4666666666667</v>
      </c>
      <c r="D12">
        <v>4.5579999999999998</v>
      </c>
      <c r="E12">
        <v>1.0434000000000001</v>
      </c>
      <c r="F12">
        <v>2.5547</v>
      </c>
      <c r="G12" s="12">
        <f>(E12-0.3024)/3.399</f>
        <v>0.21800529567519861</v>
      </c>
      <c r="H12" t="s">
        <v>182</v>
      </c>
      <c r="I12">
        <v>4.9649999999999999</v>
      </c>
      <c r="J12">
        <v>9.5602</v>
      </c>
      <c r="K12">
        <v>38.7834</v>
      </c>
      <c r="L12">
        <v>6.1879999999999997</v>
      </c>
      <c r="M12">
        <v>1.2057</v>
      </c>
      <c r="N12">
        <v>2.7633999999999999</v>
      </c>
      <c r="O12">
        <v>9.9649999999999999</v>
      </c>
      <c r="P12">
        <v>7.4800000000000005E-2</v>
      </c>
      <c r="Q12">
        <v>0.26619999999999999</v>
      </c>
      <c r="R12">
        <v>16.344999999999999</v>
      </c>
      <c r="S12">
        <v>0.19040000000000001</v>
      </c>
      <c r="T12">
        <v>0.4002</v>
      </c>
      <c r="U12">
        <v>4.431</v>
      </c>
      <c r="V12">
        <v>8.6960999999999995</v>
      </c>
      <c r="W12">
        <v>13.9504</v>
      </c>
      <c r="X12" s="12">
        <f>(V12-0.3024)/3.399</f>
        <v>2.4694616063548098</v>
      </c>
      <c r="Y12">
        <v>3.7088000000000001</v>
      </c>
      <c r="Z12">
        <v>4.9480000000000004</v>
      </c>
      <c r="AA12">
        <v>4.6947999999999999</v>
      </c>
      <c r="AB12">
        <v>22.305900000000001</v>
      </c>
      <c r="AC12">
        <v>6.2009999999999996</v>
      </c>
      <c r="AD12">
        <v>0.33939999999999998</v>
      </c>
      <c r="AE12">
        <v>1.2556</v>
      </c>
      <c r="AF12">
        <v>9.9610000000000003</v>
      </c>
      <c r="AG12">
        <v>0.4803</v>
      </c>
      <c r="AH12">
        <v>1.7218</v>
      </c>
      <c r="AI12">
        <v>16.344999999999999</v>
      </c>
      <c r="AJ12">
        <v>0.43759999999999999</v>
      </c>
      <c r="AK12">
        <v>0.91669999999999996</v>
      </c>
      <c r="AL12">
        <v>4.4279999999999999</v>
      </c>
      <c r="AM12">
        <v>9.3694000000000006</v>
      </c>
      <c r="AN12">
        <v>14.5618</v>
      </c>
      <c r="AO12" s="12">
        <f>(AM12-0.3024)/3.399</f>
        <v>2.6675492791997648</v>
      </c>
      <c r="AP12">
        <v>3.9618000000000002</v>
      </c>
      <c r="AQ12">
        <v>4.9340000000000002</v>
      </c>
      <c r="AR12">
        <v>3.1011000000000002</v>
      </c>
      <c r="AS12">
        <v>15.6175</v>
      </c>
      <c r="AT12">
        <v>6.2110000000000003</v>
      </c>
      <c r="AU12">
        <v>0.30009999999999998</v>
      </c>
      <c r="AV12">
        <v>1.0463</v>
      </c>
      <c r="AW12">
        <v>9.9610000000000003</v>
      </c>
      <c r="AX12">
        <v>4.58E-2</v>
      </c>
      <c r="AY12">
        <v>0.16300000000000001</v>
      </c>
      <c r="AZ12">
        <v>16.338000000000001</v>
      </c>
      <c r="BA12">
        <v>0.46829999999999999</v>
      </c>
      <c r="BB12">
        <v>0.97819999999999996</v>
      </c>
      <c r="BC12">
        <v>4.431</v>
      </c>
      <c r="BD12">
        <v>9.0119000000000007</v>
      </c>
      <c r="BE12">
        <v>12.6858</v>
      </c>
      <c r="BF12" s="12">
        <f>(BD12-0.3024)/3.399</f>
        <v>2.5623712856722567</v>
      </c>
      <c r="BG12">
        <v>3.8275000000000001</v>
      </c>
      <c r="BH12">
        <v>4.9640000000000004</v>
      </c>
      <c r="BI12">
        <v>7.2720000000000002</v>
      </c>
      <c r="BJ12">
        <v>33.6965</v>
      </c>
      <c r="BK12">
        <v>6.1909999999999998</v>
      </c>
      <c r="BL12">
        <v>0.29580000000000001</v>
      </c>
      <c r="BM12">
        <v>1.1605000000000001</v>
      </c>
      <c r="BN12">
        <v>9.9580000000000002</v>
      </c>
      <c r="BO12">
        <v>0.1663</v>
      </c>
      <c r="BP12">
        <v>0.58889999999999998</v>
      </c>
      <c r="BQ12">
        <v>16.338000000000001</v>
      </c>
      <c r="BR12">
        <v>0.4103</v>
      </c>
      <c r="BS12">
        <v>0.86019999999999996</v>
      </c>
      <c r="BT12">
        <v>4.431</v>
      </c>
      <c r="BU12">
        <v>12.8902</v>
      </c>
      <c r="BV12">
        <v>18.571400000000001</v>
      </c>
      <c r="BW12" s="12">
        <f>(BU12-0.3024)/3.399</f>
        <v>3.7033833480435421</v>
      </c>
      <c r="BX12">
        <v>5.2850999999999999</v>
      </c>
      <c r="BY12">
        <v>6.1909999999999998</v>
      </c>
      <c r="BZ12">
        <v>0.3911</v>
      </c>
      <c r="CA12">
        <v>2.0939999999999999</v>
      </c>
      <c r="CB12">
        <v>9.9640000000000004</v>
      </c>
      <c r="CC12">
        <v>0.99019999999999997</v>
      </c>
      <c r="CD12">
        <v>3.5775000000000001</v>
      </c>
      <c r="CE12">
        <v>16.338000000000001</v>
      </c>
      <c r="CF12">
        <v>1.2719</v>
      </c>
      <c r="CG12">
        <v>2.6802000000000001</v>
      </c>
      <c r="CJ12" s="12">
        <f t="shared" si="0"/>
        <v>2.5664607237422774</v>
      </c>
      <c r="CK12">
        <f t="shared" si="1"/>
        <v>1.1369226243012649</v>
      </c>
      <c r="CQ12" t="s">
        <v>1491</v>
      </c>
      <c r="CR12" s="37">
        <v>44658</v>
      </c>
      <c r="CS12" s="32">
        <v>0.3833333333333333</v>
      </c>
      <c r="CT12">
        <f>CW11+(24*3)</f>
        <v>551.25</v>
      </c>
      <c r="CU12">
        <v>23</v>
      </c>
      <c r="CV12">
        <f t="shared" si="21"/>
        <v>33098</v>
      </c>
      <c r="CW12">
        <f t="shared" si="22"/>
        <v>551.63333333333333</v>
      </c>
      <c r="CX12">
        <f t="shared" si="23"/>
        <v>37.999999999999545</v>
      </c>
      <c r="CY12">
        <v>551</v>
      </c>
    </row>
    <row r="13" spans="1:104">
      <c r="A13" t="s">
        <v>1536</v>
      </c>
      <c r="B13" s="14">
        <v>44666</v>
      </c>
      <c r="C13" s="12">
        <v>750.51666666666665</v>
      </c>
      <c r="D13">
        <v>4.5910000000000002</v>
      </c>
      <c r="E13">
        <v>0.53569999999999995</v>
      </c>
      <c r="F13">
        <v>1.6347</v>
      </c>
      <c r="G13" s="12">
        <v>0</v>
      </c>
      <c r="H13">
        <v>0.64190000000000003</v>
      </c>
      <c r="I13">
        <v>4.9550000000000001</v>
      </c>
      <c r="J13">
        <v>9.4807000000000006</v>
      </c>
      <c r="K13">
        <v>38.969299999999997</v>
      </c>
      <c r="L13">
        <v>6.165</v>
      </c>
      <c r="M13">
        <v>1.2163999999999999</v>
      </c>
      <c r="N13">
        <v>2.6214</v>
      </c>
      <c r="O13">
        <v>9.8879999999999999</v>
      </c>
      <c r="P13">
        <v>3.6200000000000003E-2</v>
      </c>
      <c r="Q13">
        <v>0.1298</v>
      </c>
      <c r="R13">
        <v>16.198</v>
      </c>
      <c r="S13">
        <v>0.1512</v>
      </c>
      <c r="T13">
        <v>0.31780000000000003</v>
      </c>
      <c r="U13">
        <v>4.4809999999999999</v>
      </c>
      <c r="V13">
        <v>12.928000000000001</v>
      </c>
      <c r="W13">
        <v>10.082100000000001</v>
      </c>
      <c r="X13" s="12">
        <f>(V13-1.1239)/3.2564</f>
        <v>3.6248925193465178</v>
      </c>
      <c r="Y13">
        <v>5.2992999999999997</v>
      </c>
      <c r="Z13">
        <v>4.9359999999999999</v>
      </c>
      <c r="AA13">
        <v>4.5163000000000002</v>
      </c>
      <c r="AB13">
        <v>22.443000000000001</v>
      </c>
      <c r="AC13" s="9">
        <v>6.1950000000000003</v>
      </c>
      <c r="AD13" s="9">
        <v>0.4874</v>
      </c>
      <c r="AE13" s="9">
        <v>2.0960999999999999</v>
      </c>
      <c r="AF13">
        <v>9.8879999999999999</v>
      </c>
      <c r="AG13">
        <v>0.66290000000000004</v>
      </c>
      <c r="AH13">
        <v>0.4047</v>
      </c>
      <c r="AI13">
        <v>16.195</v>
      </c>
      <c r="AJ13">
        <v>0.61419999999999997</v>
      </c>
      <c r="AK13">
        <v>1.3036000000000001</v>
      </c>
      <c r="AL13">
        <v>4.5140000000000002</v>
      </c>
      <c r="AM13">
        <v>12.007</v>
      </c>
      <c r="AN13">
        <v>9.8803999999999998</v>
      </c>
      <c r="AO13" s="12">
        <f>(AM13-1.1239)/3.2564</f>
        <v>3.3420648568971867</v>
      </c>
      <c r="AP13">
        <v>4.9531000000000001</v>
      </c>
      <c r="AQ13">
        <v>4.9340000000000002</v>
      </c>
      <c r="AR13">
        <v>4.0438000000000001</v>
      </c>
      <c r="AS13">
        <v>20.574100000000001</v>
      </c>
      <c r="AT13">
        <v>6.194</v>
      </c>
      <c r="AU13">
        <v>0.43070000000000003</v>
      </c>
      <c r="AV13">
        <v>1.9054</v>
      </c>
      <c r="AW13">
        <v>9.8879999999999999</v>
      </c>
      <c r="AX13">
        <v>0.54969999999999997</v>
      </c>
      <c r="AY13">
        <v>5984</v>
      </c>
      <c r="AZ13">
        <v>16.198</v>
      </c>
      <c r="BA13">
        <v>0.51439999999999997</v>
      </c>
      <c r="BB13">
        <v>1.0868</v>
      </c>
      <c r="BC13">
        <v>4.5380000000000003</v>
      </c>
      <c r="BD13">
        <v>11.4809</v>
      </c>
      <c r="BE13">
        <v>10.7942</v>
      </c>
      <c r="BF13" s="12">
        <f>(BD13-1.1239)/3.2564</f>
        <v>3.1805060803341108</v>
      </c>
      <c r="BG13">
        <v>4.7553999999999998</v>
      </c>
      <c r="BH13">
        <v>4.9210000000000003</v>
      </c>
      <c r="BI13">
        <v>2.3555999999999999</v>
      </c>
      <c r="BJ13">
        <v>12.015599999999999</v>
      </c>
      <c r="BK13">
        <v>6.8209999999999997</v>
      </c>
      <c r="BL13">
        <v>1.0306999999999999</v>
      </c>
      <c r="BM13">
        <v>0.81459999999999999</v>
      </c>
      <c r="BN13">
        <v>9.8840000000000003</v>
      </c>
      <c r="BO13">
        <v>0.91169999999999995</v>
      </c>
      <c r="BP13">
        <v>2.5564</v>
      </c>
      <c r="BQ13">
        <v>16.198</v>
      </c>
      <c r="BR13">
        <v>0.44350000000000001</v>
      </c>
      <c r="BS13">
        <v>0.9355</v>
      </c>
      <c r="BT13">
        <v>4.4870000000000001</v>
      </c>
      <c r="BU13">
        <v>14.857200000000001</v>
      </c>
      <c r="BV13">
        <v>14.782299999999999</v>
      </c>
      <c r="BW13" s="12">
        <f>(BU13-1.1239)/3.2564</f>
        <v>4.2173258813413579</v>
      </c>
      <c r="BX13">
        <v>6.0243000000000002</v>
      </c>
      <c r="BY13">
        <v>6.1609999999999996</v>
      </c>
      <c r="BZ13">
        <v>0.35420000000000001</v>
      </c>
      <c r="CA13">
        <v>1.9213</v>
      </c>
      <c r="CB13">
        <v>9.8870000000000005</v>
      </c>
      <c r="CC13">
        <v>1.758</v>
      </c>
      <c r="CD13">
        <v>3.8956</v>
      </c>
      <c r="CE13">
        <v>16.187000000000001</v>
      </c>
      <c r="CF13">
        <v>1.3584000000000001</v>
      </c>
      <c r="CG13">
        <v>2.8936000000000002</v>
      </c>
      <c r="CJ13" s="12">
        <f t="shared" si="0"/>
        <v>3.3824878188592717</v>
      </c>
      <c r="CK13">
        <f t="shared" si="1"/>
        <v>0.83483806248208614</v>
      </c>
      <c r="CQ13" t="s">
        <v>1492</v>
      </c>
      <c r="CR13" s="37">
        <v>44662</v>
      </c>
      <c r="CS13" s="32">
        <v>4.2361111111111106E-2</v>
      </c>
      <c r="CT13">
        <f>CW12+(24*4)+4</f>
        <v>651.63333333333333</v>
      </c>
      <c r="CU13">
        <v>-10</v>
      </c>
      <c r="CV13">
        <f t="shared" si="21"/>
        <v>39088</v>
      </c>
      <c r="CW13">
        <f t="shared" si="22"/>
        <v>651.4666666666667</v>
      </c>
      <c r="CX13">
        <f t="shared" si="23"/>
        <v>28.000000000001819</v>
      </c>
      <c r="CY13">
        <v>651</v>
      </c>
    </row>
    <row r="14" spans="1:104">
      <c r="A14" t="s">
        <v>1536</v>
      </c>
      <c r="B14" s="14">
        <v>44671</v>
      </c>
      <c r="C14" s="12">
        <v>863.55</v>
      </c>
      <c r="D14">
        <v>4.4009999999999998</v>
      </c>
      <c r="E14">
        <v>0.98050000000000004</v>
      </c>
      <c r="F14">
        <v>4.4340999999999999</v>
      </c>
      <c r="G14" s="12">
        <v>0</v>
      </c>
      <c r="H14">
        <v>0.80910000000000004</v>
      </c>
      <c r="I14">
        <v>4.9409999999999998</v>
      </c>
      <c r="J14">
        <v>8.2116000000000007</v>
      </c>
      <c r="K14">
        <v>32.566299999999998</v>
      </c>
      <c r="L14">
        <v>6.1609999999999996</v>
      </c>
      <c r="M14">
        <v>1.1106</v>
      </c>
      <c r="N14">
        <v>2.3713000000000002</v>
      </c>
      <c r="O14">
        <v>9.8810000000000002</v>
      </c>
      <c r="P14">
        <v>6.3299999999999995E-2</v>
      </c>
      <c r="Q14">
        <v>0.22409999999999999</v>
      </c>
      <c r="R14">
        <v>16.187999999999999</v>
      </c>
      <c r="S14">
        <v>0.2225</v>
      </c>
      <c r="T14">
        <v>0.45650000000000002</v>
      </c>
      <c r="U14" s="266">
        <v>4.4550000000000001</v>
      </c>
      <c r="V14" s="266">
        <v>1.8090999999999999</v>
      </c>
      <c r="W14" s="266">
        <v>5.8014000000000001</v>
      </c>
      <c r="X14" s="12">
        <f>(V14-1.1239)/3.2564</f>
        <v>0.21041641076034884</v>
      </c>
      <c r="Y14" s="266">
        <v>1.1205000000000001</v>
      </c>
      <c r="Z14" s="266">
        <v>4.931</v>
      </c>
      <c r="AA14" s="266">
        <v>1.9706999999999999</v>
      </c>
      <c r="AB14" s="266">
        <v>29.774000000000001</v>
      </c>
      <c r="AC14" s="266">
        <v>6.1779999999999999</v>
      </c>
      <c r="AD14" s="266">
        <v>2.2113</v>
      </c>
      <c r="AE14" s="266">
        <v>2.8959999999999999</v>
      </c>
      <c r="AF14">
        <v>9.8810000000000002</v>
      </c>
      <c r="AG14">
        <v>0.52910000000000001</v>
      </c>
      <c r="AH14">
        <v>0.84970000000000001</v>
      </c>
      <c r="AI14">
        <v>16.184999999999999</v>
      </c>
      <c r="AJ14">
        <v>0.3921</v>
      </c>
      <c r="AK14">
        <v>0.82199999999999995</v>
      </c>
      <c r="AL14">
        <v>4.4450000000000003</v>
      </c>
      <c r="AM14">
        <v>9.9685000000000006</v>
      </c>
      <c r="AN14">
        <v>11.7494</v>
      </c>
      <c r="AO14" s="12">
        <f>(AM14-1.1239)/3.2564</f>
        <v>2.7160668222577078</v>
      </c>
      <c r="AP14">
        <v>4.1870000000000003</v>
      </c>
      <c r="AQ14">
        <v>4.9349999999999996</v>
      </c>
      <c r="AR14">
        <v>6.2224000000000004</v>
      </c>
      <c r="AS14">
        <v>24.206399999999999</v>
      </c>
      <c r="AT14">
        <v>6.181</v>
      </c>
      <c r="AU14">
        <v>1.8328</v>
      </c>
      <c r="AV14">
        <v>2.8656999999999999</v>
      </c>
      <c r="AW14">
        <v>9.8810000000000002</v>
      </c>
      <c r="AX14">
        <v>9.0300000000000005E-2</v>
      </c>
      <c r="AY14">
        <v>0.32400000000000001</v>
      </c>
      <c r="AZ14">
        <v>16.187999999999999</v>
      </c>
      <c r="BA14">
        <v>0.41560000000000002</v>
      </c>
      <c r="BB14">
        <v>0.87460000000000004</v>
      </c>
      <c r="BC14" s="9">
        <v>4.4580000000000002</v>
      </c>
      <c r="BD14" s="9">
        <v>10.2029</v>
      </c>
      <c r="BE14" s="9">
        <v>11.191800000000001</v>
      </c>
      <c r="BF14" s="12">
        <f>(BD14-1.1239)/3.2564</f>
        <v>2.78804815133276</v>
      </c>
      <c r="BG14" s="9">
        <v>4.2751000000000001</v>
      </c>
      <c r="BH14" s="9">
        <v>4.9509999999999996</v>
      </c>
      <c r="BI14" s="9">
        <v>6.8589000000000002</v>
      </c>
      <c r="BJ14" s="9">
        <v>33.526600000000002</v>
      </c>
      <c r="BK14" s="9">
        <v>6.1639999999999997</v>
      </c>
      <c r="BL14" s="9">
        <v>1.4356</v>
      </c>
      <c r="BM14" s="9">
        <v>2.6909000000000001</v>
      </c>
      <c r="BN14">
        <v>9.8810000000000002</v>
      </c>
      <c r="BO14">
        <v>1.0353000000000001</v>
      </c>
      <c r="BP14">
        <v>1.8270999999999999</v>
      </c>
      <c r="BQ14">
        <v>16.187999999999999</v>
      </c>
      <c r="BR14">
        <v>0.3977</v>
      </c>
      <c r="BS14">
        <v>0.84109999999999996</v>
      </c>
      <c r="BT14">
        <v>4.444</v>
      </c>
      <c r="BU14">
        <v>13.3187</v>
      </c>
      <c r="BV14">
        <v>15.4846</v>
      </c>
      <c r="BW14" s="12">
        <f>(BU14-1.1239)/3.2564</f>
        <v>3.7448716373909838</v>
      </c>
      <c r="BX14">
        <v>5.4461000000000004</v>
      </c>
      <c r="BY14">
        <v>6.157</v>
      </c>
      <c r="BZ14">
        <v>0.27429999999999999</v>
      </c>
      <c r="CA14">
        <v>1.5004</v>
      </c>
      <c r="CB14">
        <v>9.8840000000000003</v>
      </c>
      <c r="CC14">
        <v>1.4542999999999999</v>
      </c>
      <c r="CD14">
        <v>3.6711999999999998</v>
      </c>
      <c r="CE14">
        <v>16.184000000000001</v>
      </c>
      <c r="CF14">
        <v>1.1604000000000001</v>
      </c>
      <c r="CG14">
        <v>2.4716</v>
      </c>
      <c r="CJ14" s="12">
        <f>(X14+AO14+[2]Sets!AN63)/3</f>
        <v>1.0614175162756416</v>
      </c>
      <c r="CK14">
        <f>((BW14-X14)+(BW14-AO14)+(BW14-[2]Sets!AN63))/3</f>
        <v>2.6834541211153424</v>
      </c>
      <c r="CQ14" t="s">
        <v>1534</v>
      </c>
      <c r="CR14" s="37">
        <v>44666</v>
      </c>
      <c r="CS14" s="32">
        <v>0.16944444444444443</v>
      </c>
      <c r="CT14">
        <f>CW13+(24*4)+3</f>
        <v>750.4666666666667</v>
      </c>
      <c r="CU14">
        <v>3</v>
      </c>
      <c r="CV14">
        <f t="shared" si="21"/>
        <v>45031</v>
      </c>
      <c r="CW14">
        <f t="shared" si="22"/>
        <v>750.51666666666665</v>
      </c>
      <c r="CX14">
        <f t="shared" si="23"/>
        <v>30.999999999999091</v>
      </c>
      <c r="CY14">
        <v>750</v>
      </c>
    </row>
    <row r="15" spans="1:104">
      <c r="B15" s="14"/>
      <c r="CQ15" t="s">
        <v>1535</v>
      </c>
      <c r="CR15" s="37">
        <v>44671</v>
      </c>
      <c r="CS15" s="32">
        <v>0.37916666666666665</v>
      </c>
      <c r="CT15">
        <f>CW14+(24*5)-7</f>
        <v>863.51666666666665</v>
      </c>
      <c r="CU15">
        <v>2</v>
      </c>
      <c r="CV15">
        <f t="shared" si="21"/>
        <v>51813</v>
      </c>
      <c r="CW15">
        <f t="shared" si="22"/>
        <v>863.55</v>
      </c>
      <c r="CX15">
        <f t="shared" si="23"/>
        <v>32.999999999997272</v>
      </c>
      <c r="CY15">
        <v>863</v>
      </c>
    </row>
    <row r="16" spans="1:104">
      <c r="BV16" t="s">
        <v>227</v>
      </c>
      <c r="BW16" s="12">
        <f>AVERAGE(BW3:BW14)</f>
        <v>3.8811101124879817</v>
      </c>
      <c r="CJ16" t="s">
        <v>1551</v>
      </c>
      <c r="CK16" s="434">
        <f>AVERAGE(CK10:CK14)</f>
        <v>1.3197325857587976</v>
      </c>
    </row>
  </sheetData>
  <mergeCells count="5">
    <mergeCell ref="D1:T1"/>
    <mergeCell ref="U1:AK1"/>
    <mergeCell ref="AL1:BB1"/>
    <mergeCell ref="BC1:BS1"/>
    <mergeCell ref="BT1:CG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Standards All Runs</vt:lpstr>
      <vt:lpstr>Br Tracer</vt:lpstr>
      <vt:lpstr>Set 1 IC</vt:lpstr>
      <vt:lpstr>Set 2 IC</vt:lpstr>
      <vt:lpstr>Set 3 IC</vt:lpstr>
      <vt:lpstr>0 Set 2&amp;3</vt:lpstr>
      <vt:lpstr>Set 4 IC</vt:lpstr>
      <vt:lpstr>Set 5 IC</vt:lpstr>
      <vt:lpstr>Set 6 IC</vt:lpstr>
      <vt:lpstr>A &amp; B IC</vt:lpstr>
      <vt:lpstr>Set 7, 8, 9, 10</vt:lpstr>
      <vt:lpstr>Set 2 Alkalinity</vt:lpstr>
      <vt:lpstr>Set B Alkalinity</vt:lpstr>
      <vt:lpstr>Set 9,10 Alkalinity</vt:lpstr>
      <vt:lpstr>Set 3 Salt</vt:lpstr>
      <vt:lpstr>TOC 1&amp;2</vt:lpstr>
      <vt:lpstr>TOC 3</vt:lpstr>
      <vt:lpstr>TOC A&amp;B&amp;6</vt:lpstr>
      <vt:lpstr>TOC 7,8,9,10</vt:lpstr>
      <vt:lpstr>Group Fluoride</vt:lpstr>
      <vt:lpstr>pH,Flow,S.Vol.</vt:lpstr>
      <vt:lpstr>Column Summary</vt:lpstr>
      <vt:lpstr>Set 1 Pattern Check</vt:lpstr>
      <vt:lpstr>Set 2 Pattern Check</vt:lpstr>
      <vt:lpstr>Set 3 Pattern Check</vt:lpstr>
      <vt:lpstr>Mass Balance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Schellenger</dc:creator>
  <cp:lastModifiedBy>Parker, Alison</cp:lastModifiedBy>
  <dcterms:created xsi:type="dcterms:W3CDTF">2021-09-08T19:57:32Z</dcterms:created>
  <dcterms:modified xsi:type="dcterms:W3CDTF">2022-12-01T14:33:45Z</dcterms:modified>
</cp:coreProperties>
</file>