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2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028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320811f5588b0142/PhD/Paper 5/"/>
    </mc:Choice>
  </mc:AlternateContent>
  <xr:revisionPtr revIDLastSave="786" documentId="8_{433A044B-5C60-5048-9FF5-39FA949460F6}" xr6:coauthVersionLast="47" xr6:coauthVersionMax="47" xr10:uidLastSave="{3DDE6746-FE48-4249-8505-C912B07A6983}"/>
  <bookViews>
    <workbookView xWindow="0" yWindow="0" windowWidth="51200" windowHeight="28800" xr2:uid="{9BD946AD-53B9-1241-BC20-B0267D7CDC90}"/>
  </bookViews>
  <sheets>
    <sheet name="Surface Calculations Mukalla" sheetId="1" r:id="rId1"/>
    <sheet name="Buried Charges" sheetId="2" r:id="rId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45" i="1" l="1"/>
  <c r="D45" i="1"/>
  <c r="F44" i="1"/>
  <c r="O9" i="2"/>
  <c r="N9" i="2"/>
  <c r="N4" i="2"/>
  <c r="N5" i="2"/>
  <c r="O5" i="2"/>
  <c r="N8" i="2"/>
  <c r="O8" i="2"/>
  <c r="N12" i="2"/>
  <c r="O12" i="2"/>
  <c r="B5" i="2"/>
  <c r="B6" i="2" s="1"/>
  <c r="B7" i="2" s="1"/>
  <c r="B13" i="2" s="1"/>
  <c r="AN37" i="1"/>
  <c r="AN36" i="1"/>
  <c r="AN38" i="1" s="1"/>
  <c r="AN44" i="1" s="1"/>
  <c r="AN41" i="1" s="1"/>
  <c r="E4" i="1"/>
  <c r="AN43" i="1" s="1"/>
  <c r="AN42" i="1" s="1"/>
  <c r="AN45" i="1" s="1"/>
  <c r="L43" i="1"/>
  <c r="K43" i="1"/>
  <c r="M44" i="1"/>
  <c r="N44" i="1" s="1"/>
  <c r="K4" i="1"/>
  <c r="O44" i="1" l="1"/>
  <c r="B10" i="2"/>
  <c r="B9" i="2"/>
  <c r="B12" i="2" s="1"/>
  <c r="B8" i="2"/>
  <c r="B11" i="2" s="1"/>
  <c r="B14" i="2" s="1"/>
  <c r="B15" i="2" s="1"/>
  <c r="B2" i="2" s="1"/>
  <c r="C2" i="2" s="1"/>
  <c r="D2" i="2" s="1"/>
  <c r="AN49" i="1"/>
  <c r="AN50" i="1" s="1"/>
  <c r="L4" i="1"/>
  <c r="W4" i="1"/>
  <c r="K5" i="1"/>
  <c r="I57" i="1"/>
  <c r="I58" i="1"/>
  <c r="I59" i="1"/>
  <c r="I56" i="1"/>
  <c r="E28" i="1"/>
  <c r="E29" i="1"/>
  <c r="E30" i="1"/>
  <c r="E31" i="1"/>
  <c r="E32" i="1"/>
  <c r="E33" i="1"/>
  <c r="E34" i="1"/>
  <c r="E35" i="1"/>
  <c r="E36" i="1"/>
  <c r="E37" i="1"/>
  <c r="E38" i="1"/>
  <c r="E39" i="1"/>
  <c r="E40" i="1"/>
  <c r="E41" i="1"/>
  <c r="E42" i="1"/>
  <c r="E43" i="1"/>
  <c r="E5" i="1"/>
  <c r="E6" i="1"/>
  <c r="E7" i="1"/>
  <c r="E8" i="1"/>
  <c r="E9" i="1"/>
  <c r="E10" i="1"/>
  <c r="E11" i="1"/>
  <c r="E12" i="1"/>
  <c r="E13" i="1"/>
  <c r="E14" i="1"/>
  <c r="E15" i="1"/>
  <c r="E16" i="1"/>
  <c r="E17" i="1"/>
  <c r="E18" i="1"/>
  <c r="E19" i="1"/>
  <c r="E20" i="1"/>
  <c r="E21" i="1"/>
  <c r="E22" i="1"/>
  <c r="E23" i="1"/>
  <c r="E24" i="1"/>
  <c r="E25" i="1"/>
  <c r="E26" i="1"/>
  <c r="E27" i="1"/>
  <c r="F43" i="1" l="1"/>
  <c r="P43" i="1"/>
  <c r="W5" i="1"/>
  <c r="J59" i="1"/>
  <c r="G59" i="1"/>
  <c r="K59" i="1" s="1"/>
  <c r="F59" i="1"/>
  <c r="P41" i="1" s="1"/>
  <c r="K6" i="1"/>
  <c r="K7" i="1"/>
  <c r="K8" i="1"/>
  <c r="K9" i="1"/>
  <c r="K10" i="1"/>
  <c r="K11" i="1"/>
  <c r="K12" i="1"/>
  <c r="K13" i="1"/>
  <c r="K14" i="1"/>
  <c r="K15" i="1"/>
  <c r="K16" i="1"/>
  <c r="K17" i="1"/>
  <c r="K18" i="1"/>
  <c r="K19" i="1"/>
  <c r="K20" i="1"/>
  <c r="K21" i="1"/>
  <c r="K22" i="1"/>
  <c r="K23" i="1"/>
  <c r="K24" i="1"/>
  <c r="K25" i="1"/>
  <c r="K26" i="1"/>
  <c r="K27" i="1"/>
  <c r="K28" i="1"/>
  <c r="K29" i="1"/>
  <c r="K30" i="1"/>
  <c r="K31" i="1"/>
  <c r="K32" i="1"/>
  <c r="K33" i="1"/>
  <c r="K34" i="1"/>
  <c r="K35" i="1"/>
  <c r="K36" i="1"/>
  <c r="K37" i="1"/>
  <c r="K38" i="1"/>
  <c r="K39" i="1"/>
  <c r="K40" i="1"/>
  <c r="K41" i="1"/>
  <c r="K42" i="1"/>
  <c r="L34" i="1"/>
  <c r="L35" i="1"/>
  <c r="L36" i="1"/>
  <c r="L37" i="1"/>
  <c r="L38" i="1"/>
  <c r="L39" i="1"/>
  <c r="L40" i="1"/>
  <c r="L41" i="1"/>
  <c r="L42" i="1"/>
  <c r="L5" i="1"/>
  <c r="L6" i="1"/>
  <c r="L7" i="1"/>
  <c r="L8" i="1"/>
  <c r="L9" i="1"/>
  <c r="L10" i="1"/>
  <c r="L11" i="1"/>
  <c r="L12" i="1"/>
  <c r="L13" i="1"/>
  <c r="L14" i="1"/>
  <c r="L15" i="1"/>
  <c r="L16" i="1"/>
  <c r="L17" i="1"/>
  <c r="L18" i="1"/>
  <c r="L19" i="1"/>
  <c r="L20" i="1"/>
  <c r="L21" i="1"/>
  <c r="L22" i="1"/>
  <c r="L23" i="1"/>
  <c r="L24" i="1"/>
  <c r="L25" i="1"/>
  <c r="L26" i="1"/>
  <c r="L27" i="1"/>
  <c r="L28" i="1"/>
  <c r="L29" i="1"/>
  <c r="L30" i="1"/>
  <c r="L31" i="1"/>
  <c r="L32" i="1"/>
  <c r="L33" i="1"/>
  <c r="G57" i="1"/>
  <c r="K57" i="1" s="1"/>
  <c r="G56" i="1"/>
  <c r="K56" i="1" s="1"/>
  <c r="W43" i="1" l="1"/>
  <c r="W39" i="1"/>
  <c r="W35" i="1"/>
  <c r="W31" i="1"/>
  <c r="W27" i="1"/>
  <c r="W23" i="1"/>
  <c r="W19" i="1"/>
  <c r="W15" i="1"/>
  <c r="W11" i="1"/>
  <c r="W7" i="1"/>
  <c r="AB4" i="1" s="1"/>
  <c r="AJ4" i="1" s="1"/>
  <c r="W42" i="1"/>
  <c r="W38" i="1"/>
  <c r="W34" i="1"/>
  <c r="W30" i="1"/>
  <c r="W26" i="1"/>
  <c r="W22" i="1"/>
  <c r="W18" i="1"/>
  <c r="W14" i="1"/>
  <c r="W10" i="1"/>
  <c r="W6" i="1"/>
  <c r="S43" i="1"/>
  <c r="W41" i="1"/>
  <c r="S41" i="1"/>
  <c r="W37" i="1"/>
  <c r="W33" i="1"/>
  <c r="W29" i="1"/>
  <c r="W25" i="1"/>
  <c r="W21" i="1"/>
  <c r="S21" i="1"/>
  <c r="W17" i="1"/>
  <c r="W13" i="1"/>
  <c r="W9" i="1"/>
  <c r="P40" i="1"/>
  <c r="S40" i="1" s="1"/>
  <c r="P42" i="1"/>
  <c r="S42" i="1" s="1"/>
  <c r="W40" i="1"/>
  <c r="W36" i="1"/>
  <c r="W32" i="1"/>
  <c r="W28" i="1"/>
  <c r="W24" i="1"/>
  <c r="W20" i="1"/>
  <c r="W16" i="1"/>
  <c r="W12" i="1"/>
  <c r="W8" i="1"/>
  <c r="P39" i="1"/>
  <c r="S39" i="1" s="1"/>
  <c r="C50" i="1"/>
  <c r="F58" i="1"/>
  <c r="F57" i="1"/>
  <c r="F56" i="1"/>
  <c r="G58" i="1"/>
  <c r="K58" i="1" s="1"/>
  <c r="K60" i="1" s="1"/>
  <c r="F40" i="1"/>
  <c r="V40" i="1" s="1"/>
  <c r="Y40" i="1" s="1"/>
  <c r="F34" i="1"/>
  <c r="V34" i="1" s="1"/>
  <c r="Y34" i="1" s="1"/>
  <c r="F35" i="1"/>
  <c r="F36" i="1"/>
  <c r="F42" i="1"/>
  <c r="AB6" i="1" l="1"/>
  <c r="AF4" i="1"/>
  <c r="AB7" i="1"/>
  <c r="P7" i="1"/>
  <c r="S7" i="1" s="1"/>
  <c r="P6" i="1"/>
  <c r="S6" i="1" s="1"/>
  <c r="P5" i="1"/>
  <c r="S5" i="1" s="1"/>
  <c r="P12" i="1"/>
  <c r="S12" i="1" s="1"/>
  <c r="P11" i="1"/>
  <c r="S11" i="1" s="1"/>
  <c r="P13" i="1"/>
  <c r="S13" i="1" s="1"/>
  <c r="P4" i="1"/>
  <c r="S4" i="1" s="1"/>
  <c r="P8" i="1"/>
  <c r="S8" i="1" s="1"/>
  <c r="P10" i="1"/>
  <c r="S10" i="1" s="1"/>
  <c r="P9" i="1"/>
  <c r="S9" i="1" s="1"/>
  <c r="P27" i="1"/>
  <c r="S27" i="1" s="1"/>
  <c r="P25" i="1"/>
  <c r="S25" i="1" s="1"/>
  <c r="P28" i="1"/>
  <c r="S28" i="1" s="1"/>
  <c r="P24" i="1"/>
  <c r="S24" i="1" s="1"/>
  <c r="P31" i="1"/>
  <c r="S31" i="1" s="1"/>
  <c r="P37" i="1"/>
  <c r="S37" i="1" s="1"/>
  <c r="P38" i="1"/>
  <c r="S38" i="1" s="1"/>
  <c r="P30" i="1"/>
  <c r="S30" i="1" s="1"/>
  <c r="P33" i="1"/>
  <c r="S33" i="1" s="1"/>
  <c r="P36" i="1"/>
  <c r="S36" i="1" s="1"/>
  <c r="P35" i="1"/>
  <c r="S35" i="1" s="1"/>
  <c r="P34" i="1"/>
  <c r="S34" i="1" s="1"/>
  <c r="P26" i="1"/>
  <c r="S26" i="1" s="1"/>
  <c r="P29" i="1"/>
  <c r="S29" i="1" s="1"/>
  <c r="P32" i="1"/>
  <c r="S32" i="1" s="1"/>
  <c r="P20" i="1"/>
  <c r="S20" i="1" s="1"/>
  <c r="P22" i="1"/>
  <c r="S22" i="1" s="1"/>
  <c r="P19" i="1"/>
  <c r="S19" i="1" s="1"/>
  <c r="P18" i="1"/>
  <c r="S18" i="1" s="1"/>
  <c r="P17" i="1"/>
  <c r="S17" i="1" s="1"/>
  <c r="P16" i="1"/>
  <c r="S16" i="1" s="1"/>
  <c r="P23" i="1"/>
  <c r="S23" i="1" s="1"/>
  <c r="P14" i="1"/>
  <c r="S14" i="1" s="1"/>
  <c r="P15" i="1"/>
  <c r="S15" i="1" s="1"/>
  <c r="AB5" i="1"/>
  <c r="M36" i="1"/>
  <c r="N36" i="1" s="1"/>
  <c r="T36" i="1" s="1"/>
  <c r="V36" i="1"/>
  <c r="Y36" i="1" s="1"/>
  <c r="M35" i="1"/>
  <c r="N35" i="1" s="1"/>
  <c r="V35" i="1"/>
  <c r="Y35" i="1" s="1"/>
  <c r="M43" i="1"/>
  <c r="N43" i="1" s="1"/>
  <c r="V43" i="1"/>
  <c r="Y43" i="1" s="1"/>
  <c r="AA7" i="1"/>
  <c r="AE7" i="1" s="1"/>
  <c r="AI7" i="1" s="1"/>
  <c r="M42" i="1"/>
  <c r="N42" i="1" s="1"/>
  <c r="V42" i="1"/>
  <c r="Y42" i="1" s="1"/>
  <c r="M34" i="1"/>
  <c r="N34" i="1" s="1"/>
  <c r="M40" i="1"/>
  <c r="N40" i="1" s="1"/>
  <c r="J57" i="1"/>
  <c r="J58" i="1"/>
  <c r="J56" i="1"/>
  <c r="F4" i="1"/>
  <c r="F5" i="1"/>
  <c r="V5" i="1" s="1"/>
  <c r="Y5" i="1" s="1"/>
  <c r="F6" i="1"/>
  <c r="V6" i="1" s="1"/>
  <c r="Y6" i="1" s="1"/>
  <c r="F7" i="1"/>
  <c r="V7" i="1" s="1"/>
  <c r="Y7" i="1" s="1"/>
  <c r="F8" i="1"/>
  <c r="V8" i="1" s="1"/>
  <c r="Y8" i="1" s="1"/>
  <c r="F9" i="1"/>
  <c r="V9" i="1" s="1"/>
  <c r="Y9" i="1" s="1"/>
  <c r="F10" i="1"/>
  <c r="V10" i="1" s="1"/>
  <c r="Y10" i="1" s="1"/>
  <c r="F11" i="1"/>
  <c r="V11" i="1" s="1"/>
  <c r="Y11" i="1" s="1"/>
  <c r="F12" i="1"/>
  <c r="V12" i="1" s="1"/>
  <c r="Y12" i="1" s="1"/>
  <c r="F13" i="1"/>
  <c r="V13" i="1" s="1"/>
  <c r="Y13" i="1" s="1"/>
  <c r="AF7" i="1" l="1"/>
  <c r="AJ7" i="1"/>
  <c r="AF5" i="1"/>
  <c r="AJ5" i="1"/>
  <c r="M4" i="1"/>
  <c r="N4" i="1" s="1"/>
  <c r="AA4" i="1"/>
  <c r="AE4" i="1"/>
  <c r="AI4" i="1" s="1"/>
  <c r="T35" i="1"/>
  <c r="AF6" i="1"/>
  <c r="AJ6" i="1"/>
  <c r="T34" i="1"/>
  <c r="T42" i="1"/>
  <c r="Q42" i="1"/>
  <c r="T40" i="1"/>
  <c r="Q40" i="1"/>
  <c r="T43" i="1"/>
  <c r="Q43" i="1"/>
  <c r="S45" i="1"/>
  <c r="O42" i="1"/>
  <c r="R42" i="1" s="1"/>
  <c r="X42" i="1"/>
  <c r="Z42" i="1" s="1"/>
  <c r="O35" i="1"/>
  <c r="R35" i="1" s="1"/>
  <c r="X35" i="1"/>
  <c r="Z35" i="1" s="1"/>
  <c r="V4" i="1"/>
  <c r="Y4" i="1" s="1"/>
  <c r="T4" i="1"/>
  <c r="O40" i="1"/>
  <c r="R40" i="1" s="1"/>
  <c r="X40" i="1"/>
  <c r="Z40" i="1" s="1"/>
  <c r="O43" i="1"/>
  <c r="R43" i="1" s="1"/>
  <c r="X43" i="1"/>
  <c r="Z43" i="1" s="1"/>
  <c r="O34" i="1"/>
  <c r="R34" i="1" s="1"/>
  <c r="X34" i="1"/>
  <c r="Z34" i="1" s="1"/>
  <c r="O36" i="1"/>
  <c r="R36" i="1" s="1"/>
  <c r="X36" i="1"/>
  <c r="Z36" i="1" s="1"/>
  <c r="Q36" i="1"/>
  <c r="M8" i="1"/>
  <c r="M7" i="1"/>
  <c r="N7" i="1" s="1"/>
  <c r="M12" i="1"/>
  <c r="N12" i="1" s="1"/>
  <c r="M11" i="1"/>
  <c r="N11" i="1" s="1"/>
  <c r="M10" i="1"/>
  <c r="N10" i="1" s="1"/>
  <c r="M6" i="1"/>
  <c r="N6" i="1" s="1"/>
  <c r="M13" i="1"/>
  <c r="N13" i="1" s="1"/>
  <c r="M9" i="1"/>
  <c r="N9" i="1" s="1"/>
  <c r="T9" i="1" s="1"/>
  <c r="M5" i="1"/>
  <c r="N5" i="1" s="1"/>
  <c r="Q35" i="1"/>
  <c r="Q34" i="1"/>
  <c r="F16" i="1"/>
  <c r="V16" i="1" s="1"/>
  <c r="Y16" i="1" s="1"/>
  <c r="F17" i="1"/>
  <c r="V17" i="1" s="1"/>
  <c r="Y17" i="1" s="1"/>
  <c r="F18" i="1"/>
  <c r="V18" i="1" s="1"/>
  <c r="Y18" i="1" s="1"/>
  <c r="F19" i="1"/>
  <c r="V19" i="1" s="1"/>
  <c r="Y19" i="1" s="1"/>
  <c r="F20" i="1"/>
  <c r="V20" i="1" s="1"/>
  <c r="Y20" i="1" s="1"/>
  <c r="F21" i="1"/>
  <c r="V21" i="1" s="1"/>
  <c r="Y21" i="1" s="1"/>
  <c r="F22" i="1"/>
  <c r="V22" i="1" s="1"/>
  <c r="Y22" i="1" s="1"/>
  <c r="F23" i="1"/>
  <c r="V23" i="1" s="1"/>
  <c r="Y23" i="1" s="1"/>
  <c r="F24" i="1"/>
  <c r="F25" i="1"/>
  <c r="V25" i="1" s="1"/>
  <c r="Y25" i="1" s="1"/>
  <c r="F26" i="1"/>
  <c r="V26" i="1" s="1"/>
  <c r="Y26" i="1" s="1"/>
  <c r="F28" i="1"/>
  <c r="V28" i="1" s="1"/>
  <c r="Y28" i="1" s="1"/>
  <c r="F29" i="1"/>
  <c r="V29" i="1" s="1"/>
  <c r="Y29" i="1" s="1"/>
  <c r="F30" i="1"/>
  <c r="V30" i="1" s="1"/>
  <c r="Y30" i="1" s="1"/>
  <c r="F31" i="1"/>
  <c r="V31" i="1" s="1"/>
  <c r="Y31" i="1" s="1"/>
  <c r="F32" i="1"/>
  <c r="V32" i="1" s="1"/>
  <c r="Y32" i="1" s="1"/>
  <c r="F33" i="1"/>
  <c r="V33" i="1" s="1"/>
  <c r="Y33" i="1" s="1"/>
  <c r="F37" i="1"/>
  <c r="V37" i="1" s="1"/>
  <c r="Y37" i="1" s="1"/>
  <c r="F38" i="1"/>
  <c r="V38" i="1" s="1"/>
  <c r="Y38" i="1" s="1"/>
  <c r="F39" i="1"/>
  <c r="V39" i="1" s="1"/>
  <c r="Y39" i="1" s="1"/>
  <c r="F41" i="1"/>
  <c r="V41" i="1" s="1"/>
  <c r="Y41" i="1" s="1"/>
  <c r="F27" i="1"/>
  <c r="V27" i="1" s="1"/>
  <c r="Y27" i="1" s="1"/>
  <c r="F15" i="1"/>
  <c r="V15" i="1" s="1"/>
  <c r="Y15" i="1" s="1"/>
  <c r="X5" i="1" l="1"/>
  <c r="Z5" i="1" s="1"/>
  <c r="T5" i="1"/>
  <c r="X13" i="1"/>
  <c r="Z13" i="1" s="1"/>
  <c r="T13" i="1"/>
  <c r="X10" i="1"/>
  <c r="Z10" i="1" s="1"/>
  <c r="T10" i="1"/>
  <c r="X12" i="1"/>
  <c r="Z12" i="1" s="1"/>
  <c r="T12" i="1"/>
  <c r="X11" i="1"/>
  <c r="Z11" i="1" s="1"/>
  <c r="T11" i="1"/>
  <c r="X6" i="1"/>
  <c r="Z6" i="1" s="1"/>
  <c r="T6" i="1"/>
  <c r="X7" i="1"/>
  <c r="Z7" i="1" s="1"/>
  <c r="T7" i="1"/>
  <c r="V24" i="1"/>
  <c r="Y24" i="1" s="1"/>
  <c r="AA6" i="1"/>
  <c r="AE6" i="1" s="1"/>
  <c r="AI6" i="1" s="1"/>
  <c r="O9" i="1"/>
  <c r="R9" i="1" s="1"/>
  <c r="X9" i="1"/>
  <c r="Z9" i="1" s="1"/>
  <c r="Q4" i="1"/>
  <c r="O4" i="1"/>
  <c r="R4" i="1" s="1"/>
  <c r="X4" i="1"/>
  <c r="AC4" i="1" s="1"/>
  <c r="AK4" i="1" s="1"/>
  <c r="M29" i="1"/>
  <c r="N29" i="1" s="1"/>
  <c r="M39" i="1"/>
  <c r="N39" i="1" s="1"/>
  <c r="T39" i="1" s="1"/>
  <c r="M32" i="1"/>
  <c r="N32" i="1" s="1"/>
  <c r="M28" i="1"/>
  <c r="N28" i="1" s="1"/>
  <c r="M23" i="1"/>
  <c r="N23" i="1" s="1"/>
  <c r="M19" i="1"/>
  <c r="M33" i="1"/>
  <c r="N33" i="1" s="1"/>
  <c r="M20" i="1"/>
  <c r="N20" i="1" s="1"/>
  <c r="M16" i="1"/>
  <c r="N16" i="1" s="1"/>
  <c r="M15" i="1"/>
  <c r="M38" i="1"/>
  <c r="N38" i="1" s="1"/>
  <c r="M31" i="1"/>
  <c r="N31" i="1" s="1"/>
  <c r="M26" i="1"/>
  <c r="N26" i="1" s="1"/>
  <c r="M22" i="1"/>
  <c r="N22" i="1" s="1"/>
  <c r="M18" i="1"/>
  <c r="N18" i="1" s="1"/>
  <c r="M41" i="1"/>
  <c r="N41" i="1" s="1"/>
  <c r="Q41" i="1" s="1"/>
  <c r="M24" i="1"/>
  <c r="M27" i="1"/>
  <c r="N27" i="1" s="1"/>
  <c r="M37" i="1"/>
  <c r="N37" i="1" s="1"/>
  <c r="M30" i="1"/>
  <c r="N30" i="1" s="1"/>
  <c r="M25" i="1"/>
  <c r="N25" i="1" s="1"/>
  <c r="M21" i="1"/>
  <c r="N21" i="1" s="1"/>
  <c r="M17" i="1"/>
  <c r="N17" i="1" s="1"/>
  <c r="O13" i="1"/>
  <c r="R13" i="1" s="1"/>
  <c r="Q13" i="1"/>
  <c r="O10" i="1"/>
  <c r="R10" i="1" s="1"/>
  <c r="Q10" i="1"/>
  <c r="O7" i="1"/>
  <c r="R7" i="1" s="1"/>
  <c r="Q7" i="1"/>
  <c r="Q9" i="1"/>
  <c r="O6" i="1"/>
  <c r="R6" i="1" s="1"/>
  <c r="Q6" i="1"/>
  <c r="O12" i="1"/>
  <c r="R12" i="1" s="1"/>
  <c r="Q12" i="1"/>
  <c r="O11" i="1"/>
  <c r="R11" i="1" s="1"/>
  <c r="Q11" i="1"/>
  <c r="N8" i="1"/>
  <c r="T8" i="1" s="1"/>
  <c r="N15" i="1"/>
  <c r="F14" i="1"/>
  <c r="X27" i="1" l="1"/>
  <c r="Z27" i="1" s="1"/>
  <c r="T27" i="1"/>
  <c r="X25" i="1"/>
  <c r="Z25" i="1" s="1"/>
  <c r="T25" i="1"/>
  <c r="X26" i="1"/>
  <c r="Z26" i="1" s="1"/>
  <c r="T26" i="1"/>
  <c r="X16" i="1"/>
  <c r="Z16" i="1" s="1"/>
  <c r="T16" i="1"/>
  <c r="X23" i="1"/>
  <c r="Z23" i="1" s="1"/>
  <c r="T23" i="1"/>
  <c r="X29" i="1"/>
  <c r="Z29" i="1" s="1"/>
  <c r="T29" i="1"/>
  <c r="X15" i="1"/>
  <c r="Z15" i="1" s="1"/>
  <c r="T15" i="1"/>
  <c r="X21" i="1"/>
  <c r="Z21" i="1" s="1"/>
  <c r="T21" i="1"/>
  <c r="X22" i="1"/>
  <c r="Z22" i="1" s="1"/>
  <c r="T22" i="1"/>
  <c r="X30" i="1"/>
  <c r="Z30" i="1" s="1"/>
  <c r="T30" i="1"/>
  <c r="X41" i="1"/>
  <c r="Z41" i="1" s="1"/>
  <c r="T41" i="1"/>
  <c r="X31" i="1"/>
  <c r="Z31" i="1" s="1"/>
  <c r="T31" i="1"/>
  <c r="X20" i="1"/>
  <c r="Z20" i="1" s="1"/>
  <c r="T20" i="1"/>
  <c r="X28" i="1"/>
  <c r="Z28" i="1" s="1"/>
  <c r="T28" i="1"/>
  <c r="X17" i="1"/>
  <c r="Z17" i="1" s="1"/>
  <c r="T17" i="1"/>
  <c r="X37" i="1"/>
  <c r="Z37" i="1" s="1"/>
  <c r="T37" i="1"/>
  <c r="X18" i="1"/>
  <c r="Z18" i="1" s="1"/>
  <c r="T18" i="1"/>
  <c r="X38" i="1"/>
  <c r="Z38" i="1" s="1"/>
  <c r="T38" i="1"/>
  <c r="X33" i="1"/>
  <c r="Z33" i="1" s="1"/>
  <c r="T33" i="1"/>
  <c r="X32" i="1"/>
  <c r="Z32" i="1" s="1"/>
  <c r="T32" i="1"/>
  <c r="AG4" i="1"/>
  <c r="Z4" i="1"/>
  <c r="Q8" i="1"/>
  <c r="X8" i="1"/>
  <c r="Z8" i="1" s="1"/>
  <c r="AA5" i="1"/>
  <c r="AE5" i="1" s="1"/>
  <c r="AI5" i="1" s="1"/>
  <c r="V14" i="1"/>
  <c r="Y14" i="1" s="1"/>
  <c r="Q39" i="1"/>
  <c r="X39" i="1"/>
  <c r="M14" i="1"/>
  <c r="O32" i="1"/>
  <c r="R32" i="1" s="1"/>
  <c r="Q32" i="1"/>
  <c r="O17" i="1"/>
  <c r="R17" i="1" s="1"/>
  <c r="Q17" i="1"/>
  <c r="O15" i="1"/>
  <c r="R15" i="1" s="1"/>
  <c r="Q15" i="1"/>
  <c r="O39" i="1"/>
  <c r="R39" i="1" s="1"/>
  <c r="O29" i="1"/>
  <c r="R29" i="1" s="1"/>
  <c r="Q29" i="1"/>
  <c r="O30" i="1"/>
  <c r="R30" i="1" s="1"/>
  <c r="Q30" i="1"/>
  <c r="O18" i="1"/>
  <c r="R18" i="1" s="1"/>
  <c r="Q18" i="1"/>
  <c r="O16" i="1"/>
  <c r="R16" i="1" s="1"/>
  <c r="Q16" i="1"/>
  <c r="O22" i="1"/>
  <c r="R22" i="1" s="1"/>
  <c r="Q22" i="1"/>
  <c r="O5" i="1"/>
  <c r="R5" i="1" s="1"/>
  <c r="Q5" i="1"/>
  <c r="O28" i="1"/>
  <c r="R28" i="1" s="1"/>
  <c r="Q28" i="1"/>
  <c r="O21" i="1"/>
  <c r="R21" i="1" s="1"/>
  <c r="Q21" i="1"/>
  <c r="O33" i="1"/>
  <c r="R33" i="1" s="1"/>
  <c r="Q33" i="1"/>
  <c r="O25" i="1"/>
  <c r="R25" i="1" s="1"/>
  <c r="Q25" i="1"/>
  <c r="O31" i="1"/>
  <c r="R31" i="1" s="1"/>
  <c r="Q31" i="1"/>
  <c r="O37" i="1"/>
  <c r="R37" i="1" s="1"/>
  <c r="Q37" i="1"/>
  <c r="O8" i="1"/>
  <c r="R8" i="1" s="1"/>
  <c r="O23" i="1"/>
  <c r="R23" i="1" s="1"/>
  <c r="Q23" i="1"/>
  <c r="O27" i="1"/>
  <c r="R27" i="1" s="1"/>
  <c r="Q27" i="1"/>
  <c r="O26" i="1"/>
  <c r="R26" i="1" s="1"/>
  <c r="Q26" i="1"/>
  <c r="O20" i="1"/>
  <c r="R20" i="1" s="1"/>
  <c r="Q20" i="1"/>
  <c r="O38" i="1"/>
  <c r="R38" i="1" s="1"/>
  <c r="Q38" i="1"/>
  <c r="O41" i="1"/>
  <c r="R41" i="1" s="1"/>
  <c r="N19" i="1"/>
  <c r="N24" i="1"/>
  <c r="N14" i="1"/>
  <c r="X24" i="1" l="1"/>
  <c r="AC6" i="1" s="1"/>
  <c r="T24" i="1"/>
  <c r="X19" i="1"/>
  <c r="Z19" i="1" s="1"/>
  <c r="T19" i="1"/>
  <c r="X14" i="1"/>
  <c r="AC5" i="1" s="1"/>
  <c r="T14" i="1"/>
  <c r="Z14" i="1"/>
  <c r="AC7" i="1"/>
  <c r="Z39" i="1"/>
  <c r="Z24" i="1"/>
  <c r="O19" i="1"/>
  <c r="R19" i="1" s="1"/>
  <c r="Q19" i="1"/>
  <c r="O14" i="1"/>
  <c r="R14" i="1" s="1"/>
  <c r="Q14" i="1"/>
  <c r="Q45" i="1" s="1"/>
  <c r="O24" i="1"/>
  <c r="R24" i="1" s="1"/>
  <c r="Q24" i="1"/>
  <c r="AG6" i="1" l="1"/>
  <c r="AK6" i="1"/>
  <c r="AG5" i="1"/>
  <c r="AK5" i="1"/>
  <c r="AG7" i="1"/>
  <c r="AK7" i="1"/>
  <c r="Z45" i="1"/>
  <c r="T45" i="1"/>
  <c r="R45" i="1"/>
</calcChain>
</file>

<file path=xl/sharedStrings.xml><?xml version="1.0" encoding="utf-8"?>
<sst xmlns="http://schemas.openxmlformats.org/spreadsheetml/2006/main" count="265" uniqueCount="124">
  <si>
    <t>Date</t>
  </si>
  <si>
    <t>Location</t>
  </si>
  <si>
    <t>Explosive</t>
  </si>
  <si>
    <t>Mukalla</t>
  </si>
  <si>
    <t>ANAL</t>
  </si>
  <si>
    <t>Position of Charge</t>
  </si>
  <si>
    <t>M^1/3</t>
  </si>
  <si>
    <t>ANAL recovered, not laboratory grade</t>
  </si>
  <si>
    <t>Commercial Electric Detonator</t>
  </si>
  <si>
    <t>Crater Depth H (m)</t>
  </si>
  <si>
    <t>H</t>
  </si>
  <si>
    <t>Container Dimensions 10L</t>
  </si>
  <si>
    <t>Container Dimensions 20L</t>
  </si>
  <si>
    <t>PE6 100g</t>
  </si>
  <si>
    <t>L</t>
  </si>
  <si>
    <t>W</t>
  </si>
  <si>
    <t>Vol (m3)</t>
  </si>
  <si>
    <t>Area (m2)</t>
  </si>
  <si>
    <t>kg-ANAL</t>
  </si>
  <si>
    <t>Pk</t>
  </si>
  <si>
    <t>TNTe</t>
  </si>
  <si>
    <t>Mass ANAL (kg)</t>
  </si>
  <si>
    <t>Container Dimensions 5L</t>
  </si>
  <si>
    <t>Wednesday, 18 December 2019</t>
  </si>
  <si>
    <t>Wednesday, 12 February 2020</t>
  </si>
  <si>
    <t>Wednesday, 24 March 2021</t>
  </si>
  <si>
    <t>Wednesday, 21 April 2021</t>
  </si>
  <si>
    <t>H/L</t>
  </si>
  <si>
    <t>E</t>
  </si>
  <si>
    <t>TNTe M (kg)</t>
  </si>
  <si>
    <t>Bare Charge</t>
  </si>
  <si>
    <t>Density of soil (Carbamite &amp; Evaporite)</t>
  </si>
  <si>
    <t>2100-2700</t>
  </si>
  <si>
    <t>kgm-3</t>
  </si>
  <si>
    <t>a</t>
  </si>
  <si>
    <t>b</t>
  </si>
  <si>
    <t>Crater Diameter Experimental De (m)</t>
  </si>
  <si>
    <t>De</t>
  </si>
  <si>
    <t>Dt</t>
  </si>
  <si>
    <t>ELLIPTICAL</t>
  </si>
  <si>
    <t>SPHERICAL</t>
  </si>
  <si>
    <t>Density of soil (alluvium)</t>
  </si>
  <si>
    <t>1440-2360</t>
  </si>
  <si>
    <t>Crater Diameter Theoretical Dt (m) Ambrosini</t>
  </si>
  <si>
    <t>Va (m3) spherical Cooper</t>
  </si>
  <si>
    <t>Crater Depth Cooper (m)</t>
  </si>
  <si>
    <t>Ve (m3) Apparent Experimental Elliptical</t>
  </si>
  <si>
    <t>Crater D 1 (m)</t>
  </si>
  <si>
    <t>Crater D 2 (m)</t>
  </si>
  <si>
    <t>E/C</t>
  </si>
  <si>
    <t>C</t>
  </si>
  <si>
    <t>He</t>
  </si>
  <si>
    <t>Hc</t>
  </si>
  <si>
    <t>He/Hc</t>
  </si>
  <si>
    <t>Contaner Dimensions 40L</t>
  </si>
  <si>
    <t>TOTAL NEQ (kg)</t>
  </si>
  <si>
    <t>Surface (H:L)</t>
  </si>
  <si>
    <t>Ve (m3) E</t>
  </si>
  <si>
    <t>Va (m3) C</t>
  </si>
  <si>
    <t>Ve (m3) E (Mean)</t>
  </si>
  <si>
    <t>Va (m3) C (Mean)</t>
  </si>
  <si>
    <t>Ln Ve</t>
  </si>
  <si>
    <t>Ln Va</t>
  </si>
  <si>
    <t>density</t>
  </si>
  <si>
    <t>Vb Apparent</t>
  </si>
  <si>
    <t>B</t>
  </si>
  <si>
    <t>E/B</t>
  </si>
  <si>
    <t>C/B</t>
  </si>
  <si>
    <t>Ve^1/3</t>
  </si>
  <si>
    <t>Vc^1/3</t>
  </si>
  <si>
    <t>Ra (ft)</t>
  </si>
  <si>
    <t>Pcj (Kbar)</t>
  </si>
  <si>
    <t>Pcj (GPa)</t>
  </si>
  <si>
    <t>W (lbs)</t>
  </si>
  <si>
    <t>W (kg)</t>
  </si>
  <si>
    <t>Ra/(0.46+0.027Pcj)</t>
  </si>
  <si>
    <t>2W</t>
  </si>
  <si>
    <t>Alluvial Soil</t>
  </si>
  <si>
    <t>Asphalt</t>
  </si>
  <si>
    <t>a (m)</t>
  </si>
  <si>
    <t>b (m)</t>
  </si>
  <si>
    <t>Ecr (ft3/ton)</t>
  </si>
  <si>
    <t>Nuclear Geoplastics Aouecebook</t>
  </si>
  <si>
    <t>W^7/24</t>
  </si>
  <si>
    <t>Log((W^7/24)/d)</t>
  </si>
  <si>
    <t>X</t>
  </si>
  <si>
    <t>X^3</t>
  </si>
  <si>
    <t>X^2</t>
  </si>
  <si>
    <t>Log(D/2d)</t>
  </si>
  <si>
    <t>D/2d</t>
  </si>
  <si>
    <t>(W^7/24)/d</t>
  </si>
  <si>
    <t>[X]</t>
  </si>
  <si>
    <t>0.2993X^3</t>
  </si>
  <si>
    <t>1.8562X^2</t>
  </si>
  <si>
    <t>4.4913X</t>
  </si>
  <si>
    <t>D (m)</t>
  </si>
  <si>
    <t>D (ft)</t>
  </si>
  <si>
    <t>Variable</t>
  </si>
  <si>
    <t>Calculation</t>
  </si>
  <si>
    <t>Crater Diameter D(mm)</t>
  </si>
  <si>
    <t>Explosion depth d (mm)</t>
  </si>
  <si>
    <t>Charge Mass TNT W(kg)</t>
  </si>
  <si>
    <t>S</t>
  </si>
  <si>
    <t>A</t>
  </si>
  <si>
    <t>Mk 84</t>
  </si>
  <si>
    <t>GBU-39</t>
  </si>
  <si>
    <t>d (m)</t>
  </si>
  <si>
    <t>V (m/s)</t>
  </si>
  <si>
    <t>Meaning</t>
  </si>
  <si>
    <t>Penetrability</t>
  </si>
  <si>
    <t>AUW</t>
  </si>
  <si>
    <t>X-Sect Area</t>
  </si>
  <si>
    <t>Penetrator dia</t>
  </si>
  <si>
    <t>Impact Velocity</t>
  </si>
  <si>
    <t>Penetration Depth</t>
  </si>
  <si>
    <t>AFX-757</t>
  </si>
  <si>
    <t>Mass (kg)</t>
  </si>
  <si>
    <t>TNTe (kg)</t>
  </si>
  <si>
    <t>H-6</t>
  </si>
  <si>
    <t>N</t>
  </si>
  <si>
    <t>Nose Factor</t>
  </si>
  <si>
    <t>L(m)</t>
  </si>
  <si>
    <t>Length of muniton</t>
  </si>
  <si>
    <t>Location Firings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</si>
</sst>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[$-F800]dddd\,\ mmmm\ dd\,\ yyyy"/>
    <numFmt numFmtId="165" formatCode="0.000"/>
    <numFmt numFmtId="166" formatCode="0.0000"/>
    <numFmt numFmtId="167" formatCode="0.000000"/>
    <numFmt numFmtId="168" formatCode="0.00000"/>
  </numFmts>
  <fonts count="9" x14ac:knownFonts="1">
    <font>
      <sz val="12"/>
      <color theme="1"/>
      <name val="Calibri"/>
      <family val="2"/>
      <scheme val="minor"/>
    </font>
    <font>
      <sz val="11"/>
      <color theme="8" tint="-0.499984740745262"/>
      <name val="Calibri"/>
      <family val="2"/>
      <scheme val="minor"/>
    </font>
    <font>
      <sz val="11"/>
      <color rgb="FF1F4E78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rgb="FFFF000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20"/>
      <color theme="1"/>
      <name val="Calibri"/>
      <family val="2"/>
      <scheme val="minor"/>
    </font>
    <font>
      <sz val="12"/>
      <color theme="0"/>
      <name val="Calibri"/>
      <family val="2"/>
      <scheme val="minor"/>
    </font>
  </fonts>
  <fills count="20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0.14999847407452621"/>
        <bgColor indexed="64"/>
      </patternFill>
    </fill>
  </fills>
  <borders count="2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</borders>
  <cellStyleXfs count="2">
    <xf numFmtId="0" fontId="0" fillId="0" borderId="0"/>
    <xf numFmtId="9" fontId="3" fillId="0" borderId="0" applyFont="0" applyFill="0" applyBorder="0" applyAlignment="0" applyProtection="0"/>
  </cellStyleXfs>
  <cellXfs count="115">
    <xf numFmtId="0" fontId="0" fillId="0" borderId="0" xfId="0"/>
    <xf numFmtId="2" fontId="0" fillId="0" borderId="0" xfId="0" applyNumberFormat="1"/>
    <xf numFmtId="164" fontId="0" fillId="0" borderId="0" xfId="0" applyNumberFormat="1" applyAlignment="1">
      <alignment horizontal="left"/>
    </xf>
    <xf numFmtId="2" fontId="0" fillId="0" borderId="0" xfId="0" applyNumberFormat="1" applyAlignment="1">
      <alignment horizontal="center"/>
    </xf>
    <xf numFmtId="164" fontId="0" fillId="0" borderId="1" xfId="0" applyNumberFormat="1" applyBorder="1" applyAlignment="1">
      <alignment horizontal="left"/>
    </xf>
    <xf numFmtId="0" fontId="0" fillId="0" borderId="1" xfId="0" applyBorder="1"/>
    <xf numFmtId="2" fontId="0" fillId="0" borderId="1" xfId="0" applyNumberFormat="1" applyBorder="1"/>
    <xf numFmtId="165" fontId="0" fillId="0" borderId="0" xfId="0" applyNumberFormat="1"/>
    <xf numFmtId="0" fontId="0" fillId="0" borderId="0" xfId="0" applyAlignment="1">
      <alignment wrapText="1"/>
    </xf>
    <xf numFmtId="165" fontId="0" fillId="0" borderId="0" xfId="0" applyNumberFormat="1" applyAlignment="1">
      <alignment horizontal="center"/>
    </xf>
    <xf numFmtId="0" fontId="2" fillId="0" borderId="0" xfId="0" applyFont="1"/>
    <xf numFmtId="0" fontId="1" fillId="0" borderId="1" xfId="0" applyFont="1" applyBorder="1"/>
    <xf numFmtId="166" fontId="1" fillId="0" borderId="1" xfId="0" applyNumberFormat="1" applyFont="1" applyBorder="1"/>
    <xf numFmtId="165" fontId="0" fillId="5" borderId="0" xfId="0" applyNumberFormat="1" applyFill="1" applyAlignment="1">
      <alignment horizontal="center"/>
    </xf>
    <xf numFmtId="165" fontId="0" fillId="2" borderId="1" xfId="0" applyNumberFormat="1" applyFill="1" applyBorder="1" applyAlignment="1">
      <alignment horizontal="center"/>
    </xf>
    <xf numFmtId="165" fontId="0" fillId="3" borderId="1" xfId="0" applyNumberFormat="1" applyFill="1" applyBorder="1" applyAlignment="1">
      <alignment horizontal="center"/>
    </xf>
    <xf numFmtId="0" fontId="0" fillId="0" borderId="0" xfId="0" applyAlignment="1">
      <alignment horizontal="center"/>
    </xf>
    <xf numFmtId="2" fontId="0" fillId="6" borderId="1" xfId="0" applyNumberFormat="1" applyFill="1" applyBorder="1" applyAlignment="1">
      <alignment horizontal="center"/>
    </xf>
    <xf numFmtId="2" fontId="0" fillId="0" borderId="0" xfId="0" applyNumberFormat="1" applyAlignment="1">
      <alignment horizontal="center" wrapText="1"/>
    </xf>
    <xf numFmtId="2" fontId="0" fillId="0" borderId="1" xfId="0" applyNumberFormat="1" applyBorder="1" applyAlignment="1">
      <alignment horizontal="center"/>
    </xf>
    <xf numFmtId="0" fontId="1" fillId="0" borderId="0" xfId="0" quotePrefix="1" applyFont="1" applyAlignment="1">
      <alignment horizontal="center"/>
    </xf>
    <xf numFmtId="165" fontId="0" fillId="7" borderId="0" xfId="0" applyNumberFormat="1" applyFill="1" applyAlignment="1">
      <alignment horizontal="center"/>
    </xf>
    <xf numFmtId="9" fontId="0" fillId="0" borderId="0" xfId="1" applyFont="1"/>
    <xf numFmtId="9" fontId="0" fillId="0" borderId="1" xfId="1" applyFont="1" applyBorder="1" applyAlignment="1">
      <alignment wrapText="1"/>
    </xf>
    <xf numFmtId="0" fontId="0" fillId="0" borderId="0" xfId="0" applyAlignment="1">
      <alignment horizontal="left"/>
    </xf>
    <xf numFmtId="165" fontId="0" fillId="0" borderId="1" xfId="0" applyNumberFormat="1" applyBorder="1" applyAlignment="1">
      <alignment horizontal="left"/>
    </xf>
    <xf numFmtId="0" fontId="0" fillId="0" borderId="1" xfId="0" applyBorder="1" applyAlignment="1">
      <alignment horizontal="left"/>
    </xf>
    <xf numFmtId="2" fontId="0" fillId="0" borderId="6" xfId="0" applyNumberFormat="1" applyBorder="1"/>
    <xf numFmtId="9" fontId="0" fillId="0" borderId="7" xfId="0" applyNumberFormat="1" applyBorder="1"/>
    <xf numFmtId="0" fontId="0" fillId="0" borderId="6" xfId="0" applyBorder="1"/>
    <xf numFmtId="0" fontId="0" fillId="0" borderId="8" xfId="0" applyBorder="1"/>
    <xf numFmtId="0" fontId="0" fillId="0" borderId="9" xfId="0" applyBorder="1" applyAlignment="1">
      <alignment horizontal="left"/>
    </xf>
    <xf numFmtId="0" fontId="0" fillId="8" borderId="1" xfId="0" applyFill="1" applyBorder="1"/>
    <xf numFmtId="9" fontId="0" fillId="0" borderId="0" xfId="0" applyNumberFormat="1"/>
    <xf numFmtId="0" fontId="0" fillId="0" borderId="2" xfId="0" applyBorder="1"/>
    <xf numFmtId="2" fontId="0" fillId="6" borderId="2" xfId="0" applyNumberFormat="1" applyFill="1" applyBorder="1" applyAlignment="1">
      <alignment horizontal="center"/>
    </xf>
    <xf numFmtId="0" fontId="0" fillId="9" borderId="1" xfId="0" applyFill="1" applyBorder="1" applyAlignment="1">
      <alignment horizontal="center"/>
    </xf>
    <xf numFmtId="2" fontId="0" fillId="9" borderId="1" xfId="0" applyNumberFormat="1" applyFill="1" applyBorder="1" applyAlignment="1">
      <alignment horizontal="center"/>
    </xf>
    <xf numFmtId="2" fontId="0" fillId="9" borderId="2" xfId="0" applyNumberFormat="1" applyFill="1" applyBorder="1" applyAlignment="1">
      <alignment horizontal="center"/>
    </xf>
    <xf numFmtId="165" fontId="0" fillId="9" borderId="1" xfId="0" applyNumberFormat="1" applyFill="1" applyBorder="1" applyAlignment="1">
      <alignment horizontal="center"/>
    </xf>
    <xf numFmtId="9" fontId="0" fillId="0" borderId="2" xfId="1" applyFont="1" applyBorder="1" applyAlignment="1">
      <alignment wrapText="1"/>
    </xf>
    <xf numFmtId="165" fontId="0" fillId="10" borderId="1" xfId="0" applyNumberFormat="1" applyFill="1" applyBorder="1"/>
    <xf numFmtId="165" fontId="0" fillId="10" borderId="1" xfId="0" applyNumberFormat="1" applyFill="1" applyBorder="1" applyAlignment="1">
      <alignment horizontal="center"/>
    </xf>
    <xf numFmtId="165" fontId="0" fillId="0" borderId="0" xfId="0" applyNumberFormat="1" applyAlignment="1">
      <alignment horizontal="left"/>
    </xf>
    <xf numFmtId="166" fontId="0" fillId="0" borderId="0" xfId="0" applyNumberFormat="1" applyAlignment="1">
      <alignment horizontal="left"/>
    </xf>
    <xf numFmtId="9" fontId="4" fillId="0" borderId="1" xfId="1" applyFont="1" applyBorder="1" applyAlignment="1">
      <alignment wrapText="1"/>
    </xf>
    <xf numFmtId="0" fontId="0" fillId="0" borderId="1" xfId="0" applyBorder="1" applyAlignment="1">
      <alignment horizontal="center"/>
    </xf>
    <xf numFmtId="0" fontId="0" fillId="11" borderId="1" xfId="0" applyFill="1" applyBorder="1"/>
    <xf numFmtId="0" fontId="1" fillId="11" borderId="1" xfId="0" applyFont="1" applyFill="1" applyBorder="1"/>
    <xf numFmtId="0" fontId="2" fillId="11" borderId="0" xfId="0" applyFont="1" applyFill="1"/>
    <xf numFmtId="0" fontId="2" fillId="0" borderId="1" xfId="0" applyFont="1" applyBorder="1"/>
    <xf numFmtId="164" fontId="7" fillId="0" borderId="0" xfId="0" applyNumberFormat="1" applyFont="1" applyAlignment="1">
      <alignment horizontal="left"/>
    </xf>
    <xf numFmtId="164" fontId="5" fillId="0" borderId="0" xfId="0" applyNumberFormat="1" applyFont="1" applyAlignment="1">
      <alignment horizontal="left"/>
    </xf>
    <xf numFmtId="0" fontId="0" fillId="0" borderId="0" xfId="0" applyAlignment="1">
      <alignment horizontal="center" vertical="center"/>
    </xf>
    <xf numFmtId="2" fontId="0" fillId="2" borderId="3" xfId="0" applyNumberFormat="1" applyFill="1" applyBorder="1" applyAlignment="1">
      <alignment horizontal="center" vertical="center"/>
    </xf>
    <xf numFmtId="165" fontId="0" fillId="2" borderId="4" xfId="0" applyNumberFormat="1" applyFill="1" applyBorder="1" applyAlignment="1">
      <alignment horizontal="center" vertical="center" wrapText="1"/>
    </xf>
    <xf numFmtId="2" fontId="0" fillId="2" borderId="4" xfId="0" applyNumberFormat="1" applyFill="1" applyBorder="1" applyAlignment="1">
      <alignment horizontal="center" vertical="center" wrapText="1"/>
    </xf>
    <xf numFmtId="9" fontId="0" fillId="2" borderId="5" xfId="0" applyNumberFormat="1" applyFill="1" applyBorder="1" applyAlignment="1">
      <alignment horizontal="center" vertical="center"/>
    </xf>
    <xf numFmtId="2" fontId="0" fillId="8" borderId="3" xfId="0" applyNumberFormat="1" applyFill="1" applyBorder="1" applyAlignment="1">
      <alignment horizontal="center" vertical="center"/>
    </xf>
    <xf numFmtId="165" fontId="0" fillId="8" borderId="4" xfId="0" applyNumberFormat="1" applyFill="1" applyBorder="1" applyAlignment="1">
      <alignment horizontal="center" vertical="center" wrapText="1"/>
    </xf>
    <xf numFmtId="2" fontId="0" fillId="0" borderId="1" xfId="0" applyNumberFormat="1" applyBorder="1" applyAlignment="1">
      <alignment horizontal="left"/>
    </xf>
    <xf numFmtId="165" fontId="0" fillId="8" borderId="0" xfId="0" applyNumberFormat="1" applyFill="1" applyAlignment="1">
      <alignment horizontal="center" vertical="center" wrapText="1"/>
    </xf>
    <xf numFmtId="2" fontId="0" fillId="0" borderId="0" xfId="0" applyNumberFormat="1" applyAlignment="1">
      <alignment horizontal="left"/>
    </xf>
    <xf numFmtId="167" fontId="1" fillId="0" borderId="1" xfId="0" quotePrefix="1" applyNumberFormat="1" applyFont="1" applyBorder="1" applyAlignment="1">
      <alignment horizontal="center"/>
    </xf>
    <xf numFmtId="165" fontId="0" fillId="10" borderId="0" xfId="0" applyNumberFormat="1" applyFill="1"/>
    <xf numFmtId="165" fontId="0" fillId="10" borderId="0" xfId="0" applyNumberFormat="1" applyFill="1" applyAlignment="1">
      <alignment horizontal="center"/>
    </xf>
    <xf numFmtId="2" fontId="0" fillId="12" borderId="0" xfId="0" applyNumberFormat="1" applyFill="1"/>
    <xf numFmtId="165" fontId="0" fillId="12" borderId="0" xfId="0" applyNumberFormat="1" applyFill="1"/>
    <xf numFmtId="2" fontId="0" fillId="5" borderId="0" xfId="0" applyNumberFormat="1" applyFill="1"/>
    <xf numFmtId="165" fontId="0" fillId="5" borderId="0" xfId="0" applyNumberFormat="1" applyFill="1"/>
    <xf numFmtId="0" fontId="0" fillId="0" borderId="10" xfId="0" applyBorder="1"/>
    <xf numFmtId="2" fontId="0" fillId="0" borderId="11" xfId="0" applyNumberFormat="1" applyBorder="1"/>
    <xf numFmtId="2" fontId="0" fillId="13" borderId="0" xfId="0" applyNumberFormat="1" applyFill="1"/>
    <xf numFmtId="168" fontId="0" fillId="0" borderId="1" xfId="0" applyNumberFormat="1" applyBorder="1" applyAlignment="1">
      <alignment horizontal="left" wrapText="1"/>
    </xf>
    <xf numFmtId="0" fontId="0" fillId="16" borderId="14" xfId="0" applyFill="1" applyBorder="1" applyAlignment="1">
      <alignment horizontal="left"/>
    </xf>
    <xf numFmtId="2" fontId="0" fillId="16" borderId="15" xfId="0" applyNumberFormat="1" applyFill="1" applyBorder="1" applyAlignment="1">
      <alignment horizontal="left"/>
    </xf>
    <xf numFmtId="165" fontId="0" fillId="17" borderId="13" xfId="0" applyNumberFormat="1" applyFill="1" applyBorder="1" applyAlignment="1">
      <alignment horizontal="left"/>
    </xf>
    <xf numFmtId="165" fontId="0" fillId="17" borderId="1" xfId="0" applyNumberFormat="1" applyFill="1" applyBorder="1" applyAlignment="1">
      <alignment horizontal="left"/>
    </xf>
    <xf numFmtId="0" fontId="0" fillId="15" borderId="4" xfId="0" applyFill="1" applyBorder="1" applyAlignment="1">
      <alignment horizontal="left" wrapText="1"/>
    </xf>
    <xf numFmtId="0" fontId="0" fillId="15" borderId="16" xfId="0" applyFill="1" applyBorder="1" applyAlignment="1">
      <alignment horizontal="left"/>
    </xf>
    <xf numFmtId="0" fontId="0" fillId="15" borderId="17" xfId="0" applyFill="1" applyBorder="1" applyAlignment="1">
      <alignment horizontal="left"/>
    </xf>
    <xf numFmtId="0" fontId="0" fillId="17" borderId="18" xfId="0" applyFill="1" applyBorder="1" applyAlignment="1">
      <alignment horizontal="left"/>
    </xf>
    <xf numFmtId="0" fontId="0" fillId="17" borderId="7" xfId="0" applyFill="1" applyBorder="1" applyAlignment="1">
      <alignment horizontal="left"/>
    </xf>
    <xf numFmtId="165" fontId="0" fillId="17" borderId="9" xfId="0" applyNumberFormat="1" applyFill="1" applyBorder="1" applyAlignment="1">
      <alignment horizontal="left"/>
    </xf>
    <xf numFmtId="0" fontId="0" fillId="17" borderId="19" xfId="0" applyFill="1" applyBorder="1" applyAlignment="1">
      <alignment horizontal="left"/>
    </xf>
    <xf numFmtId="0" fontId="0" fillId="15" borderId="3" xfId="0" applyFill="1" applyBorder="1" applyAlignment="1">
      <alignment horizontal="left" vertical="center" wrapText="1"/>
    </xf>
    <xf numFmtId="0" fontId="0" fillId="15" borderId="6" xfId="0" applyFill="1" applyBorder="1" applyAlignment="1">
      <alignment horizontal="left" vertical="center" wrapText="1"/>
    </xf>
    <xf numFmtId="0" fontId="0" fillId="15" borderId="8" xfId="0" applyFill="1" applyBorder="1" applyAlignment="1">
      <alignment horizontal="left" vertical="center" wrapText="1"/>
    </xf>
    <xf numFmtId="168" fontId="0" fillId="14" borderId="12" xfId="0" applyNumberFormat="1" applyFill="1" applyBorder="1" applyAlignment="1">
      <alignment horizontal="left" wrapText="1"/>
    </xf>
    <xf numFmtId="168" fontId="0" fillId="12" borderId="1" xfId="0" applyNumberFormat="1" applyFill="1" applyBorder="1" applyAlignment="1">
      <alignment horizontal="left" wrapText="1"/>
    </xf>
    <xf numFmtId="168" fontId="0" fillId="0" borderId="9" xfId="0" applyNumberFormat="1" applyBorder="1" applyAlignment="1">
      <alignment horizontal="left" wrapText="1"/>
    </xf>
    <xf numFmtId="0" fontId="0" fillId="18" borderId="0" xfId="0" applyFill="1"/>
    <xf numFmtId="0" fontId="0" fillId="13" borderId="1" xfId="0" applyFill="1" applyBorder="1"/>
    <xf numFmtId="0" fontId="0" fillId="13" borderId="0" xfId="0" applyFill="1"/>
    <xf numFmtId="0" fontId="0" fillId="14" borderId="1" xfId="0" applyFill="1" applyBorder="1"/>
    <xf numFmtId="0" fontId="8" fillId="14" borderId="1" xfId="0" applyFont="1" applyFill="1" applyBorder="1"/>
    <xf numFmtId="0" fontId="0" fillId="18" borderId="1" xfId="0" applyFill="1" applyBorder="1"/>
    <xf numFmtId="0" fontId="0" fillId="11" borderId="0" xfId="0" applyFill="1"/>
    <xf numFmtId="2" fontId="0" fillId="4" borderId="0" xfId="0" applyNumberFormat="1" applyFill="1" applyAlignment="1">
      <alignment horizontal="center"/>
    </xf>
    <xf numFmtId="165" fontId="0" fillId="5" borderId="0" xfId="0" applyNumberFormat="1" applyFill="1" applyAlignment="1">
      <alignment horizontal="center"/>
    </xf>
    <xf numFmtId="9" fontId="6" fillId="2" borderId="20" xfId="1" applyFont="1" applyFill="1" applyBorder="1" applyAlignment="1">
      <alignment wrapText="1"/>
    </xf>
    <xf numFmtId="9" fontId="6" fillId="2" borderId="21" xfId="1" applyFont="1" applyFill="1" applyBorder="1" applyAlignment="1">
      <alignment wrapText="1"/>
    </xf>
    <xf numFmtId="164" fontId="0" fillId="11" borderId="1" xfId="0" applyNumberFormat="1" applyFill="1" applyBorder="1" applyAlignment="1">
      <alignment horizontal="left"/>
    </xf>
    <xf numFmtId="2" fontId="0" fillId="11" borderId="1" xfId="0" applyNumberFormat="1" applyFill="1" applyBorder="1"/>
    <xf numFmtId="2" fontId="0" fillId="11" borderId="1" xfId="0" applyNumberFormat="1" applyFill="1" applyBorder="1" applyAlignment="1">
      <alignment horizontal="center"/>
    </xf>
    <xf numFmtId="165" fontId="0" fillId="11" borderId="1" xfId="0" applyNumberFormat="1" applyFill="1" applyBorder="1" applyAlignment="1">
      <alignment horizontal="center"/>
    </xf>
    <xf numFmtId="167" fontId="1" fillId="11" borderId="1" xfId="0" quotePrefix="1" applyNumberFormat="1" applyFont="1" applyFill="1" applyBorder="1" applyAlignment="1">
      <alignment horizontal="center"/>
    </xf>
    <xf numFmtId="9" fontId="0" fillId="11" borderId="1" xfId="1" applyFont="1" applyFill="1" applyBorder="1" applyAlignment="1">
      <alignment wrapText="1"/>
    </xf>
    <xf numFmtId="164" fontId="0" fillId="19" borderId="1" xfId="0" applyNumberFormat="1" applyFill="1" applyBorder="1" applyAlignment="1">
      <alignment horizontal="center" vertical="center"/>
    </xf>
    <xf numFmtId="0" fontId="0" fillId="19" borderId="1" xfId="0" applyFill="1" applyBorder="1" applyAlignment="1">
      <alignment horizontal="center" vertical="center"/>
    </xf>
    <xf numFmtId="0" fontId="0" fillId="19" borderId="1" xfId="0" applyFill="1" applyBorder="1" applyAlignment="1">
      <alignment horizontal="center" vertical="center" wrapText="1"/>
    </xf>
    <xf numFmtId="2" fontId="0" fillId="19" borderId="1" xfId="0" applyNumberFormat="1" applyFill="1" applyBorder="1" applyAlignment="1">
      <alignment horizontal="center" vertical="center"/>
    </xf>
    <xf numFmtId="2" fontId="0" fillId="19" borderId="1" xfId="0" applyNumberFormat="1" applyFill="1" applyBorder="1" applyAlignment="1">
      <alignment horizontal="center" vertical="center" wrapText="1"/>
    </xf>
    <xf numFmtId="165" fontId="0" fillId="19" borderId="1" xfId="0" applyNumberFormat="1" applyFill="1" applyBorder="1" applyAlignment="1">
      <alignment horizontal="center" vertical="center" wrapText="1"/>
    </xf>
    <xf numFmtId="9" fontId="0" fillId="19" borderId="1" xfId="1" applyFont="1" applyFill="1" applyBorder="1" applyAlignment="1">
      <alignment horizontal="center" vertical="center" wrapText="1"/>
    </xf>
  </cellXfs>
  <cellStyles count="2">
    <cellStyle name="Normal" xfId="0" builtinId="0"/>
    <cellStyle name="Per cent" xfId="1" builtinId="5"/>
  </cellStyles>
  <dxfs count="0"/>
  <tableStyles count="0" defaultTableStyle="TableStyleMedium2" defaultPivotStyle="PivotStyleLight16"/>
  <colors>
    <mruColors>
      <color rgb="FFE300D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microsoft.com/office/2017/10/relationships/person" Target="persons/perso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Apparent Crater</a:t>
            </a:r>
            <a:r>
              <a:rPr lang="en-GB" baseline="0"/>
              <a:t> Volume and Scaled Charge Size (H/L 1 - 3)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'Surface Calculations Mukalla'!$AB$3</c:f>
              <c:strCache>
                <c:ptCount val="1"/>
                <c:pt idx="0">
                  <c:v>Ve (m3) E (Mean)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wer"/>
            <c:dispRSqr val="1"/>
            <c:dispEq val="1"/>
            <c:trendlineLbl>
              <c:layout>
                <c:manualLayout>
                  <c:x val="9.4393125516844645E-2"/>
                  <c:y val="0.14383922848040107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050" b="1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'Surface Calculations Mukalla'!$AA$4:$AA$7</c:f>
              <c:numCache>
                <c:formatCode>0.00</c:formatCode>
                <c:ptCount val="4"/>
                <c:pt idx="0">
                  <c:v>1.8077036087092828</c:v>
                </c:pt>
                <c:pt idx="1">
                  <c:v>2.3847177095289243</c:v>
                </c:pt>
                <c:pt idx="2">
                  <c:v>3.0045560402925795</c:v>
                </c:pt>
                <c:pt idx="3">
                  <c:v>3.7855034007534094</c:v>
                </c:pt>
              </c:numCache>
            </c:numRef>
          </c:xVal>
          <c:yVal>
            <c:numRef>
              <c:f>'Surface Calculations Mukalla'!$AB$4:$AB$7</c:f>
              <c:numCache>
                <c:formatCode>0.000</c:formatCode>
                <c:ptCount val="4"/>
                <c:pt idx="0">
                  <c:v>2.8154286666666667E-2</c:v>
                </c:pt>
                <c:pt idx="1">
                  <c:v>6.7465307333333335E-2</c:v>
                </c:pt>
                <c:pt idx="2">
                  <c:v>0.12717701266666664</c:v>
                </c:pt>
                <c:pt idx="3">
                  <c:v>0.26068342799999999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BAE-D448-9711-6D46A7D2927C}"/>
            </c:ext>
          </c:extLst>
        </c:ser>
        <c:ser>
          <c:idx val="1"/>
          <c:order val="1"/>
          <c:tx>
            <c:strRef>
              <c:f>'Surface Calculations Mukalla'!$AC$3</c:f>
              <c:strCache>
                <c:ptCount val="1"/>
                <c:pt idx="0">
                  <c:v>Va (m3) C (Mean)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wer"/>
            <c:dispRSqr val="1"/>
            <c:dispEq val="1"/>
            <c:trendlineLbl>
              <c:layout>
                <c:manualLayout>
                  <c:x val="-8.807492843529563E-2"/>
                  <c:y val="-3.0227877144496009E-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100" b="1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'Surface Calculations Mukalla'!$AA$4:$AA$7</c:f>
              <c:numCache>
                <c:formatCode>0.00</c:formatCode>
                <c:ptCount val="4"/>
                <c:pt idx="0">
                  <c:v>1.8077036087092828</c:v>
                </c:pt>
                <c:pt idx="1">
                  <c:v>2.3847177095289243</c:v>
                </c:pt>
                <c:pt idx="2">
                  <c:v>3.0045560402925795</c:v>
                </c:pt>
                <c:pt idx="3">
                  <c:v>3.7855034007534094</c:v>
                </c:pt>
              </c:numCache>
            </c:numRef>
          </c:xVal>
          <c:yVal>
            <c:numRef>
              <c:f>'Surface Calculations Mukalla'!$AC$4:$AC$7</c:f>
              <c:numCache>
                <c:formatCode>0.00</c:formatCode>
                <c:ptCount val="4"/>
                <c:pt idx="0">
                  <c:v>3.1658900075981336E-2</c:v>
                </c:pt>
                <c:pt idx="1">
                  <c:v>7.2681700174436065E-2</c:v>
                </c:pt>
                <c:pt idx="2">
                  <c:v>0.14536340034887207</c:v>
                </c:pt>
                <c:pt idx="3">
                  <c:v>0.29072680069774426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BAE-D448-9711-6D46A7D2927C}"/>
            </c:ext>
          </c:extLst>
        </c:ser>
        <c:ser>
          <c:idx val="2"/>
          <c:order val="2"/>
          <c:tx>
            <c:strRef>
              <c:f>Sheet1!#REF!</c:f>
              <c:strCache>
                <c:ptCount val="1"/>
                <c:pt idx="0">
                  <c:v>#REF!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power"/>
            <c:dispRSqr val="1"/>
            <c:dispEq val="1"/>
            <c:trendlineLbl>
              <c:layout>
                <c:manualLayout>
                  <c:x val="9.6740229389134583E-2"/>
                  <c:y val="8.813233704231685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100" b="1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'Surface Calculations Mukalla'!$AA$4:$AA$7</c:f>
              <c:numCache>
                <c:formatCode>0.00</c:formatCode>
                <c:ptCount val="4"/>
                <c:pt idx="0">
                  <c:v>1.8077036087092828</c:v>
                </c:pt>
                <c:pt idx="1">
                  <c:v>2.3847177095289243</c:v>
                </c:pt>
                <c:pt idx="2">
                  <c:v>3.0045560402925795</c:v>
                </c:pt>
                <c:pt idx="3">
                  <c:v>3.7855034007534094</c:v>
                </c:pt>
              </c:numCache>
            </c:numRef>
          </c:xVal>
          <c:yVal>
            <c:numRef>
              <c:f>Sheet1!#REF!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CBAE-D448-9711-6D46A7D292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7521472"/>
        <c:axId val="734184704"/>
      </c:scatterChart>
      <c:valAx>
        <c:axId val="757521472"/>
        <c:scaling>
          <c:orientation val="minMax"/>
          <c:min val="1.8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M1/3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34184704"/>
        <c:crosses val="autoZero"/>
        <c:crossBetween val="midCat"/>
      </c:valAx>
      <c:valAx>
        <c:axId val="734184704"/>
        <c:scaling>
          <c:orientation val="minMax"/>
          <c:max val="0.4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Apparent</a:t>
                </a:r>
                <a:r>
                  <a:rPr lang="en-GB" baseline="0"/>
                  <a:t> Volume</a:t>
                </a:r>
                <a:endParaRPr lang="en-GB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7521472"/>
        <c:crossesAt val="0"/>
        <c:crossBetween val="midCat"/>
      </c:valAx>
      <c:spPr>
        <a:noFill/>
        <a:ln>
          <a:noFill/>
        </a:ln>
        <a:effectLst/>
      </c:spPr>
    </c:plotArea>
    <c:legend>
      <c:legendPos val="b"/>
      <c:legendEntry>
        <c:idx val="2"/>
        <c:delete val="1"/>
      </c:legendEntry>
      <c:legendEntry>
        <c:idx val="5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M^1/3</a:t>
            </a:r>
            <a:r>
              <a:rPr lang="en-GB" baseline="0"/>
              <a:t> vs Ln(VaVc)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'Surface Calculations Mukalla'!$AF$3</c:f>
              <c:strCache>
                <c:ptCount val="1"/>
                <c:pt idx="0">
                  <c:v>Ln Ve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0.16218700787401574"/>
                  <c:y val="0.34761774569845427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rgbClr val="0070C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'Surface Calculations Mukalla'!$AE$4:$AE$7</c:f>
              <c:numCache>
                <c:formatCode>0.00</c:formatCode>
                <c:ptCount val="4"/>
                <c:pt idx="0">
                  <c:v>1.8077036087092828</c:v>
                </c:pt>
                <c:pt idx="1">
                  <c:v>2.3847177095289243</c:v>
                </c:pt>
                <c:pt idx="2">
                  <c:v>3.0045560402925795</c:v>
                </c:pt>
                <c:pt idx="3">
                  <c:v>3.7855034007534094</c:v>
                </c:pt>
              </c:numCache>
            </c:numRef>
          </c:xVal>
          <c:yVal>
            <c:numRef>
              <c:f>'Surface Calculations Mukalla'!$AF$4:$AF$7</c:f>
              <c:numCache>
                <c:formatCode>General</c:formatCode>
                <c:ptCount val="4"/>
                <c:pt idx="0">
                  <c:v>-3.5700556565344779</c:v>
                </c:pt>
                <c:pt idx="1">
                  <c:v>-2.696141778661258</c:v>
                </c:pt>
                <c:pt idx="2">
                  <c:v>-2.0621753624369363</c:v>
                </c:pt>
                <c:pt idx="3">
                  <c:v>-1.3444485273819258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062-4D48-8225-A45CDDC165FE}"/>
            </c:ext>
          </c:extLst>
        </c:ser>
        <c:ser>
          <c:idx val="1"/>
          <c:order val="1"/>
          <c:tx>
            <c:strRef>
              <c:f>'Surface Calculations Mukalla'!$AG$3</c:f>
              <c:strCache>
                <c:ptCount val="1"/>
                <c:pt idx="0">
                  <c:v>Ln Va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6.8368547681539812E-2"/>
                  <c:y val="9.0988261883931179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accent2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'Surface Calculations Mukalla'!$AE$4:$AE$7</c:f>
              <c:numCache>
                <c:formatCode>0.00</c:formatCode>
                <c:ptCount val="4"/>
                <c:pt idx="0">
                  <c:v>1.8077036087092828</c:v>
                </c:pt>
                <c:pt idx="1">
                  <c:v>2.3847177095289243</c:v>
                </c:pt>
                <c:pt idx="2">
                  <c:v>3.0045560402925795</c:v>
                </c:pt>
                <c:pt idx="3">
                  <c:v>3.7855034007534094</c:v>
                </c:pt>
              </c:numCache>
            </c:numRef>
          </c:xVal>
          <c:yVal>
            <c:numRef>
              <c:f>'Surface Calculations Mukalla'!$AG$4:$AG$7</c:f>
              <c:numCache>
                <c:formatCode>General</c:formatCode>
                <c:ptCount val="4"/>
                <c:pt idx="0">
                  <c:v>-3.4527359668895286</c:v>
                </c:pt>
                <c:pt idx="1">
                  <c:v>-2.6216656431240812</c:v>
                </c:pt>
                <c:pt idx="2">
                  <c:v>-1.9285184625641361</c:v>
                </c:pt>
                <c:pt idx="3">
                  <c:v>-1.2353712820041904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062-4D48-8225-A45CDDC165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6758720"/>
        <c:axId val="410485392"/>
      </c:scatterChart>
      <c:valAx>
        <c:axId val="476758720"/>
        <c:scaling>
          <c:orientation val="minMax"/>
        </c:scaling>
        <c:delete val="0"/>
        <c:axPos val="b"/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0485392"/>
        <c:crosses val="autoZero"/>
        <c:crossBetween val="midCat"/>
      </c:valAx>
      <c:valAx>
        <c:axId val="4104853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M^1/3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675872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accent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cap="none" spc="20" baseline="0">
                <a:solidFill>
                  <a:schemeClr val="dk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Graphical Representation of Experimental Crater Volumes for Rectangular Charge Containers Compared to Theoretical Volumes obtained from Spherical Charges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cap="none" spc="20" baseline="0">
              <a:solidFill>
                <a:schemeClr val="dk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'Surface Calculations Mukalla'!$AJ$3</c:f>
              <c:strCache>
                <c:ptCount val="1"/>
                <c:pt idx="0">
                  <c:v>Ve^1/3</c:v>
                </c:pt>
              </c:strCache>
            </c:strRef>
          </c:tx>
          <c:spPr>
            <a:ln w="25400" cap="flat" cmpd="sng" algn="ctr">
              <a:noFill/>
              <a:prstDash val="sysDot"/>
              <a:round/>
            </a:ln>
            <a:effectLst/>
          </c:spPr>
          <c:marker>
            <c:symbol val="circle"/>
            <c:size val="5"/>
            <c:spPr>
              <a:gradFill rotWithShape="1">
                <a:gsLst>
                  <a:gs pos="0">
                    <a:schemeClr val="accent1">
                      <a:lumMod val="110000"/>
                      <a:satMod val="105000"/>
                      <a:tint val="67000"/>
                    </a:schemeClr>
                  </a:gs>
                  <a:gs pos="50000">
                    <a:schemeClr val="accent1">
                      <a:lumMod val="105000"/>
                      <a:satMod val="103000"/>
                      <a:tint val="73000"/>
                    </a:schemeClr>
                  </a:gs>
                  <a:gs pos="100000">
                    <a:schemeClr val="accent1">
                      <a:lumMod val="105000"/>
                      <a:satMod val="109000"/>
                      <a:tint val="81000"/>
                    </a:schemeClr>
                  </a:gs>
                </a:gsLst>
                <a:lin ang="5400000" scaled="0"/>
              </a:gradFill>
              <a:ln w="9525" cap="flat" cmpd="sng" algn="ctr">
                <a:solidFill>
                  <a:schemeClr val="accent1">
                    <a:shade val="95000"/>
                  </a:schemeClr>
                </a:solidFill>
                <a:round/>
              </a:ln>
              <a:effectLst/>
            </c:spPr>
          </c:marker>
          <c:trendline>
            <c:spPr>
              <a:ln w="9525" cap="rnd">
                <a:solidFill>
                  <a:schemeClr val="accent1"/>
                </a:solidFill>
              </a:ln>
              <a:effectLst/>
            </c:spPr>
            <c:trendlineType val="linear"/>
            <c:intercept val="0"/>
            <c:dispRSqr val="1"/>
            <c:dispEq val="1"/>
            <c:trendlineLbl>
              <c:layout>
                <c:manualLayout>
                  <c:x val="3.6443569553805774E-2"/>
                  <c:y val="0.18633804630007081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'Surface Calculations Mukalla'!$AI$4:$AI$9</c:f>
              <c:numCache>
                <c:formatCode>0.00</c:formatCode>
                <c:ptCount val="6"/>
                <c:pt idx="0">
                  <c:v>1.8077036087092828</c:v>
                </c:pt>
                <c:pt idx="1">
                  <c:v>2.3847177095289243</c:v>
                </c:pt>
                <c:pt idx="2">
                  <c:v>3.0045560402925795</c:v>
                </c:pt>
                <c:pt idx="3">
                  <c:v>3.7855034007534094</c:v>
                </c:pt>
                <c:pt idx="4">
                  <c:v>1</c:v>
                </c:pt>
                <c:pt idx="5" formatCode="General">
                  <c:v>0</c:v>
                </c:pt>
              </c:numCache>
            </c:numRef>
          </c:xVal>
          <c:yVal>
            <c:numRef>
              <c:f>'Surface Calculations Mukalla'!$AJ$4:$AJ$9</c:f>
              <c:numCache>
                <c:formatCode>0.000</c:formatCode>
                <c:ptCount val="6"/>
                <c:pt idx="0">
                  <c:v>0.3042156201519669</c:v>
                </c:pt>
                <c:pt idx="1">
                  <c:v>0.40709287469396499</c:v>
                </c:pt>
                <c:pt idx="2">
                  <c:v>0.50288599358781472</c:v>
                </c:pt>
                <c:pt idx="3">
                  <c:v>0.63880916909052898</c:v>
                </c:pt>
                <c:pt idx="4" formatCode="General">
                  <c:v>0.16869999999999999</c:v>
                </c:pt>
                <c:pt idx="5" formatCode="General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7B2-B54E-AE2C-8119CF214E87}"/>
            </c:ext>
          </c:extLst>
        </c:ser>
        <c:ser>
          <c:idx val="1"/>
          <c:order val="1"/>
          <c:tx>
            <c:strRef>
              <c:f>'Surface Calculations Mukalla'!$AK$3</c:f>
              <c:strCache>
                <c:ptCount val="1"/>
                <c:pt idx="0">
                  <c:v>Vc^1/3</c:v>
                </c:pt>
              </c:strCache>
            </c:strRef>
          </c:tx>
          <c:spPr>
            <a:ln w="25400" cap="flat" cmpd="sng" algn="ctr">
              <a:noFill/>
              <a:prstDash val="sysDot"/>
              <a:round/>
            </a:ln>
            <a:effectLst/>
          </c:spPr>
          <c:marker>
            <c:symbol val="circle"/>
            <c:size val="5"/>
            <c:spPr>
              <a:gradFill rotWithShape="1">
                <a:gsLst>
                  <a:gs pos="0">
                    <a:schemeClr val="accent2">
                      <a:lumMod val="110000"/>
                      <a:satMod val="105000"/>
                      <a:tint val="67000"/>
                    </a:schemeClr>
                  </a:gs>
                  <a:gs pos="50000">
                    <a:schemeClr val="accent2">
                      <a:lumMod val="105000"/>
                      <a:satMod val="103000"/>
                      <a:tint val="73000"/>
                    </a:schemeClr>
                  </a:gs>
                  <a:gs pos="100000">
                    <a:schemeClr val="accent2">
                      <a:lumMod val="105000"/>
                      <a:satMod val="109000"/>
                      <a:tint val="81000"/>
                    </a:schemeClr>
                  </a:gs>
                </a:gsLst>
                <a:lin ang="5400000" scaled="0"/>
              </a:gradFill>
              <a:ln w="9525" cap="flat" cmpd="sng" algn="ctr">
                <a:solidFill>
                  <a:schemeClr val="accent2">
                    <a:shade val="95000"/>
                  </a:schemeClr>
                </a:solidFill>
                <a:round/>
              </a:ln>
              <a:effectLst/>
            </c:spPr>
          </c:marker>
          <c:trendline>
            <c:spPr>
              <a:ln w="9525" cap="rnd">
                <a:solidFill>
                  <a:schemeClr val="accent2"/>
                </a:solidFill>
              </a:ln>
              <a:effectLst/>
            </c:spPr>
            <c:trendlineType val="linear"/>
            <c:dispRSqr val="0"/>
            <c:dispEq val="0"/>
          </c:trendline>
          <c:trendline>
            <c:spPr>
              <a:ln w="9525" cap="rnd">
                <a:solidFill>
                  <a:schemeClr val="accent2"/>
                </a:solidFill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20865023756975298"/>
                  <c:y val="0.1387193460490463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'Surface Calculations Mukalla'!$AI$4:$AI$9</c:f>
              <c:numCache>
                <c:formatCode>0.00</c:formatCode>
                <c:ptCount val="6"/>
                <c:pt idx="0">
                  <c:v>1.8077036087092828</c:v>
                </c:pt>
                <c:pt idx="1">
                  <c:v>2.3847177095289243</c:v>
                </c:pt>
                <c:pt idx="2">
                  <c:v>3.0045560402925795</c:v>
                </c:pt>
                <c:pt idx="3">
                  <c:v>3.7855034007534094</c:v>
                </c:pt>
                <c:pt idx="4">
                  <c:v>1</c:v>
                </c:pt>
                <c:pt idx="5" formatCode="General">
                  <c:v>0</c:v>
                </c:pt>
              </c:numCache>
            </c:numRef>
          </c:xVal>
          <c:yVal>
            <c:numRef>
              <c:f>'Surface Calculations Mukalla'!$AK$4:$AK$9</c:f>
              <c:numCache>
                <c:formatCode>0.00</c:formatCode>
                <c:ptCount val="6"/>
                <c:pt idx="0">
                  <c:v>0.316348131777203</c:v>
                </c:pt>
                <c:pt idx="1">
                  <c:v>0.41732559950142223</c:v>
                </c:pt>
                <c:pt idx="2">
                  <c:v>0.52579730747183917</c:v>
                </c:pt>
                <c:pt idx="3">
                  <c:v>0.66246309566181716</c:v>
                </c:pt>
                <c:pt idx="4" formatCode="General">
                  <c:v>0.17499999999999999</c:v>
                </c:pt>
                <c:pt idx="5" formatCode="General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7B2-B54E-AE2C-8119CF214E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15494912"/>
        <c:axId val="441985536"/>
      </c:scatterChart>
      <c:valAx>
        <c:axId val="4154949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M^1/3 (kg^1/3)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9525" cap="rnd">
            <a:solidFill>
              <a:schemeClr val="dk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spc="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41985536"/>
        <c:crosses val="autoZero"/>
        <c:crossBetween val="midCat"/>
      </c:valAx>
      <c:valAx>
        <c:axId val="441985536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Ve^1/3</a:t>
                </a:r>
                <a:r>
                  <a:rPr lang="en-GB" baseline="0"/>
                  <a:t>  </a:t>
                </a:r>
                <a:endParaRPr lang="en-GB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0" sourceLinked="1"/>
        <c:majorTickMark val="none"/>
        <c:minorTickMark val="none"/>
        <c:tickLblPos val="nextTo"/>
        <c:spPr>
          <a:noFill/>
          <a:ln w="9525" cap="rnd">
            <a:solidFill>
              <a:schemeClr val="dk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spc="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5494912"/>
        <c:crosses val="autoZero"/>
        <c:crossBetween val="midCat"/>
        <c:majorUnit val="0.05"/>
      </c:valAx>
      <c:spPr>
        <a:gradFill>
          <a:gsLst>
            <a:gs pos="100000">
              <a:schemeClr val="lt1">
                <a:lumMod val="95000"/>
              </a:schemeClr>
            </a:gs>
            <a:gs pos="0">
              <a:schemeClr val="lt1">
                <a:alpha val="0"/>
              </a:schemeClr>
            </a:gs>
          </a:gsLst>
          <a:lin ang="5400000" scaled="0"/>
        </a:gradFill>
        <a:ln>
          <a:noFill/>
        </a:ln>
        <a:effectLst/>
      </c:spPr>
    </c:plotArea>
    <c:legend>
      <c:legendPos val="b"/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spc="0" baseline="0">
              <a:solidFill>
                <a:schemeClr val="dk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lt1"/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6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rnd">
        <a:solidFill>
          <a:schemeClr val="dk1">
            <a:lumMod val="20000"/>
            <a:lumOff val="80000"/>
          </a:schemeClr>
        </a:solidFill>
        <a:round/>
      </a:ln>
    </cs:spPr>
    <cs:defRPr sz="900" kern="1200"/>
  </cs:categoryAxis>
  <cs:chartArea mods="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/>
    <cs:effectRef idx="1"/>
    <cs:fontRef idx="minor">
      <a:schemeClr val="dk1"/>
    </cs:fontRef>
    <cs:spPr>
      <a:ln w="9525" cap="flat" cmpd="sng" algn="ctr">
        <a:solidFill>
          <a:schemeClr val="phClr">
            <a:alpha val="70000"/>
          </a:schemeClr>
        </a:solidFill>
        <a:prstDash val="sysDot"/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rnd">
        <a:solidFill>
          <a:schemeClr val="dk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rnd">
        <a:solidFill>
          <a:schemeClr val="dk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rnd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rnd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rnd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rnd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 spc="0" baseline="0"/>
  </cs:legend>
  <cs:plotArea>
    <cs:lnRef idx="0"/>
    <cs:fillRef idx="0"/>
    <cs:effectRef idx="0"/>
    <cs:fontRef idx="minor">
      <a:schemeClr val="dk1"/>
    </cs:fontRef>
    <cs:spPr>
      <a:gradFill>
        <a:gsLst>
          <a:gs pos="100000">
            <a:schemeClr val="lt1">
              <a:lumMod val="95000"/>
            </a:schemeClr>
          </a:gs>
          <a:gs pos="0">
            <a:schemeClr val="lt1">
              <a:alpha val="0"/>
            </a:schemeClr>
          </a:gs>
        </a:gsLst>
        <a:lin ang="5400000" scaled="0"/>
      </a:gradFill>
    </cs:spPr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rnd">
        <a:solidFill>
          <a:schemeClr val="dk1">
            <a:lumMod val="20000"/>
            <a:lumOff val="80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 cap="rnd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rnd">
        <a:solidFill>
          <a:schemeClr val="dk1">
            <a:lumMod val="25000"/>
            <a:lumOff val="75000"/>
          </a:schemeClr>
        </a:solidFill>
        <a:round/>
      </a:ln>
    </cs:spPr>
    <cs:defRPr sz="900" kern="1200" spc="0" baseline="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chart" Target="../charts/chart1.xml"/><Relationship Id="rId1" Type="http://schemas.openxmlformats.org/officeDocument/2006/relationships/image" Target="../media/image1.png"/><Relationship Id="rId5" Type="http://schemas.openxmlformats.org/officeDocument/2006/relationships/image" Target="../media/image2.png"/><Relationship Id="rId4" Type="http://schemas.openxmlformats.org/officeDocument/2006/relationships/chart" Target="../charts/chart3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6" Type="http://schemas.openxmlformats.org/officeDocument/2006/relationships/image" Target="../media/image8.png"/><Relationship Id="rId5" Type="http://schemas.openxmlformats.org/officeDocument/2006/relationships/image" Target="../media/image7.png"/><Relationship Id="rId4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635000</xdr:colOff>
      <xdr:row>46</xdr:row>
      <xdr:rowOff>152400</xdr:rowOff>
    </xdr:from>
    <xdr:to>
      <xdr:col>21</xdr:col>
      <xdr:colOff>368300</xdr:colOff>
      <xdr:row>61</xdr:row>
      <xdr:rowOff>180818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98B3C531-0987-9E45-A4E0-223D7F296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5900" y="10414000"/>
          <a:ext cx="6388100" cy="3317718"/>
        </a:xfrm>
        <a:prstGeom prst="rect">
          <a:avLst/>
        </a:prstGeom>
      </xdr:spPr>
    </xdr:pic>
    <xdr:clientData/>
  </xdr:twoCellAnchor>
  <xdr:twoCellAnchor>
    <xdr:from>
      <xdr:col>26</xdr:col>
      <xdr:colOff>107950</xdr:colOff>
      <xdr:row>9</xdr:row>
      <xdr:rowOff>196850</xdr:rowOff>
    </xdr:from>
    <xdr:to>
      <xdr:col>34</xdr:col>
      <xdr:colOff>520700</xdr:colOff>
      <xdr:row>33</xdr:row>
      <xdr:rowOff>114300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5D04595-7B5E-05E9-3FA3-7DF3DBAE3DD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oneCellAnchor>
    <xdr:from>
      <xdr:col>27</xdr:col>
      <xdr:colOff>38100</xdr:colOff>
      <xdr:row>32</xdr:row>
      <xdr:rowOff>184150</xdr:rowOff>
    </xdr:from>
    <xdr:ext cx="65" cy="281808"/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48E715AE-F9FC-504C-B7DD-6984BE9E43ED}"/>
            </a:ext>
          </a:extLst>
        </xdr:cNvPr>
        <xdr:cNvSpPr txBox="1"/>
      </xdr:nvSpPr>
      <xdr:spPr>
        <a:xfrm>
          <a:off x="23012400" y="7562850"/>
          <a:ext cx="65" cy="2818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800"/>
        </a:p>
      </xdr:txBody>
    </xdr:sp>
    <xdr:clientData/>
  </xdr:oneCellAnchor>
  <xdr:oneCellAnchor>
    <xdr:from>
      <xdr:col>23</xdr:col>
      <xdr:colOff>146050</xdr:colOff>
      <xdr:row>47</xdr:row>
      <xdr:rowOff>57150</xdr:rowOff>
    </xdr:from>
    <xdr:ext cx="979948" cy="565348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0" name="TextBox 9">
              <a:extLst>
                <a:ext uri="{FF2B5EF4-FFF2-40B4-BE49-F238E27FC236}">
                  <a16:creationId xmlns:a16="http://schemas.microsoft.com/office/drawing/2014/main" id="{D9E6E95C-E6D7-B74F-9775-109297FB9899}"/>
                </a:ext>
              </a:extLst>
            </xdr:cNvPr>
            <xdr:cNvSpPr txBox="1"/>
          </xdr:nvSpPr>
          <xdr:spPr>
            <a:xfrm>
              <a:off x="16198850" y="10394950"/>
              <a:ext cx="979948" cy="56534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f>
                      <m:fPr>
                        <m:ctrlPr>
                          <a:rPr lang="en-GB" sz="1800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sSub>
                          <m:sSubPr>
                            <m:ctrlPr>
                              <a:rPr lang="en-GB" sz="1800" i="1">
                                <a:latin typeface="Cambria Math" panose="02040503050406030204" pitchFamily="18" charset="0"/>
                              </a:rPr>
                            </m:ctrlPr>
                          </m:sSubPr>
                          <m:e>
                            <m:r>
                              <a:rPr lang="en-GB" sz="1800" b="0" i="1">
                                <a:latin typeface="Cambria Math" panose="02040503050406030204" pitchFamily="18" charset="0"/>
                              </a:rPr>
                              <m:t>𝑉</m:t>
                            </m:r>
                          </m:e>
                          <m:sub>
                            <m:r>
                              <a:rPr lang="en-GB" sz="1800" b="0" i="1">
                                <a:latin typeface="Cambria Math" panose="02040503050406030204" pitchFamily="18" charset="0"/>
                              </a:rPr>
                              <m:t>𝑒</m:t>
                            </m:r>
                          </m:sub>
                        </m:sSub>
                      </m:num>
                      <m:den>
                        <m:sSub>
                          <m:sSubPr>
                            <m:ctrlPr>
                              <a:rPr lang="en-GB" sz="1800" i="1">
                                <a:latin typeface="Cambria Math" panose="02040503050406030204" pitchFamily="18" charset="0"/>
                              </a:rPr>
                            </m:ctrlPr>
                          </m:sSubPr>
                          <m:e>
                            <m:r>
                              <a:rPr lang="en-GB" sz="1800" b="0" i="1">
                                <a:latin typeface="Cambria Math" panose="02040503050406030204" pitchFamily="18" charset="0"/>
                              </a:rPr>
                              <m:t>𝑉</m:t>
                            </m:r>
                          </m:e>
                          <m:sub>
                            <m:r>
                              <a:rPr lang="en-GB" sz="1800" b="0" i="1">
                                <a:latin typeface="Cambria Math" panose="02040503050406030204" pitchFamily="18" charset="0"/>
                              </a:rPr>
                              <m:t>𝑐</m:t>
                            </m:r>
                          </m:sub>
                        </m:sSub>
                      </m:den>
                    </m:f>
                    <m:r>
                      <a:rPr lang="en-GB" sz="180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=</m:t>
                    </m:r>
                    <m:r>
                      <a:rPr lang="en-GB" sz="1800" b="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0.89</m:t>
                    </m:r>
                  </m:oMath>
                </m:oMathPara>
              </a14:m>
              <a:endParaRPr lang="en-GB" sz="1800"/>
            </a:p>
          </xdr:txBody>
        </xdr:sp>
      </mc:Choice>
      <mc:Fallback xmlns="">
        <xdr:sp macro="" textlink="">
          <xdr:nvSpPr>
            <xdr:cNvPr id="10" name="TextBox 9">
              <a:extLst>
                <a:ext uri="{FF2B5EF4-FFF2-40B4-BE49-F238E27FC236}">
                  <a16:creationId xmlns:a16="http://schemas.microsoft.com/office/drawing/2014/main" id="{D9E6E95C-E6D7-B74F-9775-109297FB9899}"/>
                </a:ext>
              </a:extLst>
            </xdr:cNvPr>
            <xdr:cNvSpPr txBox="1"/>
          </xdr:nvSpPr>
          <xdr:spPr>
            <a:xfrm>
              <a:off x="16198850" y="10394950"/>
              <a:ext cx="979948" cy="56534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n-GB" sz="1800" b="0" i="0">
                  <a:latin typeface="Cambria Math" panose="02040503050406030204" pitchFamily="18" charset="0"/>
                </a:rPr>
                <a:t>𝑉_𝑒/𝑉_𝑐 </a:t>
              </a:r>
              <a:r>
                <a:rPr lang="en-GB" sz="1800" i="0">
                  <a:latin typeface="Cambria Math" panose="02040503050406030204" pitchFamily="18" charset="0"/>
                  <a:ea typeface="Cambria Math" panose="02040503050406030204" pitchFamily="18" charset="0"/>
                </a:rPr>
                <a:t>=</a:t>
              </a:r>
              <a:r>
                <a:rPr lang="en-GB" sz="1800" b="0" i="0">
                  <a:latin typeface="Cambria Math" panose="02040503050406030204" pitchFamily="18" charset="0"/>
                  <a:ea typeface="Cambria Math" panose="02040503050406030204" pitchFamily="18" charset="0"/>
                </a:rPr>
                <a:t>0.89</a:t>
              </a:r>
              <a:endParaRPr lang="en-GB" sz="1800"/>
            </a:p>
          </xdr:txBody>
        </xdr:sp>
      </mc:Fallback>
    </mc:AlternateContent>
    <xdr:clientData/>
  </xdr:oneCellAnchor>
  <xdr:oneCellAnchor>
    <xdr:from>
      <xdr:col>23</xdr:col>
      <xdr:colOff>120650</xdr:colOff>
      <xdr:row>51</xdr:row>
      <xdr:rowOff>31750</xdr:rowOff>
    </xdr:from>
    <xdr:ext cx="1044197" cy="565348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1" name="TextBox 10">
              <a:extLst>
                <a:ext uri="{FF2B5EF4-FFF2-40B4-BE49-F238E27FC236}">
                  <a16:creationId xmlns:a16="http://schemas.microsoft.com/office/drawing/2014/main" id="{9FA015BE-1DD4-0B47-96FF-28483FC30C68}"/>
                </a:ext>
              </a:extLst>
            </xdr:cNvPr>
            <xdr:cNvSpPr txBox="1"/>
          </xdr:nvSpPr>
          <xdr:spPr>
            <a:xfrm>
              <a:off x="17659350" y="11309350"/>
              <a:ext cx="1044197" cy="56534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f>
                      <m:fPr>
                        <m:ctrlPr>
                          <a:rPr lang="en-GB" sz="1800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sSub>
                          <m:sSubPr>
                            <m:ctrlPr>
                              <a:rPr lang="en-GB" sz="1800" i="1">
                                <a:latin typeface="Cambria Math" panose="02040503050406030204" pitchFamily="18" charset="0"/>
                              </a:rPr>
                            </m:ctrlPr>
                          </m:sSubPr>
                          <m:e>
                            <m:r>
                              <a:rPr lang="en-GB" sz="1800" b="0" i="1">
                                <a:latin typeface="Cambria Math" panose="02040503050406030204" pitchFamily="18" charset="0"/>
                              </a:rPr>
                              <m:t>𝐻</m:t>
                            </m:r>
                          </m:e>
                          <m:sub>
                            <m:r>
                              <a:rPr lang="en-GB" sz="1800" b="0" i="1">
                                <a:latin typeface="Cambria Math" panose="02040503050406030204" pitchFamily="18" charset="0"/>
                              </a:rPr>
                              <m:t>𝑒</m:t>
                            </m:r>
                          </m:sub>
                        </m:sSub>
                      </m:num>
                      <m:den>
                        <m:sSub>
                          <m:sSubPr>
                            <m:ctrlPr>
                              <a:rPr lang="en-GB" sz="1800" i="1">
                                <a:latin typeface="Cambria Math" panose="02040503050406030204" pitchFamily="18" charset="0"/>
                              </a:rPr>
                            </m:ctrlPr>
                          </m:sSubPr>
                          <m:e>
                            <m:r>
                              <a:rPr lang="en-GB" sz="1800" b="0" i="1">
                                <a:latin typeface="Cambria Math" panose="02040503050406030204" pitchFamily="18" charset="0"/>
                              </a:rPr>
                              <m:t>𝐻</m:t>
                            </m:r>
                          </m:e>
                          <m:sub>
                            <m:r>
                              <a:rPr lang="en-GB" sz="1800" b="0" i="1">
                                <a:latin typeface="Cambria Math" panose="02040503050406030204" pitchFamily="18" charset="0"/>
                              </a:rPr>
                              <m:t>𝑐</m:t>
                            </m:r>
                          </m:sub>
                        </m:sSub>
                      </m:den>
                    </m:f>
                    <m:r>
                      <a:rPr lang="en-GB" sz="180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=</m:t>
                    </m:r>
                    <m:r>
                      <a:rPr lang="en-GB" sz="1800" b="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1.56</m:t>
                    </m:r>
                  </m:oMath>
                </m:oMathPara>
              </a14:m>
              <a:endParaRPr lang="en-GB" sz="1800"/>
            </a:p>
          </xdr:txBody>
        </xdr:sp>
      </mc:Choice>
      <mc:Fallback xmlns="">
        <xdr:sp macro="" textlink="">
          <xdr:nvSpPr>
            <xdr:cNvPr id="11" name="TextBox 10">
              <a:extLst>
                <a:ext uri="{FF2B5EF4-FFF2-40B4-BE49-F238E27FC236}">
                  <a16:creationId xmlns:a16="http://schemas.microsoft.com/office/drawing/2014/main" id="{9FA015BE-1DD4-0B47-96FF-28483FC30C68}"/>
                </a:ext>
              </a:extLst>
            </xdr:cNvPr>
            <xdr:cNvSpPr txBox="1"/>
          </xdr:nvSpPr>
          <xdr:spPr>
            <a:xfrm>
              <a:off x="17659350" y="11309350"/>
              <a:ext cx="1044197" cy="56534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n-GB" sz="1800" b="0" i="0">
                  <a:latin typeface="Cambria Math" panose="02040503050406030204" pitchFamily="18" charset="0"/>
                </a:rPr>
                <a:t>𝐻_𝑒/𝐻_𝑐 </a:t>
              </a:r>
              <a:r>
                <a:rPr lang="en-GB" sz="1800" i="0">
                  <a:latin typeface="Cambria Math" panose="02040503050406030204" pitchFamily="18" charset="0"/>
                  <a:ea typeface="Cambria Math" panose="02040503050406030204" pitchFamily="18" charset="0"/>
                </a:rPr>
                <a:t>=</a:t>
              </a:r>
              <a:r>
                <a:rPr lang="en-GB" sz="1800" b="0" i="0">
                  <a:latin typeface="Cambria Math" panose="02040503050406030204" pitchFamily="18" charset="0"/>
                  <a:ea typeface="Cambria Math" panose="02040503050406030204" pitchFamily="18" charset="0"/>
                </a:rPr>
                <a:t>1.56</a:t>
              </a:r>
              <a:endParaRPr lang="en-GB" sz="1800"/>
            </a:p>
          </xdr:txBody>
        </xdr:sp>
      </mc:Fallback>
    </mc:AlternateContent>
    <xdr:clientData/>
  </xdr:oneCellAnchor>
  <xdr:twoCellAnchor>
    <xdr:from>
      <xdr:col>27</xdr:col>
      <xdr:colOff>336550</xdr:colOff>
      <xdr:row>34</xdr:row>
      <xdr:rowOff>152400</xdr:rowOff>
    </xdr:from>
    <xdr:to>
      <xdr:col>32</xdr:col>
      <xdr:colOff>146050</xdr:colOff>
      <xdr:row>46</xdr:row>
      <xdr:rowOff>165100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4EFB7557-09A8-3078-8094-B2A4E088F8D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oneCellAnchor>
    <xdr:from>
      <xdr:col>24</xdr:col>
      <xdr:colOff>590550</xdr:colOff>
      <xdr:row>47</xdr:row>
      <xdr:rowOff>69850</xdr:rowOff>
    </xdr:from>
    <xdr:ext cx="1012265" cy="565348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" name="TextBox 1">
              <a:extLst>
                <a:ext uri="{FF2B5EF4-FFF2-40B4-BE49-F238E27FC236}">
                  <a16:creationId xmlns:a16="http://schemas.microsoft.com/office/drawing/2014/main" id="{F09C1E2D-92C9-E742-9DB2-765B7138B1D0}"/>
                </a:ext>
              </a:extLst>
            </xdr:cNvPr>
            <xdr:cNvSpPr txBox="1"/>
          </xdr:nvSpPr>
          <xdr:spPr>
            <a:xfrm>
              <a:off x="18891250" y="10534650"/>
              <a:ext cx="1012265" cy="56534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f>
                      <m:fPr>
                        <m:ctrlPr>
                          <a:rPr lang="en-GB" sz="1800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sSub>
                          <m:sSubPr>
                            <m:ctrlPr>
                              <a:rPr lang="en-GB" sz="1800" i="1">
                                <a:latin typeface="Cambria Math" panose="02040503050406030204" pitchFamily="18" charset="0"/>
                              </a:rPr>
                            </m:ctrlPr>
                          </m:sSubPr>
                          <m:e>
                            <m:r>
                              <a:rPr lang="en-GB" sz="1800" b="0" i="1">
                                <a:latin typeface="Cambria Math" panose="02040503050406030204" pitchFamily="18" charset="0"/>
                              </a:rPr>
                              <m:t>𝑉</m:t>
                            </m:r>
                          </m:e>
                          <m:sub>
                            <m:r>
                              <a:rPr lang="en-GB" sz="1800" b="0" i="1">
                                <a:latin typeface="Cambria Math" panose="02040503050406030204" pitchFamily="18" charset="0"/>
                              </a:rPr>
                              <m:t>𝑒</m:t>
                            </m:r>
                          </m:sub>
                        </m:sSub>
                      </m:num>
                      <m:den>
                        <m:sSub>
                          <m:sSubPr>
                            <m:ctrlPr>
                              <a:rPr lang="en-GB" sz="1800" i="1">
                                <a:latin typeface="Cambria Math" panose="02040503050406030204" pitchFamily="18" charset="0"/>
                              </a:rPr>
                            </m:ctrlPr>
                          </m:sSubPr>
                          <m:e>
                            <m:r>
                              <a:rPr lang="en-GB" sz="1800" b="0" i="1">
                                <a:latin typeface="Cambria Math" panose="02040503050406030204" pitchFamily="18" charset="0"/>
                              </a:rPr>
                              <m:t>𝑉</m:t>
                            </m:r>
                          </m:e>
                          <m:sub>
                            <m:r>
                              <a:rPr lang="en-GB" sz="1800" b="0" i="1">
                                <a:latin typeface="Cambria Math" panose="02040503050406030204" pitchFamily="18" charset="0"/>
                              </a:rPr>
                              <m:t>𝑏</m:t>
                            </m:r>
                          </m:sub>
                        </m:sSub>
                      </m:den>
                    </m:f>
                    <m:r>
                      <a:rPr lang="en-GB" sz="180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=</m:t>
                    </m:r>
                    <m:r>
                      <a:rPr lang="en-GB" sz="1800" b="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3.04</m:t>
                    </m:r>
                  </m:oMath>
                </m:oMathPara>
              </a14:m>
              <a:endParaRPr lang="en-GB" sz="1800"/>
            </a:p>
          </xdr:txBody>
        </xdr:sp>
      </mc:Choice>
      <mc:Fallback xmlns="">
        <xdr:sp macro="" textlink="">
          <xdr:nvSpPr>
            <xdr:cNvPr id="2" name="TextBox 1">
              <a:extLst>
                <a:ext uri="{FF2B5EF4-FFF2-40B4-BE49-F238E27FC236}">
                  <a16:creationId xmlns:a16="http://schemas.microsoft.com/office/drawing/2014/main" id="{F09C1E2D-92C9-E742-9DB2-765B7138B1D0}"/>
                </a:ext>
              </a:extLst>
            </xdr:cNvPr>
            <xdr:cNvSpPr txBox="1"/>
          </xdr:nvSpPr>
          <xdr:spPr>
            <a:xfrm>
              <a:off x="18891250" y="10534650"/>
              <a:ext cx="1012265" cy="56534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n-GB" sz="1800" b="0" i="0">
                  <a:latin typeface="Cambria Math" panose="02040503050406030204" pitchFamily="18" charset="0"/>
                </a:rPr>
                <a:t>𝑉_𝑒/𝑉_𝑏 </a:t>
              </a:r>
              <a:r>
                <a:rPr lang="en-GB" sz="1800" i="0">
                  <a:latin typeface="Cambria Math" panose="02040503050406030204" pitchFamily="18" charset="0"/>
                  <a:ea typeface="Cambria Math" panose="02040503050406030204" pitchFamily="18" charset="0"/>
                </a:rPr>
                <a:t>=</a:t>
              </a:r>
              <a:r>
                <a:rPr lang="en-GB" sz="1800" b="0" i="0">
                  <a:latin typeface="Cambria Math" panose="02040503050406030204" pitchFamily="18" charset="0"/>
                  <a:ea typeface="Cambria Math" panose="02040503050406030204" pitchFamily="18" charset="0"/>
                </a:rPr>
                <a:t>3.04</a:t>
              </a:r>
              <a:endParaRPr lang="en-GB" sz="1800"/>
            </a:p>
          </xdr:txBody>
        </xdr:sp>
      </mc:Fallback>
    </mc:AlternateContent>
    <xdr:clientData/>
  </xdr:oneCellAnchor>
  <xdr:twoCellAnchor>
    <xdr:from>
      <xdr:col>37</xdr:col>
      <xdr:colOff>266700</xdr:colOff>
      <xdr:row>2</xdr:row>
      <xdr:rowOff>127000</xdr:rowOff>
    </xdr:from>
    <xdr:to>
      <xdr:col>44</xdr:col>
      <xdr:colOff>304800</xdr:colOff>
      <xdr:row>29</xdr:row>
      <xdr:rowOff>12700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B9E43D06-A2C4-563F-BBF0-9E6BDA082A2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32</xdr:col>
      <xdr:colOff>635000</xdr:colOff>
      <xdr:row>36</xdr:row>
      <xdr:rowOff>63500</xdr:rowOff>
    </xdr:from>
    <xdr:to>
      <xdr:col>36</xdr:col>
      <xdr:colOff>457200</xdr:colOff>
      <xdr:row>38</xdr:row>
      <xdr:rowOff>190500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ADF3D81B-19C9-3894-A1DB-E40079A445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6835100" y="8407400"/>
          <a:ext cx="3124200" cy="533400"/>
        </a:xfrm>
        <a:prstGeom prst="rect">
          <a:avLst/>
        </a:prstGeom>
      </xdr:spPr>
    </xdr:pic>
    <xdr:clientData/>
  </xdr:twoCellAnchor>
  <xdr:oneCellAnchor>
    <xdr:from>
      <xdr:col>32</xdr:col>
      <xdr:colOff>711200</xdr:colOff>
      <xdr:row>39</xdr:row>
      <xdr:rowOff>146050</xdr:rowOff>
    </xdr:from>
    <xdr:ext cx="2563522" cy="464038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9" name="TextBox 8">
              <a:extLst>
                <a:ext uri="{FF2B5EF4-FFF2-40B4-BE49-F238E27FC236}">
                  <a16:creationId xmlns:a16="http://schemas.microsoft.com/office/drawing/2014/main" id="{6187D738-B5F8-8957-8D43-0E8043AC6E90}"/>
                </a:ext>
              </a:extLst>
            </xdr:cNvPr>
            <xdr:cNvSpPr txBox="1"/>
          </xdr:nvSpPr>
          <xdr:spPr>
            <a:xfrm>
              <a:off x="26911300" y="9099550"/>
              <a:ext cx="2563522" cy="46403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f>
                      <m:fPr>
                        <m:ctrlPr>
                          <a:rPr lang="en-GB" sz="1400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sSub>
                          <m:sSubPr>
                            <m:ctrlPr>
                              <a:rPr lang="en-GB" sz="1400" i="1">
                                <a:latin typeface="Cambria Math" panose="02040503050406030204" pitchFamily="18" charset="0"/>
                              </a:rPr>
                            </m:ctrlPr>
                          </m:sSubPr>
                          <m:e>
                            <m:r>
                              <a:rPr lang="en-GB" sz="1400" b="0" i="1">
                                <a:latin typeface="Cambria Math" panose="02040503050406030204" pitchFamily="18" charset="0"/>
                              </a:rPr>
                              <m:t>𝑅</m:t>
                            </m:r>
                          </m:e>
                          <m:sub>
                            <m:r>
                              <a:rPr lang="en-GB" sz="1400" b="0" i="1">
                                <a:latin typeface="Cambria Math" panose="02040503050406030204" pitchFamily="18" charset="0"/>
                              </a:rPr>
                              <m:t>𝑎</m:t>
                            </m:r>
                          </m:sub>
                        </m:sSub>
                      </m:num>
                      <m:den>
                        <m:r>
                          <a:rPr lang="en-GB" sz="1400" b="0" i="1">
                            <a:latin typeface="Cambria Math" panose="02040503050406030204" pitchFamily="18" charset="0"/>
                          </a:rPr>
                          <m:t>(0.46+</m:t>
                        </m:r>
                        <m:sSub>
                          <m:sSubPr>
                            <m:ctrlPr>
                              <a:rPr lang="en-GB" sz="1400" b="0" i="1">
                                <a:latin typeface="Cambria Math" panose="02040503050406030204" pitchFamily="18" charset="0"/>
                              </a:rPr>
                            </m:ctrlPr>
                          </m:sSubPr>
                          <m:e>
                            <m:r>
                              <a:rPr lang="en-GB" sz="1400" b="0" i="1">
                                <a:latin typeface="Cambria Math" panose="02040503050406030204" pitchFamily="18" charset="0"/>
                              </a:rPr>
                              <m:t>0.027</m:t>
                            </m:r>
                            <m:r>
                              <a:rPr lang="en-GB" sz="1400" b="0" i="1">
                                <a:latin typeface="Cambria Math" panose="02040503050406030204" pitchFamily="18" charset="0"/>
                              </a:rPr>
                              <m:t>𝑃</m:t>
                            </m:r>
                          </m:e>
                          <m:sub>
                            <m:r>
                              <a:rPr lang="en-GB" sz="1400" b="0" i="1">
                                <a:latin typeface="Cambria Math" panose="02040503050406030204" pitchFamily="18" charset="0"/>
                              </a:rPr>
                              <m:t>𝑐𝑗</m:t>
                            </m:r>
                          </m:sub>
                        </m:sSub>
                        <m:r>
                          <a:rPr lang="en-GB" sz="1400" b="0" i="1">
                            <a:latin typeface="Cambria Math" panose="02040503050406030204" pitchFamily="18" charset="0"/>
                          </a:rPr>
                          <m:t>)</m:t>
                        </m:r>
                      </m:den>
                    </m:f>
                    <m:r>
                      <a:rPr lang="en-GB" sz="140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=</m:t>
                    </m:r>
                    <m:sSup>
                      <m:sSupPr>
                        <m:ctrlPr>
                          <a:rPr lang="en-GB" sz="140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</m:ctrlPr>
                      </m:sSupPr>
                      <m:e>
                        <m:d>
                          <m:dPr>
                            <m:ctrlPr>
                              <a:rPr lang="en-GB" sz="140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</m:ctrlPr>
                          </m:dPr>
                          <m:e>
                            <m:sSub>
                              <m:sSubPr>
                                <m:ctrlPr>
                                  <a:rPr lang="en-GB" sz="1400" i="1">
                                    <a:latin typeface="Cambria Math" panose="02040503050406030204" pitchFamily="18" charset="0"/>
                                    <a:ea typeface="Cambria Math" panose="02040503050406030204" pitchFamily="18" charset="0"/>
                                  </a:rPr>
                                </m:ctrlPr>
                              </m:sSubPr>
                              <m:e>
                                <m:r>
                                  <a:rPr lang="en-GB" sz="1400" b="0" i="1">
                                    <a:latin typeface="Cambria Math" panose="02040503050406030204" pitchFamily="18" charset="0"/>
                                    <a:ea typeface="Cambria Math" panose="02040503050406030204" pitchFamily="18" charset="0"/>
                                  </a:rPr>
                                  <m:t>2</m:t>
                                </m:r>
                                <m:r>
                                  <a:rPr lang="en-GB" sz="1400" b="0" i="1">
                                    <a:latin typeface="Cambria Math" panose="02040503050406030204" pitchFamily="18" charset="0"/>
                                    <a:ea typeface="Cambria Math" panose="02040503050406030204" pitchFamily="18" charset="0"/>
                                  </a:rPr>
                                  <m:t>𝐸</m:t>
                                </m:r>
                              </m:e>
                              <m:sub>
                                <m:r>
                                  <a:rPr lang="en-GB" sz="1400" b="0" i="1">
                                    <a:latin typeface="Cambria Math" panose="02040503050406030204" pitchFamily="18" charset="0"/>
                                    <a:ea typeface="Cambria Math" panose="02040503050406030204" pitchFamily="18" charset="0"/>
                                  </a:rPr>
                                  <m:t>𝐶𝑅</m:t>
                                </m:r>
                              </m:sub>
                            </m:sSub>
                            <m:r>
                              <a:rPr lang="en-GB" sz="1400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  <m:t>𝑊</m:t>
                            </m:r>
                          </m:e>
                        </m:d>
                      </m:e>
                      <m:sup>
                        <m:r>
                          <a:rPr lang="en-GB" sz="14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1/3</m:t>
                        </m:r>
                      </m:sup>
                    </m:sSup>
                  </m:oMath>
                </m:oMathPara>
              </a14:m>
              <a:endParaRPr lang="en-GB" sz="1400"/>
            </a:p>
          </xdr:txBody>
        </xdr:sp>
      </mc:Choice>
      <mc:Fallback xmlns="">
        <xdr:sp macro="" textlink="">
          <xdr:nvSpPr>
            <xdr:cNvPr id="9" name="TextBox 8">
              <a:extLst>
                <a:ext uri="{FF2B5EF4-FFF2-40B4-BE49-F238E27FC236}">
                  <a16:creationId xmlns:a16="http://schemas.microsoft.com/office/drawing/2014/main" id="{6187D738-B5F8-8957-8D43-0E8043AC6E90}"/>
                </a:ext>
              </a:extLst>
            </xdr:cNvPr>
            <xdr:cNvSpPr txBox="1"/>
          </xdr:nvSpPr>
          <xdr:spPr>
            <a:xfrm>
              <a:off x="26911300" y="9099550"/>
              <a:ext cx="2563522" cy="46403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en-GB" sz="1400" b="0" i="0">
                  <a:latin typeface="Cambria Math" panose="02040503050406030204" pitchFamily="18" charset="0"/>
                </a:rPr>
                <a:t>𝑅_𝑎/((0.46+〖0.027𝑃〗_𝑐𝑗))</a:t>
              </a:r>
              <a:r>
                <a:rPr lang="en-GB" sz="1400" i="0">
                  <a:latin typeface="Cambria Math" panose="02040503050406030204" pitchFamily="18" charset="0"/>
                  <a:ea typeface="Cambria Math" panose="02040503050406030204" pitchFamily="18" charset="0"/>
                </a:rPr>
                <a:t>=(〖</a:t>
              </a:r>
              <a:r>
                <a:rPr lang="en-GB" sz="1400" b="0" i="0">
                  <a:latin typeface="Cambria Math" panose="02040503050406030204" pitchFamily="18" charset="0"/>
                  <a:ea typeface="Cambria Math" panose="02040503050406030204" pitchFamily="18" charset="0"/>
                </a:rPr>
                <a:t>2𝐸〗_𝐶𝑅 𝑊)^(1/3)</a:t>
              </a:r>
              <a:endParaRPr lang="en-GB" sz="1400"/>
            </a:p>
          </xdr:txBody>
        </xdr:sp>
      </mc:Fallback>
    </mc:AlternateContent>
    <xdr:clientData/>
  </xdr:oneCellAnchor>
  <xdr:oneCellAnchor>
    <xdr:from>
      <xdr:col>32</xdr:col>
      <xdr:colOff>723900</xdr:colOff>
      <xdr:row>43</xdr:row>
      <xdr:rowOff>0</xdr:rowOff>
    </xdr:from>
    <xdr:ext cx="2484206" cy="531171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2" name="TextBox 11">
              <a:extLst>
                <a:ext uri="{FF2B5EF4-FFF2-40B4-BE49-F238E27FC236}">
                  <a16:creationId xmlns:a16="http://schemas.microsoft.com/office/drawing/2014/main" id="{83834C26-99BC-4846-8762-1E97DDE9E42B}"/>
                </a:ext>
              </a:extLst>
            </xdr:cNvPr>
            <xdr:cNvSpPr txBox="1"/>
          </xdr:nvSpPr>
          <xdr:spPr>
            <a:xfrm>
              <a:off x="26924000" y="9912350"/>
              <a:ext cx="2484206" cy="531171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p>
                      <m:sSupPr>
                        <m:ctrlPr>
                          <a:rPr lang="en-GB" sz="1400" i="1">
                            <a:latin typeface="Cambria Math" panose="02040503050406030204" pitchFamily="18" charset="0"/>
                          </a:rPr>
                        </m:ctrlPr>
                      </m:sSupPr>
                      <m:e>
                        <m:d>
                          <m:dPr>
                            <m:ctrlPr>
                              <a:rPr lang="en-GB" sz="1400" i="1">
                                <a:latin typeface="Cambria Math" panose="02040503050406030204" pitchFamily="18" charset="0"/>
                              </a:rPr>
                            </m:ctrlPr>
                          </m:dPr>
                          <m:e>
                            <m:f>
                              <m:fPr>
                                <m:ctrlPr>
                                  <a:rPr lang="en-GB" sz="1400" i="1">
                                    <a:latin typeface="Cambria Math" panose="02040503050406030204" pitchFamily="18" charset="0"/>
                                  </a:rPr>
                                </m:ctrlPr>
                              </m:fPr>
                              <m:num>
                                <m:sSub>
                                  <m:sSubPr>
                                    <m:ctrlPr>
                                      <a:rPr lang="en-GB" sz="1400" i="1">
                                        <a:latin typeface="Cambria Math" panose="02040503050406030204" pitchFamily="18" charset="0"/>
                                      </a:rPr>
                                    </m:ctrlPr>
                                  </m:sSubPr>
                                  <m:e>
                                    <m:r>
                                      <a:rPr lang="en-GB" sz="1400" b="0" i="1">
                                        <a:latin typeface="Cambria Math" panose="02040503050406030204" pitchFamily="18" charset="0"/>
                                      </a:rPr>
                                      <m:t>𝑅</m:t>
                                    </m:r>
                                  </m:e>
                                  <m:sub>
                                    <m:r>
                                      <a:rPr lang="en-GB" sz="1400" b="0" i="1">
                                        <a:latin typeface="Cambria Math" panose="02040503050406030204" pitchFamily="18" charset="0"/>
                                      </a:rPr>
                                      <m:t>𝑎</m:t>
                                    </m:r>
                                  </m:sub>
                                </m:sSub>
                              </m:num>
                              <m:den>
                                <m:r>
                                  <a:rPr lang="en-GB" sz="1400" b="0" i="1">
                                    <a:latin typeface="Cambria Math" panose="02040503050406030204" pitchFamily="18" charset="0"/>
                                  </a:rPr>
                                  <m:t>(0.46+</m:t>
                                </m:r>
                                <m:sSub>
                                  <m:sSubPr>
                                    <m:ctrlPr>
                                      <a:rPr lang="en-GB" sz="1400" b="0" i="1">
                                        <a:latin typeface="Cambria Math" panose="02040503050406030204" pitchFamily="18" charset="0"/>
                                      </a:rPr>
                                    </m:ctrlPr>
                                  </m:sSubPr>
                                  <m:e>
                                    <m:r>
                                      <a:rPr lang="en-GB" sz="1400" b="0" i="1">
                                        <a:latin typeface="Cambria Math" panose="02040503050406030204" pitchFamily="18" charset="0"/>
                                      </a:rPr>
                                      <m:t>0.027</m:t>
                                    </m:r>
                                    <m:r>
                                      <a:rPr lang="en-GB" sz="1400" b="0" i="1">
                                        <a:latin typeface="Cambria Math" panose="02040503050406030204" pitchFamily="18" charset="0"/>
                                      </a:rPr>
                                      <m:t>𝑃</m:t>
                                    </m:r>
                                  </m:e>
                                  <m:sub>
                                    <m:r>
                                      <a:rPr lang="en-GB" sz="1400" b="0" i="1">
                                        <a:latin typeface="Cambria Math" panose="02040503050406030204" pitchFamily="18" charset="0"/>
                                      </a:rPr>
                                      <m:t>𝑐𝑗</m:t>
                                    </m:r>
                                  </m:sub>
                                </m:sSub>
                                <m:r>
                                  <a:rPr lang="en-GB" sz="1400" b="0" i="1">
                                    <a:latin typeface="Cambria Math" panose="02040503050406030204" pitchFamily="18" charset="0"/>
                                  </a:rPr>
                                  <m:t>)</m:t>
                                </m:r>
                              </m:den>
                            </m:f>
                          </m:e>
                        </m:d>
                      </m:e>
                      <m:sup>
                        <m:r>
                          <a:rPr lang="en-GB" sz="1400" b="0" i="1">
                            <a:latin typeface="Cambria Math" panose="02040503050406030204" pitchFamily="18" charset="0"/>
                          </a:rPr>
                          <m:t>3</m:t>
                        </m:r>
                      </m:sup>
                    </m:sSup>
                    <m:r>
                      <a:rPr lang="en-GB" sz="140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=</m:t>
                    </m:r>
                    <m:sSub>
                      <m:sSubPr>
                        <m:ctrlPr>
                          <a:rPr lang="en-GB" sz="140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n-GB" sz="14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2</m:t>
                        </m:r>
                        <m:r>
                          <a:rPr lang="en-GB" sz="14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𝐸</m:t>
                        </m:r>
                      </m:e>
                      <m:sub>
                        <m:r>
                          <a:rPr lang="en-GB" sz="14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𝐶𝑅</m:t>
                        </m:r>
                      </m:sub>
                    </m:sSub>
                    <m:r>
                      <a:rPr lang="en-GB" sz="1400" b="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𝑊</m:t>
                    </m:r>
                  </m:oMath>
                </m:oMathPara>
              </a14:m>
              <a:endParaRPr lang="en-GB" sz="1400"/>
            </a:p>
          </xdr:txBody>
        </xdr:sp>
      </mc:Choice>
      <mc:Fallback xmlns="">
        <xdr:sp macro="" textlink="">
          <xdr:nvSpPr>
            <xdr:cNvPr id="12" name="TextBox 11">
              <a:extLst>
                <a:ext uri="{FF2B5EF4-FFF2-40B4-BE49-F238E27FC236}">
                  <a16:creationId xmlns:a16="http://schemas.microsoft.com/office/drawing/2014/main" id="{83834C26-99BC-4846-8762-1E97DDE9E42B}"/>
                </a:ext>
              </a:extLst>
            </xdr:cNvPr>
            <xdr:cNvSpPr txBox="1"/>
          </xdr:nvSpPr>
          <xdr:spPr>
            <a:xfrm>
              <a:off x="26924000" y="9912350"/>
              <a:ext cx="2484206" cy="531171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en-GB" sz="1400" i="0">
                  <a:latin typeface="Cambria Math" panose="02040503050406030204" pitchFamily="18" charset="0"/>
                </a:rPr>
                <a:t>(</a:t>
              </a:r>
              <a:r>
                <a:rPr lang="en-GB" sz="1400" b="0" i="0">
                  <a:latin typeface="Cambria Math" panose="02040503050406030204" pitchFamily="18" charset="0"/>
                </a:rPr>
                <a:t>𝑅_𝑎/((0.46+〖0.027𝑃〗_𝑐𝑗)))^3</a:t>
              </a:r>
              <a:r>
                <a:rPr lang="en-GB" sz="1400" i="0">
                  <a:latin typeface="Cambria Math" panose="02040503050406030204" pitchFamily="18" charset="0"/>
                  <a:ea typeface="Cambria Math" panose="02040503050406030204" pitchFamily="18" charset="0"/>
                </a:rPr>
                <a:t>=〖</a:t>
              </a:r>
              <a:r>
                <a:rPr lang="en-GB" sz="1400" b="0" i="0">
                  <a:latin typeface="Cambria Math" panose="02040503050406030204" pitchFamily="18" charset="0"/>
                  <a:ea typeface="Cambria Math" panose="02040503050406030204" pitchFamily="18" charset="0"/>
                </a:rPr>
                <a:t>2𝐸〗_𝐶𝑅 𝑊</a:t>
              </a:r>
              <a:endParaRPr lang="en-GB" sz="1400"/>
            </a:p>
          </xdr:txBody>
        </xdr:sp>
      </mc:Fallback>
    </mc:AlternateContent>
    <xdr:clientData/>
  </xdr:oneCellAnchor>
  <xdr:oneCellAnchor>
    <xdr:from>
      <xdr:col>32</xdr:col>
      <xdr:colOff>698500</xdr:colOff>
      <xdr:row>46</xdr:row>
      <xdr:rowOff>146050</xdr:rowOff>
    </xdr:from>
    <xdr:ext cx="2219646" cy="73699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3" name="TextBox 12">
              <a:extLst>
                <a:ext uri="{FF2B5EF4-FFF2-40B4-BE49-F238E27FC236}">
                  <a16:creationId xmlns:a16="http://schemas.microsoft.com/office/drawing/2014/main" id="{0ED2AFA8-C07D-0946-8C11-3F748280D774}"/>
                </a:ext>
              </a:extLst>
            </xdr:cNvPr>
            <xdr:cNvSpPr txBox="1"/>
          </xdr:nvSpPr>
          <xdr:spPr>
            <a:xfrm>
              <a:off x="26898600" y="10814050"/>
              <a:ext cx="2219646" cy="73699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f>
                      <m:fPr>
                        <m:ctrlPr>
                          <a:rPr lang="en-GB" sz="1400" b="0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sSup>
                          <m:sSupPr>
                            <m:ctrlPr>
                              <a:rPr lang="en-GB" sz="1400" i="1">
                                <a:latin typeface="Cambria Math" panose="02040503050406030204" pitchFamily="18" charset="0"/>
                              </a:rPr>
                            </m:ctrlPr>
                          </m:sSupPr>
                          <m:e>
                            <m:d>
                              <m:dPr>
                                <m:ctrlPr>
                                  <a:rPr lang="en-GB" sz="1400" i="1">
                                    <a:latin typeface="Cambria Math" panose="02040503050406030204" pitchFamily="18" charset="0"/>
                                  </a:rPr>
                                </m:ctrlPr>
                              </m:dPr>
                              <m:e>
                                <m:f>
                                  <m:fPr>
                                    <m:ctrlPr>
                                      <a:rPr lang="en-GB" sz="1400" i="1">
                                        <a:latin typeface="Cambria Math" panose="02040503050406030204" pitchFamily="18" charset="0"/>
                                      </a:rPr>
                                    </m:ctrlPr>
                                  </m:fPr>
                                  <m:num>
                                    <m:sSub>
                                      <m:sSubPr>
                                        <m:ctrlPr>
                                          <a:rPr lang="en-GB" sz="1400" i="1">
                                            <a:latin typeface="Cambria Math" panose="02040503050406030204" pitchFamily="18" charset="0"/>
                                          </a:rPr>
                                        </m:ctrlPr>
                                      </m:sSubPr>
                                      <m:e>
                                        <m:r>
                                          <a:rPr lang="en-GB" sz="1400" b="0" i="1">
                                            <a:latin typeface="Cambria Math" panose="02040503050406030204" pitchFamily="18" charset="0"/>
                                          </a:rPr>
                                          <m:t>𝑅</m:t>
                                        </m:r>
                                      </m:e>
                                      <m:sub>
                                        <m:r>
                                          <a:rPr lang="en-GB" sz="1400" b="0" i="1">
                                            <a:latin typeface="Cambria Math" panose="02040503050406030204" pitchFamily="18" charset="0"/>
                                          </a:rPr>
                                          <m:t>𝑎</m:t>
                                        </m:r>
                                      </m:sub>
                                    </m:sSub>
                                  </m:num>
                                  <m:den>
                                    <m:d>
                                      <m:dPr>
                                        <m:ctrlPr>
                                          <a:rPr lang="en-GB" sz="1400" b="0" i="1">
                                            <a:latin typeface="Cambria Math" panose="02040503050406030204" pitchFamily="18" charset="0"/>
                                          </a:rPr>
                                        </m:ctrlPr>
                                      </m:dPr>
                                      <m:e>
                                        <m:r>
                                          <a:rPr lang="en-GB" sz="1400" b="0" i="1">
                                            <a:latin typeface="Cambria Math" panose="02040503050406030204" pitchFamily="18" charset="0"/>
                                          </a:rPr>
                                          <m:t>0.46+</m:t>
                                        </m:r>
                                        <m:sSub>
                                          <m:sSubPr>
                                            <m:ctrlPr>
                                              <a:rPr lang="en-GB" sz="1400" b="0" i="1">
                                                <a:latin typeface="Cambria Math" panose="02040503050406030204" pitchFamily="18" charset="0"/>
                                              </a:rPr>
                                            </m:ctrlPr>
                                          </m:sSubPr>
                                          <m:e>
                                            <m:r>
                                              <a:rPr lang="en-GB" sz="1400" b="0" i="1">
                                                <a:latin typeface="Cambria Math" panose="02040503050406030204" pitchFamily="18" charset="0"/>
                                              </a:rPr>
                                              <m:t>0.027</m:t>
                                            </m:r>
                                            <m:r>
                                              <a:rPr lang="en-GB" sz="1400" b="0" i="1">
                                                <a:latin typeface="Cambria Math" panose="02040503050406030204" pitchFamily="18" charset="0"/>
                                              </a:rPr>
                                              <m:t>𝑃</m:t>
                                            </m:r>
                                          </m:e>
                                          <m:sub>
                                            <m:r>
                                              <a:rPr lang="en-GB" sz="1400" b="0" i="1">
                                                <a:latin typeface="Cambria Math" panose="02040503050406030204" pitchFamily="18" charset="0"/>
                                              </a:rPr>
                                              <m:t>𝑐𝑗</m:t>
                                            </m:r>
                                          </m:sub>
                                        </m:sSub>
                                      </m:e>
                                    </m:d>
                                  </m:den>
                                </m:f>
                              </m:e>
                            </m:d>
                          </m:e>
                          <m:sup>
                            <m:r>
                              <a:rPr lang="en-GB" sz="1400" b="0" i="1">
                                <a:latin typeface="Cambria Math" panose="02040503050406030204" pitchFamily="18" charset="0"/>
                              </a:rPr>
                              <m:t>3</m:t>
                            </m:r>
                          </m:sup>
                        </m:sSup>
                      </m:num>
                      <m:den>
                        <m:r>
                          <a:rPr lang="en-GB" sz="1400" b="0" i="1">
                            <a:latin typeface="Cambria Math" panose="02040503050406030204" pitchFamily="18" charset="0"/>
                          </a:rPr>
                          <m:t>2</m:t>
                        </m:r>
                        <m:r>
                          <a:rPr lang="en-GB" sz="1400" b="0" i="1">
                            <a:latin typeface="Cambria Math" panose="02040503050406030204" pitchFamily="18" charset="0"/>
                          </a:rPr>
                          <m:t>𝑊</m:t>
                        </m:r>
                      </m:den>
                    </m:f>
                    <m:r>
                      <a:rPr lang="en-GB" sz="140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=</m:t>
                    </m:r>
                    <m:sSub>
                      <m:sSubPr>
                        <m:ctrlPr>
                          <a:rPr lang="en-GB" sz="140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n-GB" sz="14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𝐸</m:t>
                        </m:r>
                      </m:e>
                      <m:sub>
                        <m:r>
                          <a:rPr lang="en-GB" sz="14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𝐶𝑅</m:t>
                        </m:r>
                      </m:sub>
                    </m:sSub>
                  </m:oMath>
                </m:oMathPara>
              </a14:m>
              <a:endParaRPr lang="en-GB" sz="1400"/>
            </a:p>
          </xdr:txBody>
        </xdr:sp>
      </mc:Choice>
      <mc:Fallback xmlns="">
        <xdr:sp macro="" textlink="">
          <xdr:nvSpPr>
            <xdr:cNvPr id="13" name="TextBox 12">
              <a:extLst>
                <a:ext uri="{FF2B5EF4-FFF2-40B4-BE49-F238E27FC236}">
                  <a16:creationId xmlns:a16="http://schemas.microsoft.com/office/drawing/2014/main" id="{0ED2AFA8-C07D-0946-8C11-3F748280D774}"/>
                </a:ext>
              </a:extLst>
            </xdr:cNvPr>
            <xdr:cNvSpPr txBox="1"/>
          </xdr:nvSpPr>
          <xdr:spPr>
            <a:xfrm>
              <a:off x="26898600" y="10814050"/>
              <a:ext cx="2219646" cy="73699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en-GB" sz="1400" i="0">
                  <a:latin typeface="Cambria Math" panose="02040503050406030204" pitchFamily="18" charset="0"/>
                </a:rPr>
                <a:t>(</a:t>
              </a:r>
              <a:r>
                <a:rPr lang="en-GB" sz="1400" b="0" i="0">
                  <a:latin typeface="Cambria Math" panose="02040503050406030204" pitchFamily="18" charset="0"/>
                </a:rPr>
                <a:t>𝑅_𝑎/((0.46+〖0.027𝑃〗_𝑐𝑗 ) ))^3/2𝑊</a:t>
              </a:r>
              <a:r>
                <a:rPr lang="en-GB" sz="1400" i="0">
                  <a:latin typeface="Cambria Math" panose="02040503050406030204" pitchFamily="18" charset="0"/>
                  <a:ea typeface="Cambria Math" panose="02040503050406030204" pitchFamily="18" charset="0"/>
                </a:rPr>
                <a:t>=</a:t>
              </a:r>
              <a:r>
                <a:rPr lang="en-GB" sz="1400" b="0" i="0">
                  <a:latin typeface="Cambria Math" panose="02040503050406030204" pitchFamily="18" charset="0"/>
                  <a:ea typeface="Cambria Math" panose="02040503050406030204" pitchFamily="18" charset="0"/>
                </a:rPr>
                <a:t>𝐸_𝐶𝑅</a:t>
              </a:r>
              <a:endParaRPr lang="en-GB" sz="1400"/>
            </a:p>
          </xdr:txBody>
        </xdr:sp>
      </mc:Fallback>
    </mc:AlternateContent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126844</xdr:colOff>
      <xdr:row>0</xdr:row>
      <xdr:rowOff>88900</xdr:rowOff>
    </xdr:from>
    <xdr:to>
      <xdr:col>10</xdr:col>
      <xdr:colOff>444500</xdr:colOff>
      <xdr:row>14</xdr:row>
      <xdr:rowOff>167777</xdr:rowOff>
    </xdr:to>
    <xdr:pic>
      <xdr:nvPicPr>
        <xdr:cNvPr id="2" name="Picture 1" descr="A math equations and numbers&#10;&#10;Description automatically generated with medium confidence">
          <a:extLst>
            <a:ext uri="{FF2B5EF4-FFF2-40B4-BE49-F238E27FC236}">
              <a16:creationId xmlns:a16="http://schemas.microsoft.com/office/drawing/2014/main" id="{3BB1FCB9-A01D-2D4C-208F-8E80C65C62B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536" r="4963" b="4669"/>
        <a:stretch/>
      </xdr:blipFill>
      <xdr:spPr>
        <a:xfrm>
          <a:off x="3746344" y="88900"/>
          <a:ext cx="5270656" cy="3164977"/>
        </a:xfrm>
        <a:prstGeom prst="rect">
          <a:avLst/>
        </a:prstGeom>
        <a:ln w="57150">
          <a:solidFill>
            <a:schemeClr val="tx1"/>
          </a:solidFill>
        </a:ln>
      </xdr:spPr>
    </xdr:pic>
    <xdr:clientData/>
  </xdr:twoCellAnchor>
  <xdr:twoCellAnchor editAs="oneCell">
    <xdr:from>
      <xdr:col>0</xdr:col>
      <xdr:colOff>139700</xdr:colOff>
      <xdr:row>46</xdr:row>
      <xdr:rowOff>76200</xdr:rowOff>
    </xdr:from>
    <xdr:to>
      <xdr:col>5</xdr:col>
      <xdr:colOff>812800</xdr:colOff>
      <xdr:row>58</xdr:row>
      <xdr:rowOff>14745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4A10906-EE77-6E98-FF99-D1F27CB685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9700" y="9690100"/>
          <a:ext cx="5118100" cy="2376945"/>
        </a:xfrm>
        <a:prstGeom prst="rect">
          <a:avLst/>
        </a:prstGeom>
      </xdr:spPr>
    </xdr:pic>
    <xdr:clientData/>
  </xdr:twoCellAnchor>
  <xdr:twoCellAnchor editAs="oneCell">
    <xdr:from>
      <xdr:col>0</xdr:col>
      <xdr:colOff>165100</xdr:colOff>
      <xdr:row>16</xdr:row>
      <xdr:rowOff>127001</xdr:rowOff>
    </xdr:from>
    <xdr:to>
      <xdr:col>8</xdr:col>
      <xdr:colOff>165100</xdr:colOff>
      <xdr:row>46</xdr:row>
      <xdr:rowOff>76201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8F962793-077B-9656-97C0-3EE7299770C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4412" t="1811" r="6536" b="2391"/>
        <a:stretch/>
      </xdr:blipFill>
      <xdr:spPr>
        <a:xfrm>
          <a:off x="165100" y="3644901"/>
          <a:ext cx="6921500" cy="6045200"/>
        </a:xfrm>
        <a:prstGeom prst="rect">
          <a:avLst/>
        </a:prstGeom>
      </xdr:spPr>
    </xdr:pic>
    <xdr:clientData/>
  </xdr:twoCellAnchor>
  <xdr:twoCellAnchor editAs="oneCell">
    <xdr:from>
      <xdr:col>8</xdr:col>
      <xdr:colOff>279400</xdr:colOff>
      <xdr:row>15</xdr:row>
      <xdr:rowOff>165100</xdr:rowOff>
    </xdr:from>
    <xdr:to>
      <xdr:col>14</xdr:col>
      <xdr:colOff>114300</xdr:colOff>
      <xdr:row>50</xdr:row>
      <xdr:rowOff>101600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E48403BC-2BFA-2039-9FAD-EFF5304FBF7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3297" r="3956"/>
        <a:stretch/>
      </xdr:blipFill>
      <xdr:spPr>
        <a:xfrm>
          <a:off x="7200900" y="3479800"/>
          <a:ext cx="5359400" cy="7048500"/>
        </a:xfrm>
        <a:prstGeom prst="rect">
          <a:avLst/>
        </a:prstGeom>
      </xdr:spPr>
    </xdr:pic>
    <xdr:clientData/>
  </xdr:twoCellAnchor>
  <xdr:twoCellAnchor editAs="oneCell">
    <xdr:from>
      <xdr:col>8</xdr:col>
      <xdr:colOff>330200</xdr:colOff>
      <xdr:row>51</xdr:row>
      <xdr:rowOff>12700</xdr:rowOff>
    </xdr:from>
    <xdr:to>
      <xdr:col>14</xdr:col>
      <xdr:colOff>177800</xdr:colOff>
      <xdr:row>62</xdr:row>
      <xdr:rowOff>76200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404383F1-96BA-A5F0-69A9-C54F979B73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251700" y="10642600"/>
          <a:ext cx="5372100" cy="2298700"/>
        </a:xfrm>
        <a:prstGeom prst="rect">
          <a:avLst/>
        </a:prstGeom>
      </xdr:spPr>
    </xdr:pic>
    <xdr:clientData/>
  </xdr:twoCellAnchor>
  <xdr:twoCellAnchor editAs="oneCell">
    <xdr:from>
      <xdr:col>14</xdr:col>
      <xdr:colOff>215900</xdr:colOff>
      <xdr:row>16</xdr:row>
      <xdr:rowOff>23678</xdr:rowOff>
    </xdr:from>
    <xdr:to>
      <xdr:col>20</xdr:col>
      <xdr:colOff>55168</xdr:colOff>
      <xdr:row>23</xdr:row>
      <xdr:rowOff>190500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F3534F4A-A12A-2C77-9C4F-B413CC60A2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2661900" y="3541578"/>
          <a:ext cx="4792268" cy="1589222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09ECB6-8784-9C4F-BE5F-BF6A175B02CE}">
  <dimension ref="A1:AP66"/>
  <sheetViews>
    <sheetView tabSelected="1" zoomScaleNormal="100" workbookViewId="0">
      <selection sqref="A1:T45"/>
    </sheetView>
  </sheetViews>
  <sheetFormatPr baseColWidth="10" defaultRowHeight="16" x14ac:dyDescent="0.2"/>
  <cols>
    <col min="1" max="1" width="28.1640625" style="2" bestFit="1" customWidth="1"/>
    <col min="3" max="3" width="9.6640625" customWidth="1"/>
    <col min="4" max="4" width="9.5" customWidth="1"/>
    <col min="5" max="5" width="6.5" customWidth="1"/>
    <col min="6" max="6" width="9.33203125" style="1" customWidth="1"/>
    <col min="7" max="7" width="13" customWidth="1"/>
    <col min="8" max="10" width="9.6640625" style="3" customWidth="1"/>
    <col min="11" max="11" width="11.83203125" style="9" customWidth="1"/>
    <col min="12" max="12" width="12" style="9" customWidth="1"/>
    <col min="13" max="13" width="10.33203125" style="9" customWidth="1"/>
    <col min="14" max="16" width="8.5" style="9" customWidth="1"/>
    <col min="17" max="18" width="6.83203125" style="22" customWidth="1"/>
    <col min="19" max="20" width="7.5" style="22" bestFit="1" customWidth="1"/>
    <col min="23" max="23" width="12.33203125" customWidth="1"/>
    <col min="24" max="24" width="10" customWidth="1"/>
    <col min="25" max="25" width="12.6640625" customWidth="1"/>
    <col min="28" max="28" width="12.6640625" style="24" customWidth="1"/>
    <col min="29" max="31" width="13" style="24" customWidth="1"/>
    <col min="37" max="38" width="7.1640625" bestFit="1" customWidth="1"/>
    <col min="40" max="40" width="11.6640625" bestFit="1" customWidth="1"/>
  </cols>
  <sheetData>
    <row r="1" spans="1:37" ht="26" x14ac:dyDescent="0.3">
      <c r="A1" s="51" t="s">
        <v>123</v>
      </c>
      <c r="H1" s="98" t="s">
        <v>39</v>
      </c>
      <c r="I1" s="98"/>
      <c r="J1" s="98"/>
      <c r="K1" s="98"/>
      <c r="L1" s="99" t="s">
        <v>40</v>
      </c>
      <c r="M1" s="99"/>
      <c r="N1" s="99"/>
      <c r="O1" s="13"/>
      <c r="P1" s="13"/>
    </row>
    <row r="2" spans="1:37" ht="17" thickBot="1" x14ac:dyDescent="0.25">
      <c r="H2" s="3" t="s">
        <v>34</v>
      </c>
      <c r="I2" s="3" t="s">
        <v>35</v>
      </c>
      <c r="J2" s="3" t="s">
        <v>51</v>
      </c>
      <c r="K2" s="21" t="s">
        <v>28</v>
      </c>
      <c r="L2" s="9" t="s">
        <v>37</v>
      </c>
      <c r="M2" s="9" t="s">
        <v>38</v>
      </c>
      <c r="N2" s="9" t="s">
        <v>50</v>
      </c>
      <c r="O2" s="9" t="s">
        <v>52</v>
      </c>
      <c r="P2" s="9" t="s">
        <v>65</v>
      </c>
    </row>
    <row r="3" spans="1:37" s="53" customFormat="1" ht="85" x14ac:dyDescent="0.2">
      <c r="A3" s="108" t="s">
        <v>0</v>
      </c>
      <c r="B3" s="109" t="s">
        <v>1</v>
      </c>
      <c r="C3" s="109" t="s">
        <v>2</v>
      </c>
      <c r="D3" s="110" t="s">
        <v>21</v>
      </c>
      <c r="E3" s="110" t="s">
        <v>29</v>
      </c>
      <c r="F3" s="111" t="s">
        <v>6</v>
      </c>
      <c r="G3" s="110" t="s">
        <v>5</v>
      </c>
      <c r="H3" s="112" t="s">
        <v>47</v>
      </c>
      <c r="I3" s="112" t="s">
        <v>48</v>
      </c>
      <c r="J3" s="112" t="s">
        <v>9</v>
      </c>
      <c r="K3" s="113" t="s">
        <v>46</v>
      </c>
      <c r="L3" s="113" t="s">
        <v>36</v>
      </c>
      <c r="M3" s="113" t="s">
        <v>43</v>
      </c>
      <c r="N3" s="113" t="s">
        <v>44</v>
      </c>
      <c r="O3" s="113" t="s">
        <v>45</v>
      </c>
      <c r="P3" s="113" t="s">
        <v>64</v>
      </c>
      <c r="Q3" s="114" t="s">
        <v>49</v>
      </c>
      <c r="R3" s="114" t="s">
        <v>53</v>
      </c>
      <c r="S3" s="114" t="s">
        <v>66</v>
      </c>
      <c r="T3" s="114" t="s">
        <v>67</v>
      </c>
      <c r="V3" s="54" t="s">
        <v>6</v>
      </c>
      <c r="W3" s="55" t="s">
        <v>57</v>
      </c>
      <c r="X3" s="55" t="s">
        <v>58</v>
      </c>
      <c r="Y3" s="56" t="s">
        <v>6</v>
      </c>
      <c r="Z3" s="57" t="s">
        <v>49</v>
      </c>
      <c r="AA3" s="58" t="s">
        <v>6</v>
      </c>
      <c r="AB3" s="59" t="s">
        <v>59</v>
      </c>
      <c r="AC3" s="59" t="s">
        <v>60</v>
      </c>
      <c r="AD3" s="61"/>
      <c r="AE3" s="58" t="s">
        <v>6</v>
      </c>
      <c r="AF3" s="53" t="s">
        <v>61</v>
      </c>
      <c r="AG3" s="53" t="s">
        <v>62</v>
      </c>
      <c r="AI3" s="58" t="s">
        <v>6</v>
      </c>
      <c r="AJ3" s="53" t="s">
        <v>68</v>
      </c>
      <c r="AK3" s="53" t="s">
        <v>69</v>
      </c>
    </row>
    <row r="4" spans="1:37" x14ac:dyDescent="0.2">
      <c r="A4" s="5" t="s">
        <v>23</v>
      </c>
      <c r="B4" s="5" t="s">
        <v>3</v>
      </c>
      <c r="C4" s="5" t="s">
        <v>4</v>
      </c>
      <c r="D4" s="5">
        <v>5.68</v>
      </c>
      <c r="E4" s="32">
        <f>D4*1.04</f>
        <v>5.9071999999999996</v>
      </c>
      <c r="F4" s="6">
        <f t="shared" ref="F4:F13" si="0">POWER(E4,1/3)</f>
        <v>1.8077036087092828</v>
      </c>
      <c r="G4" s="5" t="s">
        <v>56</v>
      </c>
      <c r="H4" s="17">
        <v>0.49</v>
      </c>
      <c r="I4" s="17">
        <v>0.57999999999999996</v>
      </c>
      <c r="J4" s="36">
        <v>0.18</v>
      </c>
      <c r="K4" s="15">
        <f>0.5*(4/3)*(H4/2)*(I4/2)*J4*3.14</f>
        <v>2.6771639999999996E-2</v>
      </c>
      <c r="L4" s="14">
        <f>2*SQRT((H4/2)*(I4/2))</f>
        <v>0.53310411741047359</v>
      </c>
      <c r="M4" s="14">
        <f>0.42*F4</f>
        <v>0.75923551565789871</v>
      </c>
      <c r="N4" s="15">
        <f>POWER(0.416666667*M4, 3)</f>
        <v>3.1658900075981336E-2</v>
      </c>
      <c r="O4" s="39">
        <f>0.5*POWER(N4, 1/3)</f>
        <v>0.1581740658886015</v>
      </c>
      <c r="P4" s="63">
        <f>(E4/(617.952*(F56^0.309)))^(1/0.794)</f>
        <v>8.4362248528417512E-3</v>
      </c>
      <c r="Q4" s="23">
        <f t="shared" ref="Q4:Q44" si="1">K4/N4</f>
        <v>0.84562760979528917</v>
      </c>
      <c r="R4" s="23">
        <f>J4/O4</f>
        <v>1.1379868057938778</v>
      </c>
      <c r="S4" s="23">
        <f>K4/P4</f>
        <v>3.173414704680606</v>
      </c>
      <c r="T4" s="23">
        <f>N4/P4</f>
        <v>3.7527330800478844</v>
      </c>
      <c r="U4" s="7"/>
      <c r="V4" s="27">
        <f t="shared" ref="V4:V43" si="2">F4</f>
        <v>1.8077036087092828</v>
      </c>
      <c r="W4" s="41">
        <f t="shared" ref="W4:W43" si="3">K4</f>
        <v>2.6771639999999996E-2</v>
      </c>
      <c r="X4" s="42">
        <f t="shared" ref="X4:X43" si="4">N4</f>
        <v>3.1658900075981336E-2</v>
      </c>
      <c r="Y4" s="27">
        <f>V4</f>
        <v>1.8077036087092828</v>
      </c>
      <c r="Z4" s="28">
        <f>W4/X4</f>
        <v>0.84562760979528917</v>
      </c>
      <c r="AA4" s="27">
        <f>F4</f>
        <v>1.8077036087092828</v>
      </c>
      <c r="AB4" s="25">
        <f>AVERAGE(W4:W13)</f>
        <v>2.8154286666666667E-2</v>
      </c>
      <c r="AC4" s="60">
        <f>X4</f>
        <v>3.1658900075981336E-2</v>
      </c>
      <c r="AD4" s="62"/>
      <c r="AE4" s="62">
        <f>F4</f>
        <v>1.8077036087092828</v>
      </c>
      <c r="AF4">
        <f>LN(AB4)</f>
        <v>-3.5700556565344779</v>
      </c>
      <c r="AG4">
        <f>LN(AC4)</f>
        <v>-3.4527359668895286</v>
      </c>
      <c r="AI4" s="62">
        <f>AE4</f>
        <v>1.8077036087092828</v>
      </c>
      <c r="AJ4" s="25">
        <f>POWER(AB4,1/3)</f>
        <v>0.3042156201519669</v>
      </c>
      <c r="AK4" s="60">
        <f>POWER(AC4,1/3)</f>
        <v>0.316348131777203</v>
      </c>
    </row>
    <row r="5" spans="1:37" x14ac:dyDescent="0.2">
      <c r="A5" s="5" t="s">
        <v>23</v>
      </c>
      <c r="B5" s="5" t="s">
        <v>3</v>
      </c>
      <c r="C5" s="5" t="s">
        <v>4</v>
      </c>
      <c r="D5" s="5">
        <v>5.68</v>
      </c>
      <c r="E5" s="32">
        <f t="shared" ref="E5:E43" si="5">D5*1.04</f>
        <v>5.9071999999999996</v>
      </c>
      <c r="F5" s="6">
        <f t="shared" si="0"/>
        <v>1.8077036087092828</v>
      </c>
      <c r="G5" s="5" t="s">
        <v>56</v>
      </c>
      <c r="H5" s="17">
        <v>0.46</v>
      </c>
      <c r="I5" s="17">
        <v>0.54</v>
      </c>
      <c r="J5" s="36">
        <v>0.22</v>
      </c>
      <c r="K5" s="15">
        <f>0.5*(4/3)*(H5/2)*(I5/2)*J5*3.14</f>
        <v>2.8599119999999999E-2</v>
      </c>
      <c r="L5" s="14">
        <f t="shared" ref="L5:L42" si="6">2*SQRT((H5/2)*(I5/2))</f>
        <v>0.49839743177508455</v>
      </c>
      <c r="M5" s="14">
        <f t="shared" ref="M5:M38" si="7">0.42*F5</f>
        <v>0.75923551565789871</v>
      </c>
      <c r="N5" s="15">
        <f>POWER(0.416666667*M5, 3)</f>
        <v>3.1658900075981336E-2</v>
      </c>
      <c r="O5" s="39">
        <f t="shared" ref="O5:O13" si="8">0.5*POWER(N5, 1/3)</f>
        <v>0.1581740658886015</v>
      </c>
      <c r="P5" s="63">
        <f>(E5/(617.952*(F56^0.309)))^(1/0.794)</f>
        <v>8.4362248528417512E-3</v>
      </c>
      <c r="Q5" s="23">
        <f t="shared" si="1"/>
        <v>0.90335166197695227</v>
      </c>
      <c r="R5" s="23">
        <f t="shared" ref="R5:R44" si="9">J5/O5</f>
        <v>1.3908727626369619</v>
      </c>
      <c r="S5" s="23">
        <f t="shared" ref="S5:S43" si="10">K5/P5</f>
        <v>3.3900376648171435</v>
      </c>
      <c r="T5" s="23">
        <f t="shared" ref="T5:T42" si="11">N5/P5</f>
        <v>3.7527330800478844</v>
      </c>
      <c r="V5" s="27">
        <f t="shared" si="2"/>
        <v>1.8077036087092828</v>
      </c>
      <c r="W5" s="41">
        <f t="shared" si="3"/>
        <v>2.8599119999999999E-2</v>
      </c>
      <c r="X5" s="42">
        <f t="shared" si="4"/>
        <v>3.1658900075981336E-2</v>
      </c>
      <c r="Y5" s="27">
        <f t="shared" ref="Y5:Y43" si="12">V5</f>
        <v>1.8077036087092828</v>
      </c>
      <c r="Z5" s="28">
        <f t="shared" ref="Z5:Z43" si="13">W5/X5</f>
        <v>0.90335166197695227</v>
      </c>
      <c r="AA5" s="27">
        <f>F14</f>
        <v>2.3847177095289243</v>
      </c>
      <c r="AB5" s="25">
        <f>AVERAGE(W14:W23)</f>
        <v>6.7465307333333335E-2</v>
      </c>
      <c r="AC5" s="60">
        <f>X14</f>
        <v>7.2681700174436065E-2</v>
      </c>
      <c r="AD5" s="62"/>
      <c r="AE5" s="62">
        <f>AA5</f>
        <v>2.3847177095289243</v>
      </c>
      <c r="AF5">
        <f>LN(AB5)</f>
        <v>-2.696141778661258</v>
      </c>
      <c r="AG5">
        <f t="shared" ref="AG5:AG7" si="14">LN(AC5)</f>
        <v>-2.6216656431240812</v>
      </c>
      <c r="AI5" s="62">
        <f>AE5</f>
        <v>2.3847177095289243</v>
      </c>
      <c r="AJ5" s="25">
        <f>POWER(AB5,1/3)</f>
        <v>0.40709287469396499</v>
      </c>
      <c r="AK5" s="60">
        <f t="shared" ref="AK5:AK7" si="15">POWER(AC5,1/3)</f>
        <v>0.41732559950142223</v>
      </c>
    </row>
    <row r="6" spans="1:37" x14ac:dyDescent="0.2">
      <c r="A6" s="5" t="s">
        <v>23</v>
      </c>
      <c r="B6" s="5" t="s">
        <v>3</v>
      </c>
      <c r="C6" s="5" t="s">
        <v>4</v>
      </c>
      <c r="D6" s="5">
        <v>5.68</v>
      </c>
      <c r="E6" s="32">
        <f t="shared" si="5"/>
        <v>5.9071999999999996</v>
      </c>
      <c r="F6" s="6">
        <f t="shared" si="0"/>
        <v>1.8077036087092828</v>
      </c>
      <c r="G6" s="5" t="s">
        <v>56</v>
      </c>
      <c r="H6" s="17">
        <v>0.47</v>
      </c>
      <c r="I6" s="17">
        <v>0.6</v>
      </c>
      <c r="J6" s="36">
        <v>0.18</v>
      </c>
      <c r="K6" s="15">
        <f t="shared" ref="K6:K42" si="16">0.5*(4/3)*(H6/2)*(I6/2)*J6*3.14</f>
        <v>2.6564399999999998E-2</v>
      </c>
      <c r="L6" s="14">
        <f t="shared" si="6"/>
        <v>0.53103672189407014</v>
      </c>
      <c r="M6" s="14">
        <f t="shared" si="7"/>
        <v>0.75923551565789871</v>
      </c>
      <c r="N6" s="15">
        <f t="shared" ref="N6:N43" si="17">POWER(0.416666667*M6, 3)</f>
        <v>3.1658900075981336E-2</v>
      </c>
      <c r="O6" s="39">
        <f t="shared" si="8"/>
        <v>0.1581740658886015</v>
      </c>
      <c r="P6" s="63">
        <f>(E6/(617.952*(F56^0.309)))^(1/0.794)</f>
        <v>8.4362248528417512E-3</v>
      </c>
      <c r="Q6" s="23">
        <f t="shared" si="1"/>
        <v>0.83908158325922433</v>
      </c>
      <c r="R6" s="23">
        <f t="shared" si="9"/>
        <v>1.1379868057938778</v>
      </c>
      <c r="S6" s="23">
        <f t="shared" si="10"/>
        <v>3.1488492143558444</v>
      </c>
      <c r="T6" s="23">
        <f t="shared" si="11"/>
        <v>3.7527330800478844</v>
      </c>
      <c r="V6" s="27">
        <f t="shared" si="2"/>
        <v>1.8077036087092828</v>
      </c>
      <c r="W6" s="41">
        <f t="shared" si="3"/>
        <v>2.6564399999999998E-2</v>
      </c>
      <c r="X6" s="42">
        <f t="shared" si="4"/>
        <v>3.1658900075981336E-2</v>
      </c>
      <c r="Y6" s="27">
        <f t="shared" si="12"/>
        <v>1.8077036087092828</v>
      </c>
      <c r="Z6" s="28">
        <f t="shared" si="13"/>
        <v>0.83908158325922433</v>
      </c>
      <c r="AA6" s="27">
        <f>F24</f>
        <v>3.0045560402925795</v>
      </c>
      <c r="AB6" s="25">
        <f>AVERAGE(W24:W38)</f>
        <v>0.12717701266666664</v>
      </c>
      <c r="AC6" s="60">
        <f>X24</f>
        <v>0.14536340034887207</v>
      </c>
      <c r="AD6" s="62"/>
      <c r="AE6" s="62">
        <f>AA6</f>
        <v>3.0045560402925795</v>
      </c>
      <c r="AF6">
        <f>LN(AB6)</f>
        <v>-2.0621753624369363</v>
      </c>
      <c r="AG6">
        <f t="shared" si="14"/>
        <v>-1.9285184625641361</v>
      </c>
      <c r="AI6" s="62">
        <f>AE6</f>
        <v>3.0045560402925795</v>
      </c>
      <c r="AJ6" s="25">
        <f t="shared" ref="AJ6" si="18">POWER(AB6,1/3)</f>
        <v>0.50288599358781472</v>
      </c>
      <c r="AK6" s="60">
        <f t="shared" si="15"/>
        <v>0.52579730747183917</v>
      </c>
    </row>
    <row r="7" spans="1:37" x14ac:dyDescent="0.2">
      <c r="A7" s="5" t="s">
        <v>24</v>
      </c>
      <c r="B7" s="5" t="s">
        <v>3</v>
      </c>
      <c r="C7" s="5" t="s">
        <v>4</v>
      </c>
      <c r="D7" s="5">
        <v>5.68</v>
      </c>
      <c r="E7" s="32">
        <f t="shared" si="5"/>
        <v>5.9071999999999996</v>
      </c>
      <c r="F7" s="6">
        <f t="shared" si="0"/>
        <v>1.8077036087092828</v>
      </c>
      <c r="G7" s="5" t="s">
        <v>56</v>
      </c>
      <c r="H7" s="17">
        <v>0.45</v>
      </c>
      <c r="I7" s="17">
        <v>0.48499999999999999</v>
      </c>
      <c r="J7" s="36">
        <v>0.26</v>
      </c>
      <c r="K7" s="15">
        <f t="shared" si="16"/>
        <v>2.9696549999999999E-2</v>
      </c>
      <c r="L7" s="14">
        <f t="shared" si="6"/>
        <v>0.46717234507192312</v>
      </c>
      <c r="M7" s="14">
        <f t="shared" si="7"/>
        <v>0.75923551565789871</v>
      </c>
      <c r="N7" s="15">
        <f t="shared" si="17"/>
        <v>3.1658900075981336E-2</v>
      </c>
      <c r="O7" s="39">
        <f>0.5*POWER(N7, 1/3)</f>
        <v>0.1581740658886015</v>
      </c>
      <c r="P7" s="63">
        <f>(E7/(617.952*(F56^0.309)))^(1/0.794)</f>
        <v>8.4362248528417512E-3</v>
      </c>
      <c r="Q7" s="23">
        <f t="shared" si="1"/>
        <v>0.93801584795202297</v>
      </c>
      <c r="R7" s="23">
        <f t="shared" si="9"/>
        <v>1.6437587194800458</v>
      </c>
      <c r="S7" s="23">
        <f t="shared" si="10"/>
        <v>3.5201231022187236</v>
      </c>
      <c r="T7" s="23">
        <f t="shared" si="11"/>
        <v>3.7527330800478844</v>
      </c>
      <c r="V7" s="27">
        <f t="shared" si="2"/>
        <v>1.8077036087092828</v>
      </c>
      <c r="W7" s="41">
        <f t="shared" si="3"/>
        <v>2.9696549999999999E-2</v>
      </c>
      <c r="X7" s="42">
        <f t="shared" si="4"/>
        <v>3.1658900075981336E-2</v>
      </c>
      <c r="Y7" s="27">
        <f t="shared" si="12"/>
        <v>1.8077036087092828</v>
      </c>
      <c r="Z7" s="28">
        <f t="shared" si="13"/>
        <v>0.93801584795202297</v>
      </c>
      <c r="AA7" s="27">
        <f>F43</f>
        <v>3.7855034007534094</v>
      </c>
      <c r="AB7" s="25">
        <f>AVERAGE(W39:W43)</f>
        <v>0.26068342799999999</v>
      </c>
      <c r="AC7" s="60">
        <f>X39</f>
        <v>0.29072680069774426</v>
      </c>
      <c r="AD7" s="62"/>
      <c r="AE7" s="62">
        <f>AA7</f>
        <v>3.7855034007534094</v>
      </c>
      <c r="AF7">
        <f>LN(AB7)</f>
        <v>-1.3444485273819258</v>
      </c>
      <c r="AG7">
        <f t="shared" si="14"/>
        <v>-1.2353712820041904</v>
      </c>
      <c r="AI7" s="62">
        <f>AE7</f>
        <v>3.7855034007534094</v>
      </c>
      <c r="AJ7" s="25">
        <f>POWER(AB7,1/3)</f>
        <v>0.63880916909052898</v>
      </c>
      <c r="AK7" s="60">
        <f t="shared" si="15"/>
        <v>0.66246309566181716</v>
      </c>
    </row>
    <row r="8" spans="1:37" x14ac:dyDescent="0.2">
      <c r="A8" s="5" t="s">
        <v>24</v>
      </c>
      <c r="B8" s="5" t="s">
        <v>3</v>
      </c>
      <c r="C8" s="5" t="s">
        <v>4</v>
      </c>
      <c r="D8" s="5">
        <v>5.68</v>
      </c>
      <c r="E8" s="32">
        <f t="shared" si="5"/>
        <v>5.9071999999999996</v>
      </c>
      <c r="F8" s="6">
        <f t="shared" si="0"/>
        <v>1.8077036087092828</v>
      </c>
      <c r="G8" s="5" t="s">
        <v>56</v>
      </c>
      <c r="H8" s="17">
        <v>0.48</v>
      </c>
      <c r="I8" s="17">
        <v>0.56000000000000005</v>
      </c>
      <c r="J8" s="36">
        <v>0.22</v>
      </c>
      <c r="K8" s="15">
        <f t="shared" si="16"/>
        <v>3.0947840000000001E-2</v>
      </c>
      <c r="L8" s="14">
        <f t="shared" si="6"/>
        <v>0.51845925587262887</v>
      </c>
      <c r="M8" s="14">
        <f t="shared" si="7"/>
        <v>0.75923551565789871</v>
      </c>
      <c r="N8" s="15">
        <f t="shared" si="17"/>
        <v>3.1658900075981336E-2</v>
      </c>
      <c r="O8" s="39">
        <f t="shared" si="8"/>
        <v>0.1581740658886015</v>
      </c>
      <c r="P8" s="63">
        <f>(E8/(617.952*(F56^0.309)))^(1/0.794)</f>
        <v>8.4362248528417512E-3</v>
      </c>
      <c r="Q8" s="23">
        <f t="shared" si="1"/>
        <v>0.97753996271902077</v>
      </c>
      <c r="R8" s="23">
        <f t="shared" si="9"/>
        <v>1.3908727626369619</v>
      </c>
      <c r="S8" s="23">
        <f t="shared" si="10"/>
        <v>3.6684465551644454</v>
      </c>
      <c r="T8" s="23">
        <f t="shared" si="11"/>
        <v>3.7527330800478844</v>
      </c>
      <c r="V8" s="27">
        <f t="shared" si="2"/>
        <v>1.8077036087092828</v>
      </c>
      <c r="W8" s="41">
        <f t="shared" si="3"/>
        <v>3.0947840000000001E-2</v>
      </c>
      <c r="X8" s="42">
        <f t="shared" si="4"/>
        <v>3.1658900075981336E-2</v>
      </c>
      <c r="Y8" s="27">
        <f t="shared" si="12"/>
        <v>1.8077036087092828</v>
      </c>
      <c r="Z8" s="28">
        <f t="shared" si="13"/>
        <v>0.97753996271902077</v>
      </c>
      <c r="AA8" s="29"/>
      <c r="AB8" s="26"/>
      <c r="AC8" s="26"/>
      <c r="AE8" s="24">
        <v>1</v>
      </c>
      <c r="AF8">
        <v>1</v>
      </c>
      <c r="AG8">
        <v>1</v>
      </c>
      <c r="AI8" s="62">
        <v>1</v>
      </c>
      <c r="AJ8">
        <v>0.16869999999999999</v>
      </c>
      <c r="AK8">
        <v>0.17499999999999999</v>
      </c>
    </row>
    <row r="9" spans="1:37" ht="17" thickBot="1" x14ac:dyDescent="0.25">
      <c r="A9" s="5" t="s">
        <v>24</v>
      </c>
      <c r="B9" s="5" t="s">
        <v>3</v>
      </c>
      <c r="C9" s="5" t="s">
        <v>4</v>
      </c>
      <c r="D9" s="5">
        <v>5.68</v>
      </c>
      <c r="E9" s="32">
        <f t="shared" si="5"/>
        <v>5.9071999999999996</v>
      </c>
      <c r="F9" s="6">
        <f t="shared" si="0"/>
        <v>1.8077036087092828</v>
      </c>
      <c r="G9" s="5" t="s">
        <v>56</v>
      </c>
      <c r="H9" s="17">
        <v>0.45500000000000002</v>
      </c>
      <c r="I9" s="17">
        <v>0.49</v>
      </c>
      <c r="J9" s="36">
        <v>0.26</v>
      </c>
      <c r="K9" s="15">
        <f t="shared" si="16"/>
        <v>3.0336063333333337E-2</v>
      </c>
      <c r="L9" s="14">
        <f t="shared" si="6"/>
        <v>0.47217581471312148</v>
      </c>
      <c r="M9" s="14">
        <f t="shared" si="7"/>
        <v>0.75923551565789871</v>
      </c>
      <c r="N9" s="15">
        <f t="shared" si="17"/>
        <v>3.1658900075981336E-2</v>
      </c>
      <c r="O9" s="39">
        <f>0.5*POWER(N9, 1/3)</f>
        <v>0.1581740658886015</v>
      </c>
      <c r="P9" s="63">
        <f>(E9/(617.952*(F56^0.309)))^(1/0.794)</f>
        <v>8.4362248528417512E-3</v>
      </c>
      <c r="Q9" s="23">
        <f t="shared" si="1"/>
        <v>0.95821596014159705</v>
      </c>
      <c r="R9" s="23">
        <f t="shared" si="9"/>
        <v>1.6437587194800458</v>
      </c>
      <c r="S9" s="23">
        <f t="shared" si="10"/>
        <v>3.5959287314532165</v>
      </c>
      <c r="T9" s="23">
        <f t="shared" si="11"/>
        <v>3.7527330800478844</v>
      </c>
      <c r="V9" s="27">
        <f t="shared" si="2"/>
        <v>1.8077036087092828</v>
      </c>
      <c r="W9" s="41">
        <f t="shared" si="3"/>
        <v>3.0336063333333337E-2</v>
      </c>
      <c r="X9" s="42">
        <f t="shared" si="4"/>
        <v>3.1658900075981336E-2</v>
      </c>
      <c r="Y9" s="27">
        <f t="shared" si="12"/>
        <v>1.8077036087092828</v>
      </c>
      <c r="Z9" s="28">
        <f t="shared" si="13"/>
        <v>0.95821596014159705</v>
      </c>
      <c r="AA9" s="30"/>
      <c r="AB9" s="31"/>
      <c r="AC9" s="31"/>
      <c r="AI9">
        <v>0</v>
      </c>
      <c r="AJ9">
        <v>0</v>
      </c>
      <c r="AK9">
        <v>0</v>
      </c>
    </row>
    <row r="10" spans="1:37" x14ac:dyDescent="0.2">
      <c r="A10" s="5" t="s">
        <v>25</v>
      </c>
      <c r="B10" s="5" t="s">
        <v>3</v>
      </c>
      <c r="C10" s="5" t="s">
        <v>4</v>
      </c>
      <c r="D10" s="5">
        <v>5.68</v>
      </c>
      <c r="E10" s="32">
        <f t="shared" si="5"/>
        <v>5.9071999999999996</v>
      </c>
      <c r="F10" s="6">
        <f t="shared" si="0"/>
        <v>1.8077036087092828</v>
      </c>
      <c r="G10" s="5" t="s">
        <v>56</v>
      </c>
      <c r="H10" s="17">
        <v>0.42</v>
      </c>
      <c r="I10" s="17">
        <v>0.54</v>
      </c>
      <c r="J10" s="36">
        <v>0.24</v>
      </c>
      <c r="K10" s="15">
        <f t="shared" si="16"/>
        <v>2.848608E-2</v>
      </c>
      <c r="L10" s="14">
        <f t="shared" si="6"/>
        <v>0.47623523599162632</v>
      </c>
      <c r="M10" s="14">
        <f t="shared" si="7"/>
        <v>0.75923551565789871</v>
      </c>
      <c r="N10" s="15">
        <f t="shared" si="17"/>
        <v>3.1658900075981336E-2</v>
      </c>
      <c r="O10" s="39">
        <f t="shared" si="8"/>
        <v>0.1581740658886015</v>
      </c>
      <c r="P10" s="63">
        <f>(E10/(617.952*(F56^0.309)))^(1/0.794)</f>
        <v>8.4362248528417512E-3</v>
      </c>
      <c r="Q10" s="23">
        <f t="shared" si="1"/>
        <v>0.89978110204818962</v>
      </c>
      <c r="R10" s="23">
        <f t="shared" si="9"/>
        <v>1.5173157410585039</v>
      </c>
      <c r="S10" s="23">
        <f t="shared" si="10"/>
        <v>3.3766383064581826</v>
      </c>
      <c r="T10" s="23">
        <f t="shared" si="11"/>
        <v>3.7527330800478844</v>
      </c>
      <c r="V10" s="27">
        <f t="shared" si="2"/>
        <v>1.8077036087092828</v>
      </c>
      <c r="W10" s="41">
        <f t="shared" si="3"/>
        <v>2.848608E-2</v>
      </c>
      <c r="X10" s="42">
        <f t="shared" si="4"/>
        <v>3.1658900075981336E-2</v>
      </c>
      <c r="Y10" s="27">
        <f t="shared" si="12"/>
        <v>1.8077036087092828</v>
      </c>
      <c r="Z10" s="28">
        <f t="shared" si="13"/>
        <v>0.89978110204818962</v>
      </c>
    </row>
    <row r="11" spans="1:37" x14ac:dyDescent="0.2">
      <c r="A11" s="5" t="s">
        <v>25</v>
      </c>
      <c r="B11" s="5" t="s">
        <v>3</v>
      </c>
      <c r="C11" s="5" t="s">
        <v>4</v>
      </c>
      <c r="D11" s="5">
        <v>5.68</v>
      </c>
      <c r="E11" s="32">
        <f t="shared" si="5"/>
        <v>5.9071999999999996</v>
      </c>
      <c r="F11" s="6">
        <f t="shared" si="0"/>
        <v>1.8077036087092828</v>
      </c>
      <c r="G11" s="5" t="s">
        <v>56</v>
      </c>
      <c r="H11" s="17">
        <v>0.46</v>
      </c>
      <c r="I11" s="17">
        <v>0.56999999999999995</v>
      </c>
      <c r="J11" s="36">
        <v>0.2</v>
      </c>
      <c r="K11" s="15">
        <f t="shared" si="16"/>
        <v>2.7443599999999999E-2</v>
      </c>
      <c r="L11" s="14">
        <f t="shared" si="6"/>
        <v>0.51205468457968428</v>
      </c>
      <c r="M11" s="14">
        <f t="shared" si="7"/>
        <v>0.75923551565789871</v>
      </c>
      <c r="N11" s="15">
        <f t="shared" si="17"/>
        <v>3.1658900075981336E-2</v>
      </c>
      <c r="O11" s="39">
        <f t="shared" si="8"/>
        <v>0.1581740658886015</v>
      </c>
      <c r="P11" s="63">
        <f>(E11/(617.952*(F56^0.309)))^(1/0.794)</f>
        <v>8.4362248528417512E-3</v>
      </c>
      <c r="Q11" s="23">
        <f t="shared" si="1"/>
        <v>0.86685260492737837</v>
      </c>
      <c r="R11" s="23">
        <f t="shared" si="9"/>
        <v>1.26442978421542</v>
      </c>
      <c r="S11" s="23">
        <f t="shared" si="10"/>
        <v>3.2530664460366525</v>
      </c>
      <c r="T11" s="23">
        <f t="shared" si="11"/>
        <v>3.7527330800478844</v>
      </c>
      <c r="V11" s="27">
        <f t="shared" si="2"/>
        <v>1.8077036087092828</v>
      </c>
      <c r="W11" s="41">
        <f t="shared" si="3"/>
        <v>2.7443599999999999E-2</v>
      </c>
      <c r="X11" s="42">
        <f t="shared" si="4"/>
        <v>3.1658900075981336E-2</v>
      </c>
      <c r="Y11" s="27">
        <f t="shared" si="12"/>
        <v>1.8077036087092828</v>
      </c>
      <c r="Z11" s="28">
        <f t="shared" si="13"/>
        <v>0.86685260492737837</v>
      </c>
    </row>
    <row r="12" spans="1:37" x14ac:dyDescent="0.2">
      <c r="A12" s="5" t="s">
        <v>26</v>
      </c>
      <c r="B12" s="5" t="s">
        <v>3</v>
      </c>
      <c r="C12" s="5" t="s">
        <v>4</v>
      </c>
      <c r="D12" s="5">
        <v>5.68</v>
      </c>
      <c r="E12" s="32">
        <f t="shared" si="5"/>
        <v>5.9071999999999996</v>
      </c>
      <c r="F12" s="6">
        <f t="shared" si="0"/>
        <v>1.8077036087092828</v>
      </c>
      <c r="G12" s="5" t="s">
        <v>56</v>
      </c>
      <c r="H12" s="17">
        <v>0.44</v>
      </c>
      <c r="I12" s="17">
        <v>0.53</v>
      </c>
      <c r="J12" s="36">
        <v>0.22</v>
      </c>
      <c r="K12" s="15">
        <f t="shared" si="16"/>
        <v>2.6849093333333334E-2</v>
      </c>
      <c r="L12" s="14">
        <f t="shared" si="6"/>
        <v>0.48290785870598546</v>
      </c>
      <c r="M12" s="14">
        <f t="shared" si="7"/>
        <v>0.75923551565789871</v>
      </c>
      <c r="N12" s="15">
        <f t="shared" si="17"/>
        <v>3.1658900075981336E-2</v>
      </c>
      <c r="O12" s="39">
        <f t="shared" si="8"/>
        <v>0.1581740658886015</v>
      </c>
      <c r="P12" s="63">
        <f>(E12/(617.952*(F56^0.309)))^(1/0.794)</f>
        <v>8.4362248528417512E-3</v>
      </c>
      <c r="Q12" s="23">
        <f t="shared" si="1"/>
        <v>0.8480741045612934</v>
      </c>
      <c r="R12" s="23">
        <f t="shared" si="9"/>
        <v>1.3908727626369619</v>
      </c>
      <c r="S12" s="23">
        <f t="shared" si="10"/>
        <v>3.1825957465191541</v>
      </c>
      <c r="T12" s="23">
        <f t="shared" si="11"/>
        <v>3.7527330800478844</v>
      </c>
      <c r="V12" s="27">
        <f t="shared" si="2"/>
        <v>1.8077036087092828</v>
      </c>
      <c r="W12" s="41">
        <f t="shared" si="3"/>
        <v>2.6849093333333334E-2</v>
      </c>
      <c r="X12" s="42">
        <f t="shared" si="4"/>
        <v>3.1658900075981336E-2</v>
      </c>
      <c r="Y12" s="27">
        <f t="shared" si="12"/>
        <v>1.8077036087092828</v>
      </c>
      <c r="Z12" s="28">
        <f t="shared" si="13"/>
        <v>0.8480741045612934</v>
      </c>
    </row>
    <row r="13" spans="1:37" x14ac:dyDescent="0.2">
      <c r="A13" s="5" t="s">
        <v>26</v>
      </c>
      <c r="B13" s="5" t="s">
        <v>3</v>
      </c>
      <c r="C13" s="5" t="s">
        <v>4</v>
      </c>
      <c r="D13" s="5">
        <v>5.68</v>
      </c>
      <c r="E13" s="32">
        <f t="shared" si="5"/>
        <v>5.9071999999999996</v>
      </c>
      <c r="F13" s="6">
        <f t="shared" si="0"/>
        <v>1.8077036087092828</v>
      </c>
      <c r="G13" s="5" t="s">
        <v>56</v>
      </c>
      <c r="H13" s="17">
        <v>0.42</v>
      </c>
      <c r="I13" s="17">
        <v>0.56000000000000005</v>
      </c>
      <c r="J13" s="36">
        <v>0.21</v>
      </c>
      <c r="K13" s="15">
        <f t="shared" si="16"/>
        <v>2.584848E-2</v>
      </c>
      <c r="L13" s="14">
        <f t="shared" si="6"/>
        <v>0.48497422611928565</v>
      </c>
      <c r="M13" s="14">
        <f t="shared" si="7"/>
        <v>0.75923551565789871</v>
      </c>
      <c r="N13" s="15">
        <f t="shared" si="17"/>
        <v>3.1658900075981336E-2</v>
      </c>
      <c r="O13" s="39">
        <f t="shared" si="8"/>
        <v>0.1581740658886015</v>
      </c>
      <c r="P13" s="63">
        <f>(E13/(617.952*(F56^0.309)))^(1/0.794)</f>
        <v>8.4362248528417512E-3</v>
      </c>
      <c r="Q13" s="23">
        <f t="shared" si="1"/>
        <v>0.81646803704372761</v>
      </c>
      <c r="R13" s="23">
        <f t="shared" si="9"/>
        <v>1.3276512734261907</v>
      </c>
      <c r="S13" s="23">
        <f t="shared" si="10"/>
        <v>3.0639866114157583</v>
      </c>
      <c r="T13" s="23">
        <f t="shared" si="11"/>
        <v>3.7527330800478844</v>
      </c>
      <c r="V13" s="27">
        <f t="shared" si="2"/>
        <v>1.8077036087092828</v>
      </c>
      <c r="W13" s="41">
        <f t="shared" si="3"/>
        <v>2.584848E-2</v>
      </c>
      <c r="X13" s="42">
        <f t="shared" si="4"/>
        <v>3.1658900075981336E-2</v>
      </c>
      <c r="Y13" s="27">
        <f t="shared" si="12"/>
        <v>1.8077036087092828</v>
      </c>
      <c r="Z13" s="28">
        <f t="shared" si="13"/>
        <v>0.81646803704372761</v>
      </c>
    </row>
    <row r="14" spans="1:37" x14ac:dyDescent="0.2">
      <c r="A14" s="4">
        <v>44307</v>
      </c>
      <c r="B14" s="5" t="s">
        <v>3</v>
      </c>
      <c r="C14" s="5" t="s">
        <v>4</v>
      </c>
      <c r="D14" s="5">
        <v>13.04</v>
      </c>
      <c r="E14" s="32">
        <f t="shared" si="5"/>
        <v>13.5616</v>
      </c>
      <c r="F14" s="6">
        <f>POWER(E14,1/3)</f>
        <v>2.3847177095289243</v>
      </c>
      <c r="G14" s="5" t="s">
        <v>56</v>
      </c>
      <c r="H14" s="17">
        <v>0.54</v>
      </c>
      <c r="I14" s="17">
        <v>0.66</v>
      </c>
      <c r="J14" s="37">
        <v>0.34</v>
      </c>
      <c r="K14" s="15">
        <f t="shared" si="16"/>
        <v>6.3415440000000003E-2</v>
      </c>
      <c r="L14" s="14">
        <f t="shared" si="6"/>
        <v>0.59699246226397207</v>
      </c>
      <c r="M14" s="14">
        <f t="shared" si="7"/>
        <v>1.0015814380021482</v>
      </c>
      <c r="N14" s="15">
        <f t="shared" si="17"/>
        <v>7.2681700174436065E-2</v>
      </c>
      <c r="O14" s="39">
        <f>0.5*POWER(N14, 1/3)</f>
        <v>0.20866279975071111</v>
      </c>
      <c r="P14" s="63">
        <f>(E14/(617.952*(F57^0.309)))^(1/0.794)</f>
        <v>2.2535612225347473E-2</v>
      </c>
      <c r="Q14" s="23">
        <f t="shared" si="1"/>
        <v>0.87250903388064616</v>
      </c>
      <c r="R14" s="23">
        <f t="shared" si="9"/>
        <v>1.6294231669765626</v>
      </c>
      <c r="S14" s="23">
        <f t="shared" si="10"/>
        <v>2.8140100817262002</v>
      </c>
      <c r="T14" s="23">
        <f t="shared" si="11"/>
        <v>3.2251930609937265</v>
      </c>
      <c r="V14" s="27">
        <f t="shared" si="2"/>
        <v>2.3847177095289243</v>
      </c>
      <c r="W14" s="41">
        <f t="shared" si="3"/>
        <v>6.3415440000000003E-2</v>
      </c>
      <c r="X14" s="42">
        <f t="shared" si="4"/>
        <v>7.2681700174436065E-2</v>
      </c>
      <c r="Y14" s="27">
        <f t="shared" si="12"/>
        <v>2.3847177095289243</v>
      </c>
      <c r="Z14" s="28">
        <f t="shared" si="13"/>
        <v>0.87250903388064616</v>
      </c>
    </row>
    <row r="15" spans="1:37" x14ac:dyDescent="0.2">
      <c r="A15" s="4">
        <v>44307</v>
      </c>
      <c r="B15" s="5" t="s">
        <v>3</v>
      </c>
      <c r="C15" s="5" t="s">
        <v>4</v>
      </c>
      <c r="D15" s="5">
        <v>13.04</v>
      </c>
      <c r="E15" s="32">
        <f t="shared" si="5"/>
        <v>13.5616</v>
      </c>
      <c r="F15" s="6">
        <f t="shared" ref="F15:F41" si="19">POWER(E15,1/3)</f>
        <v>2.3847177095289243</v>
      </c>
      <c r="G15" s="5" t="s">
        <v>56</v>
      </c>
      <c r="H15" s="17">
        <v>0.56999999999999995</v>
      </c>
      <c r="I15" s="17">
        <v>0.63</v>
      </c>
      <c r="J15" s="37">
        <v>0.32</v>
      </c>
      <c r="K15" s="15">
        <f t="shared" si="16"/>
        <v>6.0137280000000001E-2</v>
      </c>
      <c r="L15" s="14">
        <f t="shared" si="6"/>
        <v>0.59924953066314535</v>
      </c>
      <c r="M15" s="14">
        <f t="shared" si="7"/>
        <v>1.0015814380021482</v>
      </c>
      <c r="N15" s="15">
        <f t="shared" si="17"/>
        <v>7.2681700174436065E-2</v>
      </c>
      <c r="O15" s="39">
        <f t="shared" ref="O15:O37" si="20">0.5*POWER(N15, 1/3)</f>
        <v>0.20866279975071111</v>
      </c>
      <c r="P15" s="63">
        <f>(E15/(617.952*(F57^0.309)))^(1/0.794)</f>
        <v>2.2535612225347473E-2</v>
      </c>
      <c r="Q15" s="23">
        <f t="shared" si="1"/>
        <v>0.8274060713449265</v>
      </c>
      <c r="R15" s="23">
        <f t="shared" si="9"/>
        <v>1.533574745389706</v>
      </c>
      <c r="S15" s="23">
        <f t="shared" si="10"/>
        <v>2.6685443199257373</v>
      </c>
      <c r="T15" s="23">
        <f t="shared" si="11"/>
        <v>3.2251930609937265</v>
      </c>
      <c r="V15" s="27">
        <f t="shared" si="2"/>
        <v>2.3847177095289243</v>
      </c>
      <c r="W15" s="41">
        <f t="shared" si="3"/>
        <v>6.0137280000000001E-2</v>
      </c>
      <c r="X15" s="42">
        <f t="shared" si="4"/>
        <v>7.2681700174436065E-2</v>
      </c>
      <c r="Y15" s="27">
        <f t="shared" si="12"/>
        <v>2.3847177095289243</v>
      </c>
      <c r="Z15" s="28">
        <f t="shared" si="13"/>
        <v>0.8274060713449265</v>
      </c>
    </row>
    <row r="16" spans="1:37" x14ac:dyDescent="0.2">
      <c r="A16" s="4">
        <v>44364</v>
      </c>
      <c r="B16" s="5" t="s">
        <v>3</v>
      </c>
      <c r="C16" s="5" t="s">
        <v>4</v>
      </c>
      <c r="D16" s="5">
        <v>13.04</v>
      </c>
      <c r="E16" s="32">
        <f t="shared" si="5"/>
        <v>13.5616</v>
      </c>
      <c r="F16" s="6">
        <f t="shared" si="19"/>
        <v>2.3847177095289243</v>
      </c>
      <c r="G16" s="5" t="s">
        <v>56</v>
      </c>
      <c r="H16" s="17">
        <v>0.55000000000000004</v>
      </c>
      <c r="I16" s="17">
        <v>0.68</v>
      </c>
      <c r="J16" s="37">
        <v>0.36</v>
      </c>
      <c r="K16" s="15">
        <f t="shared" si="16"/>
        <v>7.0461600000000013E-2</v>
      </c>
      <c r="L16" s="14">
        <f t="shared" si="6"/>
        <v>0.61155539405682624</v>
      </c>
      <c r="M16" s="14">
        <f t="shared" si="7"/>
        <v>1.0015814380021482</v>
      </c>
      <c r="N16" s="15">
        <f t="shared" si="17"/>
        <v>7.2681700174436065E-2</v>
      </c>
      <c r="O16" s="39">
        <f t="shared" si="20"/>
        <v>0.20866279975071111</v>
      </c>
      <c r="P16" s="63">
        <f>(E16/(617.952*(F57^0.309)))^(1/0.794)</f>
        <v>2.2535612225347473E-2</v>
      </c>
      <c r="Q16" s="23">
        <f t="shared" si="1"/>
        <v>0.96945448208960694</v>
      </c>
      <c r="R16" s="23">
        <f t="shared" si="9"/>
        <v>1.7252715885634191</v>
      </c>
      <c r="S16" s="23">
        <f t="shared" si="10"/>
        <v>3.1266778685846677</v>
      </c>
      <c r="T16" s="23">
        <f t="shared" si="11"/>
        <v>3.2251930609937265</v>
      </c>
      <c r="V16" s="27">
        <f t="shared" si="2"/>
        <v>2.3847177095289243</v>
      </c>
      <c r="W16" s="41">
        <f t="shared" si="3"/>
        <v>7.0461600000000013E-2</v>
      </c>
      <c r="X16" s="42">
        <f t="shared" si="4"/>
        <v>7.2681700174436065E-2</v>
      </c>
      <c r="Y16" s="27">
        <f t="shared" si="12"/>
        <v>2.3847177095289243</v>
      </c>
      <c r="Z16" s="28">
        <f t="shared" si="13"/>
        <v>0.96945448208960694</v>
      </c>
    </row>
    <row r="17" spans="1:26" x14ac:dyDescent="0.2">
      <c r="A17" s="4">
        <v>44364</v>
      </c>
      <c r="B17" s="5" t="s">
        <v>3</v>
      </c>
      <c r="C17" s="5" t="s">
        <v>4</v>
      </c>
      <c r="D17" s="5">
        <v>13.04</v>
      </c>
      <c r="E17" s="32">
        <f t="shared" si="5"/>
        <v>13.5616</v>
      </c>
      <c r="F17" s="6">
        <f t="shared" si="19"/>
        <v>2.3847177095289243</v>
      </c>
      <c r="G17" s="5" t="s">
        <v>56</v>
      </c>
      <c r="H17" s="17">
        <v>0.53</v>
      </c>
      <c r="I17" s="17">
        <v>0.74</v>
      </c>
      <c r="J17" s="37">
        <v>0.33</v>
      </c>
      <c r="K17" s="15">
        <f t="shared" si="16"/>
        <v>6.7732940000000019E-2</v>
      </c>
      <c r="L17" s="14">
        <f t="shared" si="6"/>
        <v>0.62625873247404706</v>
      </c>
      <c r="M17" s="14">
        <f t="shared" si="7"/>
        <v>1.0015814380021482</v>
      </c>
      <c r="N17" s="15">
        <f t="shared" si="17"/>
        <v>7.2681700174436065E-2</v>
      </c>
      <c r="O17" s="39">
        <f t="shared" si="20"/>
        <v>0.20866279975071111</v>
      </c>
      <c r="P17" s="63">
        <f>(E17/(617.952*(F57^0.309)))^(1/0.794)</f>
        <v>2.2535612225347473E-2</v>
      </c>
      <c r="Q17" s="45">
        <f t="shared" si="1"/>
        <v>0.93191188204790176</v>
      </c>
      <c r="R17" s="45">
        <f t="shared" si="9"/>
        <v>1.5814989561831343</v>
      </c>
      <c r="S17" s="23">
        <f t="shared" si="10"/>
        <v>3.0055957354384968</v>
      </c>
      <c r="T17" s="23">
        <f t="shared" si="11"/>
        <v>3.2251930609937265</v>
      </c>
      <c r="V17" s="27">
        <f t="shared" si="2"/>
        <v>2.3847177095289243</v>
      </c>
      <c r="W17" s="41">
        <f t="shared" si="3"/>
        <v>6.7732940000000019E-2</v>
      </c>
      <c r="X17" s="42">
        <f t="shared" si="4"/>
        <v>7.2681700174436065E-2</v>
      </c>
      <c r="Y17" s="27">
        <f t="shared" si="12"/>
        <v>2.3847177095289243</v>
      </c>
      <c r="Z17" s="28">
        <f t="shared" si="13"/>
        <v>0.93191188204790176</v>
      </c>
    </row>
    <row r="18" spans="1:26" x14ac:dyDescent="0.2">
      <c r="A18" s="4">
        <v>44364</v>
      </c>
      <c r="B18" s="5" t="s">
        <v>3</v>
      </c>
      <c r="C18" s="5" t="s">
        <v>4</v>
      </c>
      <c r="D18" s="5">
        <v>13.04</v>
      </c>
      <c r="E18" s="32">
        <f t="shared" si="5"/>
        <v>13.5616</v>
      </c>
      <c r="F18" s="6">
        <f t="shared" si="19"/>
        <v>2.3847177095289243</v>
      </c>
      <c r="G18" s="5" t="s">
        <v>56</v>
      </c>
      <c r="H18" s="17">
        <v>0.54</v>
      </c>
      <c r="I18" s="17">
        <v>0.72</v>
      </c>
      <c r="J18" s="37">
        <v>0.33</v>
      </c>
      <c r="K18" s="15">
        <f t="shared" si="16"/>
        <v>6.7145759999999999E-2</v>
      </c>
      <c r="L18" s="14">
        <f t="shared" si="6"/>
        <v>0.62353829072479583</v>
      </c>
      <c r="M18" s="14">
        <f t="shared" si="7"/>
        <v>1.0015814380021482</v>
      </c>
      <c r="N18" s="15">
        <f t="shared" si="17"/>
        <v>7.2681700174436065E-2</v>
      </c>
      <c r="O18" s="39">
        <f t="shared" si="20"/>
        <v>0.20866279975071111</v>
      </c>
      <c r="P18" s="63">
        <f>(E18/(617.952*(F57^0.309)))^(1/0.794)</f>
        <v>2.2535612225347473E-2</v>
      </c>
      <c r="Q18" s="23">
        <f t="shared" si="1"/>
        <v>0.92383309469715469</v>
      </c>
      <c r="R18" s="23">
        <f t="shared" si="9"/>
        <v>1.5814989561831343</v>
      </c>
      <c r="S18" s="23">
        <f t="shared" si="10"/>
        <v>2.9795400865336239</v>
      </c>
      <c r="T18" s="23">
        <f t="shared" si="11"/>
        <v>3.2251930609937265</v>
      </c>
      <c r="V18" s="27">
        <f t="shared" si="2"/>
        <v>2.3847177095289243</v>
      </c>
      <c r="W18" s="41">
        <f t="shared" si="3"/>
        <v>6.7145759999999999E-2</v>
      </c>
      <c r="X18" s="42">
        <f t="shared" si="4"/>
        <v>7.2681700174436065E-2</v>
      </c>
      <c r="Y18" s="27">
        <f t="shared" si="12"/>
        <v>2.3847177095289243</v>
      </c>
      <c r="Z18" s="28">
        <f t="shared" si="13"/>
        <v>0.92383309469715469</v>
      </c>
    </row>
    <row r="19" spans="1:26" x14ac:dyDescent="0.2">
      <c r="A19" s="4">
        <v>44364</v>
      </c>
      <c r="B19" s="5" t="s">
        <v>3</v>
      </c>
      <c r="C19" s="5" t="s">
        <v>4</v>
      </c>
      <c r="D19" s="5">
        <v>13.04</v>
      </c>
      <c r="E19" s="32">
        <f t="shared" si="5"/>
        <v>13.5616</v>
      </c>
      <c r="F19" s="6">
        <f t="shared" si="19"/>
        <v>2.3847177095289243</v>
      </c>
      <c r="G19" s="5" t="s">
        <v>56</v>
      </c>
      <c r="H19" s="17">
        <v>0.52</v>
      </c>
      <c r="I19" s="17">
        <v>0.71</v>
      </c>
      <c r="J19" s="37">
        <v>0.33</v>
      </c>
      <c r="K19" s="15">
        <f t="shared" si="16"/>
        <v>6.3760839999999999E-2</v>
      </c>
      <c r="L19" s="14">
        <f t="shared" si="6"/>
        <v>0.60761830123853244</v>
      </c>
      <c r="M19" s="14">
        <f t="shared" si="7"/>
        <v>1.0015814380021482</v>
      </c>
      <c r="N19" s="15">
        <f t="shared" si="17"/>
        <v>7.2681700174436065E-2</v>
      </c>
      <c r="O19" s="39">
        <f t="shared" si="20"/>
        <v>0.20866279975071111</v>
      </c>
      <c r="P19" s="63">
        <f>(E19/(617.952*(F57^0.309)))^(1/0.794)</f>
        <v>2.2535612225347473E-2</v>
      </c>
      <c r="Q19" s="23">
        <f t="shared" si="1"/>
        <v>0.87726126173402652</v>
      </c>
      <c r="R19" s="23">
        <f t="shared" si="9"/>
        <v>1.5814989561831343</v>
      </c>
      <c r="S19" s="23">
        <f t="shared" si="10"/>
        <v>2.8293369340231838</v>
      </c>
      <c r="T19" s="23">
        <f t="shared" si="11"/>
        <v>3.2251930609937265</v>
      </c>
      <c r="V19" s="27">
        <f t="shared" si="2"/>
        <v>2.3847177095289243</v>
      </c>
      <c r="W19" s="41">
        <f t="shared" si="3"/>
        <v>6.3760839999999999E-2</v>
      </c>
      <c r="X19" s="42">
        <f t="shared" si="4"/>
        <v>7.2681700174436065E-2</v>
      </c>
      <c r="Y19" s="27">
        <f t="shared" si="12"/>
        <v>2.3847177095289243</v>
      </c>
      <c r="Z19" s="28">
        <f t="shared" si="13"/>
        <v>0.87726126173402652</v>
      </c>
    </row>
    <row r="20" spans="1:26" x14ac:dyDescent="0.2">
      <c r="A20" s="4">
        <v>44454</v>
      </c>
      <c r="B20" s="5" t="s">
        <v>3</v>
      </c>
      <c r="C20" s="5" t="s">
        <v>4</v>
      </c>
      <c r="D20" s="5">
        <v>13.04</v>
      </c>
      <c r="E20" s="32">
        <f t="shared" si="5"/>
        <v>13.5616</v>
      </c>
      <c r="F20" s="6">
        <f t="shared" si="19"/>
        <v>2.3847177095289243</v>
      </c>
      <c r="G20" s="5" t="s">
        <v>56</v>
      </c>
      <c r="H20" s="17">
        <v>0.56999999999999995</v>
      </c>
      <c r="I20" s="17">
        <v>0.68</v>
      </c>
      <c r="J20" s="37">
        <v>0.35</v>
      </c>
      <c r="K20" s="15">
        <f t="shared" si="16"/>
        <v>7.0995399999999986E-2</v>
      </c>
      <c r="L20" s="14">
        <f t="shared" si="6"/>
        <v>0.62257529665093525</v>
      </c>
      <c r="M20" s="14">
        <f t="shared" si="7"/>
        <v>1.0015814380021482</v>
      </c>
      <c r="N20" s="15">
        <f t="shared" si="17"/>
        <v>7.2681700174436065E-2</v>
      </c>
      <c r="O20" s="39">
        <f t="shared" si="20"/>
        <v>0.20866279975071111</v>
      </c>
      <c r="P20" s="63">
        <f>(E20/(617.952*(F57^0.309)))^(1/0.794)</f>
        <v>2.2535612225347473E-2</v>
      </c>
      <c r="Q20" s="23">
        <f t="shared" si="1"/>
        <v>0.97679883422664915</v>
      </c>
      <c r="R20" s="23">
        <f t="shared" si="9"/>
        <v>1.6773473777699908</v>
      </c>
      <c r="S20" s="23">
        <f t="shared" si="10"/>
        <v>3.1503648221345499</v>
      </c>
      <c r="T20" s="23">
        <f t="shared" si="11"/>
        <v>3.2251930609937265</v>
      </c>
      <c r="V20" s="27">
        <f t="shared" si="2"/>
        <v>2.3847177095289243</v>
      </c>
      <c r="W20" s="41">
        <f t="shared" si="3"/>
        <v>7.0995399999999986E-2</v>
      </c>
      <c r="X20" s="42">
        <f t="shared" si="4"/>
        <v>7.2681700174436065E-2</v>
      </c>
      <c r="Y20" s="27">
        <f t="shared" si="12"/>
        <v>2.3847177095289243</v>
      </c>
      <c r="Z20" s="28">
        <f t="shared" si="13"/>
        <v>0.97679883422664915</v>
      </c>
    </row>
    <row r="21" spans="1:26" x14ac:dyDescent="0.2">
      <c r="A21" s="4">
        <v>44454</v>
      </c>
      <c r="B21" s="5" t="s">
        <v>3</v>
      </c>
      <c r="C21" s="5" t="s">
        <v>4</v>
      </c>
      <c r="D21" s="5">
        <v>13.04</v>
      </c>
      <c r="E21" s="32">
        <f t="shared" si="5"/>
        <v>13.5616</v>
      </c>
      <c r="F21" s="6">
        <f t="shared" si="19"/>
        <v>2.3847177095289243</v>
      </c>
      <c r="G21" s="5" t="s">
        <v>56</v>
      </c>
      <c r="H21" s="17">
        <v>0.53</v>
      </c>
      <c r="I21" s="17">
        <v>0.7</v>
      </c>
      <c r="J21" s="37">
        <v>0.38</v>
      </c>
      <c r="K21" s="15">
        <f t="shared" si="16"/>
        <v>7.3779533333333328E-2</v>
      </c>
      <c r="L21" s="14">
        <f t="shared" si="6"/>
        <v>0.60909769331364239</v>
      </c>
      <c r="M21" s="14">
        <f t="shared" si="7"/>
        <v>1.0015814380021482</v>
      </c>
      <c r="N21" s="15">
        <f t="shared" si="17"/>
        <v>7.2681700174436065E-2</v>
      </c>
      <c r="O21" s="39">
        <f t="shared" si="20"/>
        <v>0.20866279975071111</v>
      </c>
      <c r="P21" s="63">
        <v>2.2535612225347473E-2</v>
      </c>
      <c r="Q21" s="23">
        <f t="shared" si="1"/>
        <v>1.0151046708629885</v>
      </c>
      <c r="R21" s="23">
        <f t="shared" si="9"/>
        <v>1.8211200101502758</v>
      </c>
      <c r="S21" s="23">
        <f t="shared" si="10"/>
        <v>3.2739085406496309</v>
      </c>
      <c r="T21" s="23">
        <f t="shared" si="11"/>
        <v>3.2251930609937265</v>
      </c>
      <c r="V21" s="27">
        <f t="shared" si="2"/>
        <v>2.3847177095289243</v>
      </c>
      <c r="W21" s="41">
        <f t="shared" si="3"/>
        <v>7.3779533333333328E-2</v>
      </c>
      <c r="X21" s="42">
        <f t="shared" si="4"/>
        <v>7.2681700174436065E-2</v>
      </c>
      <c r="Y21" s="27">
        <f t="shared" si="12"/>
        <v>2.3847177095289243</v>
      </c>
      <c r="Z21" s="28">
        <f t="shared" si="13"/>
        <v>1.0151046708629885</v>
      </c>
    </row>
    <row r="22" spans="1:26" x14ac:dyDescent="0.2">
      <c r="A22" s="4">
        <v>44454</v>
      </c>
      <c r="B22" s="5" t="s">
        <v>3</v>
      </c>
      <c r="C22" s="5" t="s">
        <v>4</v>
      </c>
      <c r="D22" s="5">
        <v>13.04</v>
      </c>
      <c r="E22" s="32">
        <f t="shared" si="5"/>
        <v>13.5616</v>
      </c>
      <c r="F22" s="6">
        <f t="shared" si="19"/>
        <v>2.3847177095289243</v>
      </c>
      <c r="G22" s="5" t="s">
        <v>56</v>
      </c>
      <c r="H22" s="17">
        <v>0.57999999999999996</v>
      </c>
      <c r="I22" s="17">
        <v>0.74</v>
      </c>
      <c r="J22" s="37">
        <v>0.32</v>
      </c>
      <c r="K22" s="15">
        <f t="shared" si="16"/>
        <v>7.1876693333333325E-2</v>
      </c>
      <c r="L22" s="14">
        <f t="shared" si="6"/>
        <v>0.65513357416636797</v>
      </c>
      <c r="M22" s="14">
        <f t="shared" si="7"/>
        <v>1.0015814380021482</v>
      </c>
      <c r="N22" s="15">
        <f t="shared" si="17"/>
        <v>7.2681700174436065E-2</v>
      </c>
      <c r="O22" s="39">
        <f t="shared" si="20"/>
        <v>0.20866279975071111</v>
      </c>
      <c r="P22" s="63">
        <f>(E22/(617.952*(F57^0.309)))^(1/0.794)</f>
        <v>2.2535612225347473E-2</v>
      </c>
      <c r="Q22" s="45">
        <f t="shared" si="1"/>
        <v>0.9889242155980017</v>
      </c>
      <c r="R22" s="23">
        <f t="shared" si="9"/>
        <v>1.533574745389706</v>
      </c>
      <c r="S22" s="23">
        <f t="shared" si="10"/>
        <v>3.1894715179953388</v>
      </c>
      <c r="T22" s="23">
        <f t="shared" si="11"/>
        <v>3.2251930609937265</v>
      </c>
      <c r="V22" s="27">
        <f t="shared" si="2"/>
        <v>2.3847177095289243</v>
      </c>
      <c r="W22" s="41">
        <f t="shared" si="3"/>
        <v>7.1876693333333325E-2</v>
      </c>
      <c r="X22" s="42">
        <f t="shared" si="4"/>
        <v>7.2681700174436065E-2</v>
      </c>
      <c r="Y22" s="27">
        <f t="shared" si="12"/>
        <v>2.3847177095289243</v>
      </c>
      <c r="Z22" s="28">
        <f t="shared" si="13"/>
        <v>0.9889242155980017</v>
      </c>
    </row>
    <row r="23" spans="1:26" x14ac:dyDescent="0.2">
      <c r="A23" s="4">
        <v>44454</v>
      </c>
      <c r="B23" s="5" t="s">
        <v>3</v>
      </c>
      <c r="C23" s="5" t="s">
        <v>4</v>
      </c>
      <c r="D23" s="5">
        <v>13.04</v>
      </c>
      <c r="E23" s="32">
        <f t="shared" si="5"/>
        <v>13.5616</v>
      </c>
      <c r="F23" s="6">
        <f t="shared" si="19"/>
        <v>2.3847177095289243</v>
      </c>
      <c r="G23" s="5" t="s">
        <v>56</v>
      </c>
      <c r="H23" s="17">
        <v>0.53</v>
      </c>
      <c r="I23" s="17">
        <v>0.76</v>
      </c>
      <c r="J23" s="37">
        <v>0.31</v>
      </c>
      <c r="K23" s="15">
        <f t="shared" si="16"/>
        <v>6.5347586666666679E-2</v>
      </c>
      <c r="L23" s="14">
        <f t="shared" si="6"/>
        <v>0.63466526610489726</v>
      </c>
      <c r="M23" s="14">
        <f t="shared" si="7"/>
        <v>1.0015814380021482</v>
      </c>
      <c r="N23" s="15">
        <f t="shared" si="17"/>
        <v>7.2681700174436065E-2</v>
      </c>
      <c r="O23" s="39">
        <f t="shared" si="20"/>
        <v>0.20866279975071111</v>
      </c>
      <c r="P23" s="63">
        <f>(E23/(617.952*(F57^0.309)))^(1/0.794)</f>
        <v>2.2535612225347473E-2</v>
      </c>
      <c r="Q23" s="45">
        <f t="shared" si="1"/>
        <v>0.89909270847864708</v>
      </c>
      <c r="R23" s="23">
        <f t="shared" si="9"/>
        <v>1.4856505345962776</v>
      </c>
      <c r="S23" s="23">
        <f t="shared" si="10"/>
        <v>2.8997475645753883</v>
      </c>
      <c r="T23" s="23">
        <f t="shared" si="11"/>
        <v>3.2251930609937265</v>
      </c>
      <c r="V23" s="27">
        <f t="shared" si="2"/>
        <v>2.3847177095289243</v>
      </c>
      <c r="W23" s="41">
        <f t="shared" si="3"/>
        <v>6.5347586666666679E-2</v>
      </c>
      <c r="X23" s="42">
        <f t="shared" si="4"/>
        <v>7.2681700174436065E-2</v>
      </c>
      <c r="Y23" s="27">
        <f t="shared" si="12"/>
        <v>2.3847177095289243</v>
      </c>
      <c r="Z23" s="28">
        <f t="shared" si="13"/>
        <v>0.89909270847864708</v>
      </c>
    </row>
    <row r="24" spans="1:26" x14ac:dyDescent="0.2">
      <c r="A24" s="4">
        <v>44454</v>
      </c>
      <c r="B24" s="5" t="s">
        <v>3</v>
      </c>
      <c r="C24" s="5" t="s">
        <v>4</v>
      </c>
      <c r="D24" s="5">
        <v>26.08</v>
      </c>
      <c r="E24" s="32">
        <f t="shared" si="5"/>
        <v>27.123200000000001</v>
      </c>
      <c r="F24" s="6">
        <f t="shared" si="19"/>
        <v>3.0045560402925795</v>
      </c>
      <c r="G24" s="5" t="s">
        <v>56</v>
      </c>
      <c r="H24" s="17">
        <v>0.68</v>
      </c>
      <c r="I24" s="17">
        <v>0.88</v>
      </c>
      <c r="J24" s="37">
        <v>0.44</v>
      </c>
      <c r="K24" s="15">
        <f t="shared" si="16"/>
        <v>0.13779157333333333</v>
      </c>
      <c r="L24" s="14">
        <f t="shared" si="6"/>
        <v>0.77356318423254866</v>
      </c>
      <c r="M24" s="14">
        <f t="shared" si="7"/>
        <v>1.2619135369228833</v>
      </c>
      <c r="N24" s="15">
        <f t="shared" si="17"/>
        <v>0.14536340034887207</v>
      </c>
      <c r="O24" s="39">
        <f>0.5*POWER(N24, 1/3)</f>
        <v>0.26289865373591959</v>
      </c>
      <c r="P24" s="63">
        <f>(E24/(617.952*(F58^0.309)))^(1/0.794)</f>
        <v>4.5106865811039745E-2</v>
      </c>
      <c r="Q24" s="23">
        <f t="shared" si="1"/>
        <v>0.94791104915428259</v>
      </c>
      <c r="R24" s="23">
        <f t="shared" si="9"/>
        <v>1.6736487378211449</v>
      </c>
      <c r="S24" s="23">
        <f t="shared" si="10"/>
        <v>3.0547804830990795</v>
      </c>
      <c r="T24" s="23">
        <f t="shared" si="11"/>
        <v>3.2226446625182037</v>
      </c>
      <c r="V24" s="27">
        <f t="shared" si="2"/>
        <v>3.0045560402925795</v>
      </c>
      <c r="W24" s="41">
        <f t="shared" si="3"/>
        <v>0.13779157333333333</v>
      </c>
      <c r="X24" s="42">
        <f t="shared" si="4"/>
        <v>0.14536340034887207</v>
      </c>
      <c r="Y24" s="27">
        <f t="shared" si="12"/>
        <v>3.0045560402925795</v>
      </c>
      <c r="Z24" s="28">
        <f t="shared" si="13"/>
        <v>0.94791104915428259</v>
      </c>
    </row>
    <row r="25" spans="1:26" x14ac:dyDescent="0.2">
      <c r="A25" s="4">
        <v>44523</v>
      </c>
      <c r="B25" s="5" t="s">
        <v>3</v>
      </c>
      <c r="C25" s="5" t="s">
        <v>4</v>
      </c>
      <c r="D25" s="5">
        <v>26.08</v>
      </c>
      <c r="E25" s="32">
        <f t="shared" si="5"/>
        <v>27.123200000000001</v>
      </c>
      <c r="F25" s="6">
        <f t="shared" si="19"/>
        <v>3.0045560402925795</v>
      </c>
      <c r="G25" s="5" t="s">
        <v>56</v>
      </c>
      <c r="H25" s="17">
        <v>0.64</v>
      </c>
      <c r="I25" s="17">
        <v>0.85</v>
      </c>
      <c r="J25" s="37">
        <v>0.46</v>
      </c>
      <c r="K25" s="15">
        <f t="shared" si="16"/>
        <v>0.13095893333333333</v>
      </c>
      <c r="L25" s="14">
        <f t="shared" si="6"/>
        <v>0.73756355658343098</v>
      </c>
      <c r="M25" s="14">
        <f t="shared" si="7"/>
        <v>1.2619135369228833</v>
      </c>
      <c r="N25" s="15">
        <f t="shared" si="17"/>
        <v>0.14536340034887207</v>
      </c>
      <c r="O25" s="39">
        <f t="shared" si="20"/>
        <v>0.26289865373591959</v>
      </c>
      <c r="P25" s="63">
        <f>(E25/(617.952*(F58^0.309)))^(1/0.794)</f>
        <v>4.5106865811039745E-2</v>
      </c>
      <c r="Q25" s="23">
        <f t="shared" si="1"/>
        <v>0.90090719547721065</v>
      </c>
      <c r="R25" s="23">
        <f t="shared" si="9"/>
        <v>1.7497236804493788</v>
      </c>
      <c r="S25" s="23">
        <f>K25/P25</f>
        <v>2.9033037649288769</v>
      </c>
      <c r="T25" s="23">
        <f t="shared" si="11"/>
        <v>3.2226446625182037</v>
      </c>
      <c r="V25" s="27">
        <f t="shared" si="2"/>
        <v>3.0045560402925795</v>
      </c>
      <c r="W25" s="41">
        <f t="shared" si="3"/>
        <v>0.13095893333333333</v>
      </c>
      <c r="X25" s="42">
        <f t="shared" si="4"/>
        <v>0.14536340034887207</v>
      </c>
      <c r="Y25" s="27">
        <f t="shared" si="12"/>
        <v>3.0045560402925795</v>
      </c>
      <c r="Z25" s="28">
        <f t="shared" si="13"/>
        <v>0.90090719547721065</v>
      </c>
    </row>
    <row r="26" spans="1:26" x14ac:dyDescent="0.2">
      <c r="A26" s="4">
        <v>44523</v>
      </c>
      <c r="B26" s="5" t="s">
        <v>3</v>
      </c>
      <c r="C26" s="5" t="s">
        <v>4</v>
      </c>
      <c r="D26" s="5">
        <v>26.08</v>
      </c>
      <c r="E26" s="32">
        <f t="shared" si="5"/>
        <v>27.123200000000001</v>
      </c>
      <c r="F26" s="6">
        <f t="shared" si="19"/>
        <v>3.0045560402925795</v>
      </c>
      <c r="G26" s="5" t="s">
        <v>56</v>
      </c>
      <c r="H26" s="17">
        <v>0.62</v>
      </c>
      <c r="I26" s="17">
        <v>0.9</v>
      </c>
      <c r="J26" s="37">
        <v>0.44</v>
      </c>
      <c r="K26" s="15">
        <f t="shared" si="16"/>
        <v>0.12848879999999999</v>
      </c>
      <c r="L26" s="14">
        <f t="shared" si="6"/>
        <v>0.74699397587932392</v>
      </c>
      <c r="M26" s="14">
        <f t="shared" si="7"/>
        <v>1.2619135369228833</v>
      </c>
      <c r="N26" s="15">
        <f t="shared" si="17"/>
        <v>0.14536340034887207</v>
      </c>
      <c r="O26" s="39">
        <f t="shared" si="20"/>
        <v>0.26289865373591959</v>
      </c>
      <c r="P26" s="63">
        <f>(E26/(617.952*(F58^0.309)))^(1/0.794)</f>
        <v>4.5106865811039745E-2</v>
      </c>
      <c r="Q26" s="23">
        <f t="shared" si="1"/>
        <v>0.88391438072875939</v>
      </c>
      <c r="R26" s="23">
        <f t="shared" si="9"/>
        <v>1.6736487378211449</v>
      </c>
      <c r="S26" s="23">
        <f t="shared" si="10"/>
        <v>2.8485419611786198</v>
      </c>
      <c r="T26" s="23">
        <f t="shared" si="11"/>
        <v>3.2226446625182037</v>
      </c>
      <c r="V26" s="27">
        <f t="shared" si="2"/>
        <v>3.0045560402925795</v>
      </c>
      <c r="W26" s="41">
        <f t="shared" si="3"/>
        <v>0.12848879999999999</v>
      </c>
      <c r="X26" s="42">
        <f t="shared" si="4"/>
        <v>0.14536340034887207</v>
      </c>
      <c r="Y26" s="27">
        <f t="shared" si="12"/>
        <v>3.0045560402925795</v>
      </c>
      <c r="Z26" s="28">
        <f t="shared" si="13"/>
        <v>0.88391438072875939</v>
      </c>
    </row>
    <row r="27" spans="1:26" x14ac:dyDescent="0.2">
      <c r="A27" s="4">
        <v>44523</v>
      </c>
      <c r="B27" s="5" t="s">
        <v>3</v>
      </c>
      <c r="C27" s="5" t="s">
        <v>4</v>
      </c>
      <c r="D27" s="5">
        <v>26.08</v>
      </c>
      <c r="E27" s="32">
        <f t="shared" si="5"/>
        <v>27.123200000000001</v>
      </c>
      <c r="F27" s="6">
        <f t="shared" si="19"/>
        <v>3.0045560402925795</v>
      </c>
      <c r="G27" s="5" t="s">
        <v>56</v>
      </c>
      <c r="H27" s="17">
        <v>0.6</v>
      </c>
      <c r="I27" s="17">
        <v>0.89</v>
      </c>
      <c r="J27" s="37">
        <v>0.43</v>
      </c>
      <c r="K27" s="15">
        <f t="shared" si="16"/>
        <v>0.12016780000000001</v>
      </c>
      <c r="L27" s="14">
        <f t="shared" si="6"/>
        <v>0.73075303625780441</v>
      </c>
      <c r="M27" s="14">
        <f t="shared" si="7"/>
        <v>1.2619135369228833</v>
      </c>
      <c r="N27" s="15">
        <f t="shared" si="17"/>
        <v>0.14536340034887207</v>
      </c>
      <c r="O27" s="39">
        <f t="shared" si="20"/>
        <v>0.26289865373591959</v>
      </c>
      <c r="P27" s="63">
        <f>(E27/(617.952*(F58^0.309)))^(1/0.794)</f>
        <v>4.5106865811039745E-2</v>
      </c>
      <c r="Q27" s="23">
        <f t="shared" si="1"/>
        <v>0.82667163613122252</v>
      </c>
      <c r="R27" s="23">
        <f t="shared" si="9"/>
        <v>1.6356112665070279</v>
      </c>
      <c r="S27" s="23">
        <f t="shared" si="10"/>
        <v>2.664068935833475</v>
      </c>
      <c r="T27" s="23">
        <f t="shared" si="11"/>
        <v>3.2226446625182037</v>
      </c>
      <c r="V27" s="27">
        <f t="shared" si="2"/>
        <v>3.0045560402925795</v>
      </c>
      <c r="W27" s="41">
        <f t="shared" si="3"/>
        <v>0.12016780000000001</v>
      </c>
      <c r="X27" s="42">
        <f t="shared" si="4"/>
        <v>0.14536340034887207</v>
      </c>
      <c r="Y27" s="27">
        <f t="shared" si="12"/>
        <v>3.0045560402925795</v>
      </c>
      <c r="Z27" s="28">
        <f t="shared" si="13"/>
        <v>0.82667163613122252</v>
      </c>
    </row>
    <row r="28" spans="1:26" x14ac:dyDescent="0.2">
      <c r="A28" s="4">
        <v>44523</v>
      </c>
      <c r="B28" s="5" t="s">
        <v>3</v>
      </c>
      <c r="C28" s="5" t="s">
        <v>4</v>
      </c>
      <c r="D28" s="5">
        <v>26.08</v>
      </c>
      <c r="E28" s="32">
        <f>D28*1.04</f>
        <v>27.123200000000001</v>
      </c>
      <c r="F28" s="6">
        <f t="shared" si="19"/>
        <v>3.0045560402925795</v>
      </c>
      <c r="G28" s="5" t="s">
        <v>56</v>
      </c>
      <c r="H28" s="17">
        <v>0.61</v>
      </c>
      <c r="I28" s="17">
        <v>0.88</v>
      </c>
      <c r="J28" s="37">
        <v>0.42</v>
      </c>
      <c r="K28" s="15">
        <f t="shared" si="16"/>
        <v>0.11798863999999998</v>
      </c>
      <c r="L28" s="14">
        <f t="shared" si="6"/>
        <v>0.73266636336056801</v>
      </c>
      <c r="M28" s="14">
        <f t="shared" si="7"/>
        <v>1.2619135369228833</v>
      </c>
      <c r="N28" s="15">
        <f t="shared" si="17"/>
        <v>0.14536340034887207</v>
      </c>
      <c r="O28" s="39">
        <f t="shared" si="20"/>
        <v>0.26289865373591959</v>
      </c>
      <c r="P28" s="63">
        <f>(E28/(617.952*(F58^0.309)))^(1/0.794)</f>
        <v>4.5106865811039745E-2</v>
      </c>
      <c r="Q28" s="23">
        <f t="shared" si="1"/>
        <v>0.81168051735737679</v>
      </c>
      <c r="R28" s="23">
        <f t="shared" si="9"/>
        <v>1.5975737951929108</v>
      </c>
      <c r="S28" s="23">
        <f t="shared" si="10"/>
        <v>2.6157578869317644</v>
      </c>
      <c r="T28" s="23">
        <f t="shared" si="11"/>
        <v>3.2226446625182037</v>
      </c>
      <c r="V28" s="27">
        <f t="shared" si="2"/>
        <v>3.0045560402925795</v>
      </c>
      <c r="W28" s="41">
        <f t="shared" si="3"/>
        <v>0.11798863999999998</v>
      </c>
      <c r="X28" s="42">
        <f t="shared" si="4"/>
        <v>0.14536340034887207</v>
      </c>
      <c r="Y28" s="27">
        <f t="shared" si="12"/>
        <v>3.0045560402925795</v>
      </c>
      <c r="Z28" s="28">
        <f t="shared" si="13"/>
        <v>0.81168051735737679</v>
      </c>
    </row>
    <row r="29" spans="1:26" x14ac:dyDescent="0.2">
      <c r="A29" s="4">
        <v>44523</v>
      </c>
      <c r="B29" s="5" t="s">
        <v>3</v>
      </c>
      <c r="C29" s="5" t="s">
        <v>4</v>
      </c>
      <c r="D29" s="5">
        <v>26.08</v>
      </c>
      <c r="E29" s="32">
        <f t="shared" si="5"/>
        <v>27.123200000000001</v>
      </c>
      <c r="F29" s="6">
        <f t="shared" si="19"/>
        <v>3.0045560402925795</v>
      </c>
      <c r="G29" s="5" t="s">
        <v>56</v>
      </c>
      <c r="H29" s="17">
        <v>0.64</v>
      </c>
      <c r="I29" s="17">
        <v>0.86</v>
      </c>
      <c r="J29" s="37">
        <v>0.44</v>
      </c>
      <c r="K29" s="15">
        <f t="shared" si="16"/>
        <v>0.1267387733333333</v>
      </c>
      <c r="L29" s="14">
        <f t="shared" si="6"/>
        <v>0.74188947963965635</v>
      </c>
      <c r="M29" s="14">
        <f t="shared" si="7"/>
        <v>1.2619135369228833</v>
      </c>
      <c r="N29" s="15">
        <f t="shared" si="17"/>
        <v>0.14536340034887207</v>
      </c>
      <c r="O29" s="39">
        <f t="shared" si="20"/>
        <v>0.26289865373591959</v>
      </c>
      <c r="P29" s="63">
        <f>(E29/(617.952*(F58^0.309)))^(1/0.794)</f>
        <v>4.5106865811039745E-2</v>
      </c>
      <c r="Q29" s="23">
        <f t="shared" si="1"/>
        <v>0.87187540350019554</v>
      </c>
      <c r="R29" s="23">
        <f t="shared" si="9"/>
        <v>1.6736487378211449</v>
      </c>
      <c r="S29" s="23">
        <f t="shared" si="10"/>
        <v>2.8097446154708101</v>
      </c>
      <c r="T29" s="23">
        <f t="shared" si="11"/>
        <v>3.2226446625182037</v>
      </c>
      <c r="V29" s="27">
        <f t="shared" si="2"/>
        <v>3.0045560402925795</v>
      </c>
      <c r="W29" s="41">
        <f t="shared" si="3"/>
        <v>0.1267387733333333</v>
      </c>
      <c r="X29" s="42">
        <f t="shared" si="4"/>
        <v>0.14536340034887207</v>
      </c>
      <c r="Y29" s="27">
        <f>V29</f>
        <v>3.0045560402925795</v>
      </c>
      <c r="Z29" s="28">
        <f t="shared" si="13"/>
        <v>0.87187540350019554</v>
      </c>
    </row>
    <row r="30" spans="1:26" x14ac:dyDescent="0.2">
      <c r="A30" s="4">
        <v>44608</v>
      </c>
      <c r="B30" s="5" t="s">
        <v>3</v>
      </c>
      <c r="C30" s="5" t="s">
        <v>4</v>
      </c>
      <c r="D30" s="5">
        <v>26.08</v>
      </c>
      <c r="E30" s="32">
        <f t="shared" si="5"/>
        <v>27.123200000000001</v>
      </c>
      <c r="F30" s="6">
        <f t="shared" si="19"/>
        <v>3.0045560402925795</v>
      </c>
      <c r="G30" s="5" t="s">
        <v>56</v>
      </c>
      <c r="H30" s="17">
        <v>0.68</v>
      </c>
      <c r="I30" s="17">
        <v>0.85</v>
      </c>
      <c r="J30" s="37">
        <v>0.43</v>
      </c>
      <c r="K30" s="15">
        <f t="shared" si="16"/>
        <v>0.13006926666666668</v>
      </c>
      <c r="L30" s="14">
        <f t="shared" si="6"/>
        <v>0.76026311234992849</v>
      </c>
      <c r="M30" s="14">
        <f t="shared" si="7"/>
        <v>1.2619135369228833</v>
      </c>
      <c r="N30" s="15">
        <f t="shared" si="17"/>
        <v>0.14536340034887207</v>
      </c>
      <c r="O30" s="39">
        <f t="shared" si="20"/>
        <v>0.26289865373591959</v>
      </c>
      <c r="P30" s="63">
        <f>(E30/(617.952*(F58^0.309)))^(1/0.794)</f>
        <v>4.5106865811039745E-2</v>
      </c>
      <c r="Q30" s="23">
        <f t="shared" si="1"/>
        <v>0.89478690202967548</v>
      </c>
      <c r="R30" s="23">
        <f t="shared" si="9"/>
        <v>1.6356112665070279</v>
      </c>
      <c r="S30" s="23">
        <f t="shared" si="10"/>
        <v>2.8835802339171321</v>
      </c>
      <c r="T30" s="23">
        <f t="shared" si="11"/>
        <v>3.2226446625182037</v>
      </c>
      <c r="V30" s="27">
        <f t="shared" si="2"/>
        <v>3.0045560402925795</v>
      </c>
      <c r="W30" s="41">
        <f t="shared" si="3"/>
        <v>0.13006926666666668</v>
      </c>
      <c r="X30" s="42">
        <f t="shared" si="4"/>
        <v>0.14536340034887207</v>
      </c>
      <c r="Y30" s="27">
        <f t="shared" si="12"/>
        <v>3.0045560402925795</v>
      </c>
      <c r="Z30" s="28">
        <f t="shared" si="13"/>
        <v>0.89478690202967548</v>
      </c>
    </row>
    <row r="31" spans="1:26" x14ac:dyDescent="0.2">
      <c r="A31" s="4">
        <v>44608</v>
      </c>
      <c r="B31" s="5" t="s">
        <v>3</v>
      </c>
      <c r="C31" s="5" t="s">
        <v>4</v>
      </c>
      <c r="D31" s="5">
        <v>26.08</v>
      </c>
      <c r="E31" s="32">
        <f t="shared" si="5"/>
        <v>27.123200000000001</v>
      </c>
      <c r="F31" s="6">
        <f t="shared" si="19"/>
        <v>3.0045560402925795</v>
      </c>
      <c r="G31" s="5" t="s">
        <v>56</v>
      </c>
      <c r="H31" s="17">
        <v>0.7</v>
      </c>
      <c r="I31" s="17">
        <v>0.82</v>
      </c>
      <c r="J31" s="37">
        <v>0.42</v>
      </c>
      <c r="K31" s="15">
        <f t="shared" si="16"/>
        <v>0.12616519999999998</v>
      </c>
      <c r="L31" s="14">
        <f t="shared" si="6"/>
        <v>0.75762787699503242</v>
      </c>
      <c r="M31" s="14">
        <f t="shared" si="7"/>
        <v>1.2619135369228833</v>
      </c>
      <c r="N31" s="15">
        <f t="shared" si="17"/>
        <v>0.14536340034887207</v>
      </c>
      <c r="O31" s="39">
        <f t="shared" si="20"/>
        <v>0.26289865373591959</v>
      </c>
      <c r="P31" s="63">
        <f>(E31/(617.952*(F58^0.309)))^(1/0.794)</f>
        <v>4.5106865811039745E-2</v>
      </c>
      <c r="Q31" s="23">
        <f t="shared" si="1"/>
        <v>0.86792961431284332</v>
      </c>
      <c r="R31" s="23">
        <f t="shared" si="9"/>
        <v>1.5975737951929108</v>
      </c>
      <c r="S31" s="23">
        <f t="shared" si="10"/>
        <v>2.7970287390067674</v>
      </c>
      <c r="T31" s="23">
        <f t="shared" si="11"/>
        <v>3.2226446625182037</v>
      </c>
      <c r="V31" s="27">
        <f t="shared" si="2"/>
        <v>3.0045560402925795</v>
      </c>
      <c r="W31" s="41">
        <f t="shared" si="3"/>
        <v>0.12616519999999998</v>
      </c>
      <c r="X31" s="42">
        <f t="shared" si="4"/>
        <v>0.14536340034887207</v>
      </c>
      <c r="Y31" s="27">
        <f t="shared" si="12"/>
        <v>3.0045560402925795</v>
      </c>
      <c r="Z31" s="28">
        <f t="shared" si="13"/>
        <v>0.86792961431284332</v>
      </c>
    </row>
    <row r="32" spans="1:26" x14ac:dyDescent="0.2">
      <c r="A32" s="4">
        <v>44608</v>
      </c>
      <c r="B32" s="5" t="s">
        <v>3</v>
      </c>
      <c r="C32" s="5" t="s">
        <v>4</v>
      </c>
      <c r="D32" s="5">
        <v>26.08</v>
      </c>
      <c r="E32" s="32">
        <f t="shared" si="5"/>
        <v>27.123200000000001</v>
      </c>
      <c r="F32" s="6">
        <f t="shared" si="19"/>
        <v>3.0045560402925795</v>
      </c>
      <c r="G32" s="5" t="s">
        <v>56</v>
      </c>
      <c r="H32" s="17">
        <v>0.61</v>
      </c>
      <c r="I32" s="17">
        <v>0.83</v>
      </c>
      <c r="J32" s="37">
        <v>0.44</v>
      </c>
      <c r="K32" s="15">
        <f t="shared" si="16"/>
        <v>0.11658401333333333</v>
      </c>
      <c r="L32" s="14">
        <f t="shared" si="6"/>
        <v>0.71154760908880865</v>
      </c>
      <c r="M32" s="14">
        <f t="shared" si="7"/>
        <v>1.2619135369228833</v>
      </c>
      <c r="N32" s="15">
        <f t="shared" si="17"/>
        <v>0.14536340034887207</v>
      </c>
      <c r="O32" s="39">
        <f t="shared" si="20"/>
        <v>0.26289865373591959</v>
      </c>
      <c r="P32" s="63">
        <f>(E32/(617.952*(F58^0.309)))^(1/0.794)</f>
        <v>4.5106865811039745E-2</v>
      </c>
      <c r="Q32" s="23">
        <f t="shared" si="1"/>
        <v>0.8020176540555034</v>
      </c>
      <c r="R32" s="23">
        <f t="shared" si="9"/>
        <v>1.6736487378211449</v>
      </c>
      <c r="S32" s="23">
        <f t="shared" si="10"/>
        <v>2.5846179120873392</v>
      </c>
      <c r="T32" s="23">
        <f t="shared" si="11"/>
        <v>3.2226446625182037</v>
      </c>
      <c r="V32" s="27">
        <f t="shared" si="2"/>
        <v>3.0045560402925795</v>
      </c>
      <c r="W32" s="41">
        <f t="shared" si="3"/>
        <v>0.11658401333333333</v>
      </c>
      <c r="X32" s="42">
        <f t="shared" si="4"/>
        <v>0.14536340034887207</v>
      </c>
      <c r="Y32" s="27">
        <f t="shared" si="12"/>
        <v>3.0045560402925795</v>
      </c>
      <c r="Z32" s="28">
        <f t="shared" si="13"/>
        <v>0.8020176540555034</v>
      </c>
    </row>
    <row r="33" spans="1:42" x14ac:dyDescent="0.2">
      <c r="A33" s="4">
        <v>44608</v>
      </c>
      <c r="B33" s="5" t="s">
        <v>3</v>
      </c>
      <c r="C33" s="5" t="s">
        <v>4</v>
      </c>
      <c r="D33" s="5">
        <v>26.08</v>
      </c>
      <c r="E33" s="32">
        <f t="shared" si="5"/>
        <v>27.123200000000001</v>
      </c>
      <c r="F33" s="6">
        <f t="shared" si="19"/>
        <v>3.0045560402925795</v>
      </c>
      <c r="G33" s="5" t="s">
        <v>56</v>
      </c>
      <c r="H33" s="17">
        <v>0.61</v>
      </c>
      <c r="I33" s="17">
        <v>0.86</v>
      </c>
      <c r="J33" s="37">
        <v>0.46</v>
      </c>
      <c r="K33" s="15">
        <f t="shared" si="16"/>
        <v>0.12628870666666667</v>
      </c>
      <c r="L33" s="14">
        <f t="shared" si="6"/>
        <v>0.72429275848927277</v>
      </c>
      <c r="M33" s="14">
        <f t="shared" si="7"/>
        <v>1.2619135369228833</v>
      </c>
      <c r="N33" s="15">
        <f t="shared" si="17"/>
        <v>0.14536340034887207</v>
      </c>
      <c r="O33" s="39">
        <f t="shared" si="20"/>
        <v>0.26289865373591959</v>
      </c>
      <c r="P33" s="63">
        <f>(E33/(617.952*(F58^0.309)))^(1/0.794)</f>
        <v>4.5106865811039745E-2</v>
      </c>
      <c r="Q33" s="23">
        <f t="shared" si="1"/>
        <v>0.8687792550502661</v>
      </c>
      <c r="R33" s="23">
        <f t="shared" si="9"/>
        <v>1.7497236804493788</v>
      </c>
      <c r="S33" s="23">
        <f t="shared" si="10"/>
        <v>2.7997668291942808</v>
      </c>
      <c r="T33" s="23">
        <f t="shared" si="11"/>
        <v>3.2226446625182037</v>
      </c>
      <c r="V33" s="27">
        <f t="shared" si="2"/>
        <v>3.0045560402925795</v>
      </c>
      <c r="W33" s="41">
        <f t="shared" si="3"/>
        <v>0.12628870666666667</v>
      </c>
      <c r="X33" s="42">
        <f t="shared" si="4"/>
        <v>0.14536340034887207</v>
      </c>
      <c r="Y33" s="27">
        <f t="shared" si="12"/>
        <v>3.0045560402925795</v>
      </c>
      <c r="Z33" s="28">
        <f t="shared" si="13"/>
        <v>0.8687792550502661</v>
      </c>
    </row>
    <row r="34" spans="1:42" x14ac:dyDescent="0.2">
      <c r="A34" s="4" t="s">
        <v>23</v>
      </c>
      <c r="B34" s="34" t="s">
        <v>3</v>
      </c>
      <c r="C34" s="34" t="s">
        <v>4</v>
      </c>
      <c r="D34" s="5">
        <v>26.08</v>
      </c>
      <c r="E34" s="32">
        <f t="shared" si="5"/>
        <v>27.123200000000001</v>
      </c>
      <c r="F34" s="6">
        <f>POWER(E34,1/3)</f>
        <v>3.0045560402925795</v>
      </c>
      <c r="G34" s="5" t="s">
        <v>56</v>
      </c>
      <c r="H34" s="17">
        <v>0.64</v>
      </c>
      <c r="I34" s="17">
        <v>0.84</v>
      </c>
      <c r="J34" s="37">
        <v>0.48</v>
      </c>
      <c r="K34" s="15">
        <f t="shared" si="16"/>
        <v>0.13504511999999996</v>
      </c>
      <c r="L34" s="14">
        <f t="shared" si="6"/>
        <v>0.73321211119293439</v>
      </c>
      <c r="M34" s="14">
        <f t="shared" si="7"/>
        <v>1.2619135369228833</v>
      </c>
      <c r="N34" s="15">
        <f t="shared" si="17"/>
        <v>0.14536340034887207</v>
      </c>
      <c r="O34" s="39">
        <f>0.5*POWER(N34, 1/3)</f>
        <v>0.26289865373591959</v>
      </c>
      <c r="P34" s="63">
        <f>(E34/(617.952*(F58^0.309)))^(1/0.794)</f>
        <v>4.5106865811039745E-2</v>
      </c>
      <c r="Q34" s="23">
        <f t="shared" si="1"/>
        <v>0.92901734326447893</v>
      </c>
      <c r="R34" s="23">
        <f t="shared" si="9"/>
        <v>1.8257986230776124</v>
      </c>
      <c r="S34" s="23">
        <f t="shared" si="10"/>
        <v>2.9938927826581145</v>
      </c>
      <c r="T34" s="23">
        <f t="shared" si="11"/>
        <v>3.2226446625182037</v>
      </c>
      <c r="V34" s="27">
        <f t="shared" si="2"/>
        <v>3.0045560402925795</v>
      </c>
      <c r="W34" s="41">
        <f t="shared" si="3"/>
        <v>0.13504511999999996</v>
      </c>
      <c r="X34" s="42">
        <f t="shared" si="4"/>
        <v>0.14536340034887207</v>
      </c>
      <c r="Y34" s="27">
        <f t="shared" si="12"/>
        <v>3.0045560402925795</v>
      </c>
      <c r="Z34" s="28">
        <f t="shared" si="13"/>
        <v>0.92901734326447893</v>
      </c>
    </row>
    <row r="35" spans="1:42" x14ac:dyDescent="0.2">
      <c r="A35" s="4" t="s">
        <v>23</v>
      </c>
      <c r="B35" s="34" t="s">
        <v>3</v>
      </c>
      <c r="C35" s="34" t="s">
        <v>4</v>
      </c>
      <c r="D35" s="5">
        <v>26.08</v>
      </c>
      <c r="E35" s="32">
        <f t="shared" si="5"/>
        <v>27.123200000000001</v>
      </c>
      <c r="F35" s="6">
        <f>POWER(E35,1/3)</f>
        <v>3.0045560402925795</v>
      </c>
      <c r="G35" s="5" t="s">
        <v>56</v>
      </c>
      <c r="H35" s="17">
        <v>0.63</v>
      </c>
      <c r="I35" s="17">
        <v>0.88</v>
      </c>
      <c r="J35" s="37">
        <v>0.44</v>
      </c>
      <c r="K35" s="15">
        <f t="shared" si="16"/>
        <v>0.12765984</v>
      </c>
      <c r="L35" s="14">
        <f t="shared" si="6"/>
        <v>0.74458041875945136</v>
      </c>
      <c r="M35" s="14">
        <f t="shared" si="7"/>
        <v>1.2619135369228833</v>
      </c>
      <c r="N35" s="15">
        <f t="shared" si="17"/>
        <v>0.14536340034887207</v>
      </c>
      <c r="O35" s="39">
        <f t="shared" si="20"/>
        <v>0.26289865373591959</v>
      </c>
      <c r="P35" s="63">
        <f>(E35/(617.952*(F58^0.309)))^(1/0.794)</f>
        <v>4.5106865811039745E-2</v>
      </c>
      <c r="Q35" s="23">
        <f t="shared" si="1"/>
        <v>0.87821170730470299</v>
      </c>
      <c r="R35" s="23">
        <f t="shared" si="9"/>
        <v>1.6736487378211449</v>
      </c>
      <c r="S35" s="23">
        <f t="shared" si="10"/>
        <v>2.8301642711064998</v>
      </c>
      <c r="T35" s="23">
        <f t="shared" si="11"/>
        <v>3.2226446625182037</v>
      </c>
      <c r="V35" s="27">
        <f t="shared" si="2"/>
        <v>3.0045560402925795</v>
      </c>
      <c r="W35" s="41">
        <f t="shared" si="3"/>
        <v>0.12765984</v>
      </c>
      <c r="X35" s="42">
        <f t="shared" si="4"/>
        <v>0.14536340034887207</v>
      </c>
      <c r="Y35" s="27">
        <f t="shared" si="12"/>
        <v>3.0045560402925795</v>
      </c>
      <c r="Z35" s="28">
        <f t="shared" si="13"/>
        <v>0.87821170730470299</v>
      </c>
      <c r="AM35" t="s">
        <v>77</v>
      </c>
      <c r="AO35" t="s">
        <v>82</v>
      </c>
      <c r="AP35" t="s">
        <v>78</v>
      </c>
    </row>
    <row r="36" spans="1:42" x14ac:dyDescent="0.2">
      <c r="A36" s="4" t="s">
        <v>25</v>
      </c>
      <c r="B36" s="34" t="s">
        <v>3</v>
      </c>
      <c r="C36" s="34" t="s">
        <v>4</v>
      </c>
      <c r="D36" s="5">
        <v>26.08</v>
      </c>
      <c r="E36" s="32">
        <f t="shared" si="5"/>
        <v>27.123200000000001</v>
      </c>
      <c r="F36" s="6">
        <f>POWER(E36,1/3)</f>
        <v>3.0045560402925795</v>
      </c>
      <c r="G36" s="5" t="s">
        <v>56</v>
      </c>
      <c r="H36" s="17">
        <v>0.71</v>
      </c>
      <c r="I36" s="17">
        <v>0.87</v>
      </c>
      <c r="J36" s="37">
        <v>0.45</v>
      </c>
      <c r="K36" s="15">
        <f t="shared" si="16"/>
        <v>0.14546835</v>
      </c>
      <c r="L36" s="14">
        <f t="shared" si="6"/>
        <v>0.78593892892514228</v>
      </c>
      <c r="M36" s="14">
        <f t="shared" si="7"/>
        <v>1.2619135369228833</v>
      </c>
      <c r="N36" s="15">
        <f t="shared" si="17"/>
        <v>0.14536340034887207</v>
      </c>
      <c r="O36" s="39">
        <f t="shared" si="20"/>
        <v>0.26289865373591959</v>
      </c>
      <c r="P36" s="63">
        <f>(E36/(617.952*(F58^0.309)))^(1/0.794)</f>
        <v>4.5106865811039745E-2</v>
      </c>
      <c r="Q36" s="23">
        <f t="shared" si="1"/>
        <v>1.0007219812612806</v>
      </c>
      <c r="R36" s="23">
        <f t="shared" si="9"/>
        <v>1.7116862091352618</v>
      </c>
      <c r="S36" s="23">
        <f t="shared" si="10"/>
        <v>3.2249713515763077</v>
      </c>
      <c r="T36" s="23">
        <f t="shared" si="11"/>
        <v>3.2226446625182037</v>
      </c>
      <c r="V36" s="27">
        <f t="shared" si="2"/>
        <v>3.0045560402925795</v>
      </c>
      <c r="W36" s="41">
        <f t="shared" si="3"/>
        <v>0.14546835</v>
      </c>
      <c r="X36" s="42">
        <f t="shared" si="4"/>
        <v>0.14536340034887207</v>
      </c>
      <c r="Y36" s="27">
        <f t="shared" si="12"/>
        <v>3.0045560402925795</v>
      </c>
      <c r="Z36" s="28">
        <f t="shared" si="13"/>
        <v>1.0007219812612806</v>
      </c>
      <c r="AM36" t="s">
        <v>79</v>
      </c>
      <c r="AN36" s="66">
        <f>H4</f>
        <v>0.49</v>
      </c>
    </row>
    <row r="37" spans="1:42" x14ac:dyDescent="0.2">
      <c r="A37" s="4" t="s">
        <v>25</v>
      </c>
      <c r="B37" s="5" t="s">
        <v>3</v>
      </c>
      <c r="C37" s="5" t="s">
        <v>4</v>
      </c>
      <c r="D37" s="5">
        <v>26.08</v>
      </c>
      <c r="E37" s="32">
        <f t="shared" si="5"/>
        <v>27.123200000000001</v>
      </c>
      <c r="F37" s="6">
        <f t="shared" si="19"/>
        <v>3.0045560402925795</v>
      </c>
      <c r="G37" s="5" t="s">
        <v>56</v>
      </c>
      <c r="H37" s="17">
        <v>0.61</v>
      </c>
      <c r="I37" s="17">
        <v>0.79</v>
      </c>
      <c r="J37" s="37">
        <v>0.46</v>
      </c>
      <c r="K37" s="15">
        <f t="shared" si="16"/>
        <v>0.11600939333333335</v>
      </c>
      <c r="L37" s="14">
        <f t="shared" si="6"/>
        <v>0.69419017567234409</v>
      </c>
      <c r="M37" s="14">
        <f t="shared" si="7"/>
        <v>1.2619135369228833</v>
      </c>
      <c r="N37" s="15">
        <f t="shared" si="17"/>
        <v>0.14536340034887207</v>
      </c>
      <c r="O37" s="39">
        <f t="shared" si="20"/>
        <v>0.26289865373591959</v>
      </c>
      <c r="P37" s="63">
        <f>(E37/(617.952*(F58^0.309)))^(1/0.794)</f>
        <v>4.5106865811039745E-2</v>
      </c>
      <c r="Q37" s="23">
        <f t="shared" si="1"/>
        <v>0.79806466452291891</v>
      </c>
      <c r="R37" s="23">
        <f t="shared" si="9"/>
        <v>1.7497236804493788</v>
      </c>
      <c r="S37" s="23">
        <f t="shared" si="10"/>
        <v>2.5718788314691654</v>
      </c>
      <c r="T37" s="23">
        <f t="shared" si="11"/>
        <v>3.2226446625182037</v>
      </c>
      <c r="V37" s="27">
        <f t="shared" si="2"/>
        <v>3.0045560402925795</v>
      </c>
      <c r="W37" s="41">
        <f t="shared" si="3"/>
        <v>0.11600939333333335</v>
      </c>
      <c r="X37" s="42">
        <f t="shared" si="4"/>
        <v>0.14536340034887207</v>
      </c>
      <c r="Y37" s="27">
        <f t="shared" si="12"/>
        <v>3.0045560402925795</v>
      </c>
      <c r="Z37" s="28">
        <f t="shared" si="13"/>
        <v>0.79806466452291891</v>
      </c>
      <c r="AM37" t="s">
        <v>80</v>
      </c>
      <c r="AN37" s="66">
        <f>I4</f>
        <v>0.57999999999999996</v>
      </c>
    </row>
    <row r="38" spans="1:42" x14ac:dyDescent="0.2">
      <c r="A38" s="4" t="s">
        <v>25</v>
      </c>
      <c r="B38" s="5" t="s">
        <v>3</v>
      </c>
      <c r="C38" s="5" t="s">
        <v>4</v>
      </c>
      <c r="D38" s="5">
        <v>26.08</v>
      </c>
      <c r="E38" s="32">
        <f t="shared" si="5"/>
        <v>27.123200000000001</v>
      </c>
      <c r="F38" s="6">
        <f t="shared" si="19"/>
        <v>3.0045560402925795</v>
      </c>
      <c r="G38" s="5" t="s">
        <v>56</v>
      </c>
      <c r="H38" s="17">
        <v>0.67</v>
      </c>
      <c r="I38" s="17">
        <v>0.83</v>
      </c>
      <c r="J38" s="37">
        <v>0.42</v>
      </c>
      <c r="K38" s="15">
        <f t="shared" si="16"/>
        <v>0.12223078</v>
      </c>
      <c r="L38" s="14">
        <f t="shared" si="6"/>
        <v>0.74572112750008634</v>
      </c>
      <c r="M38" s="14">
        <f t="shared" si="7"/>
        <v>1.2619135369228833</v>
      </c>
      <c r="N38" s="15">
        <f t="shared" si="17"/>
        <v>0.14536340034887207</v>
      </c>
      <c r="O38" s="39">
        <f>0.5*POWER(N38, 1/3)</f>
        <v>0.26289865373591959</v>
      </c>
      <c r="P38" s="63">
        <f>(E38/(617.952*(F58^0.309)))^(1/0.794)</f>
        <v>4.5106865811039745E-2</v>
      </c>
      <c r="Q38" s="23">
        <f t="shared" si="1"/>
        <v>0.84086351658427227</v>
      </c>
      <c r="R38" s="23">
        <f t="shared" si="9"/>
        <v>1.5975737951929108</v>
      </c>
      <c r="S38" s="23">
        <f t="shared" si="10"/>
        <v>2.7098043236265918</v>
      </c>
      <c r="T38" s="23">
        <f t="shared" si="11"/>
        <v>3.2226446625182037</v>
      </c>
      <c r="V38" s="27">
        <f t="shared" si="2"/>
        <v>3.0045560402925795</v>
      </c>
      <c r="W38" s="41">
        <f t="shared" si="3"/>
        <v>0.12223078</v>
      </c>
      <c r="X38" s="42">
        <f t="shared" si="4"/>
        <v>0.14536340034887207</v>
      </c>
      <c r="Y38" s="27">
        <f t="shared" si="12"/>
        <v>3.0045560402925795</v>
      </c>
      <c r="Z38" s="28">
        <f t="shared" si="13"/>
        <v>0.84086351658427227</v>
      </c>
      <c r="AM38" t="s">
        <v>70</v>
      </c>
      <c r="AN38" s="68">
        <f>SQRT((AN36*AN37)/2)*3.28084</f>
        <v>1.2367504874087416</v>
      </c>
    </row>
    <row r="39" spans="1:42" x14ac:dyDescent="0.2">
      <c r="A39" s="4">
        <v>44665</v>
      </c>
      <c r="B39" s="5" t="s">
        <v>3</v>
      </c>
      <c r="C39" s="5" t="s">
        <v>4</v>
      </c>
      <c r="D39" s="5">
        <v>52.16</v>
      </c>
      <c r="E39" s="32">
        <f t="shared" si="5"/>
        <v>54.246400000000001</v>
      </c>
      <c r="F39" s="6">
        <f t="shared" si="19"/>
        <v>3.7855034007534094</v>
      </c>
      <c r="G39" s="5" t="s">
        <v>56</v>
      </c>
      <c r="H39" s="17">
        <v>0.81</v>
      </c>
      <c r="I39" s="17">
        <v>1.26</v>
      </c>
      <c r="J39" s="37">
        <v>0.49</v>
      </c>
      <c r="K39" s="15">
        <f t="shared" si="16"/>
        <v>0.26171585999999997</v>
      </c>
      <c r="L39" s="14">
        <f t="shared" si="6"/>
        <v>1.0102474944289643</v>
      </c>
      <c r="M39" s="14">
        <f t="shared" ref="M39:M43" si="21">0.42*F39</f>
        <v>1.589911428316432</v>
      </c>
      <c r="N39" s="15">
        <f t="shared" si="17"/>
        <v>0.29072680069774426</v>
      </c>
      <c r="O39" s="39">
        <f>0.5*POWER(N39, 1/3)</f>
        <v>0.33123154783090858</v>
      </c>
      <c r="P39" s="63">
        <f>(E39/(617.952*(F59^0.309)))^(1/0.794)</f>
        <v>8.2455979835105705E-2</v>
      </c>
      <c r="Q39" s="23">
        <f t="shared" si="1"/>
        <v>0.90021236216228417</v>
      </c>
      <c r="R39" s="23">
        <f t="shared" si="9"/>
        <v>1.4793276884668656</v>
      </c>
      <c r="S39" s="23">
        <f t="shared" si="10"/>
        <v>3.1740070340971704</v>
      </c>
      <c r="T39" s="23">
        <f t="shared" si="11"/>
        <v>3.5258425317258442</v>
      </c>
      <c r="V39" s="27">
        <f t="shared" si="2"/>
        <v>3.7855034007534094</v>
      </c>
      <c r="W39" s="41">
        <f t="shared" si="3"/>
        <v>0.26171585999999997</v>
      </c>
      <c r="X39" s="42">
        <f t="shared" si="4"/>
        <v>0.29072680069774426</v>
      </c>
      <c r="Y39" s="27">
        <f t="shared" si="12"/>
        <v>3.7855034007534094</v>
      </c>
      <c r="Z39" s="28">
        <f t="shared" si="13"/>
        <v>0.90021236216228417</v>
      </c>
      <c r="AM39" t="s">
        <v>71</v>
      </c>
      <c r="AN39" s="68">
        <v>2.8400000000000002E-2</v>
      </c>
    </row>
    <row r="40" spans="1:42" x14ac:dyDescent="0.2">
      <c r="A40" s="4">
        <v>44665</v>
      </c>
      <c r="B40" s="5" t="s">
        <v>3</v>
      </c>
      <c r="C40" s="5" t="s">
        <v>4</v>
      </c>
      <c r="D40" s="5">
        <v>52.16</v>
      </c>
      <c r="E40" s="32">
        <f t="shared" si="5"/>
        <v>54.246400000000001</v>
      </c>
      <c r="F40" s="6">
        <f>POWER(E40,1/3)</f>
        <v>3.7855034007534094</v>
      </c>
      <c r="G40" s="5" t="s">
        <v>56</v>
      </c>
      <c r="H40" s="17">
        <v>0.85</v>
      </c>
      <c r="I40" s="17">
        <v>1.1599999999999999</v>
      </c>
      <c r="J40" s="37">
        <v>0.48</v>
      </c>
      <c r="K40" s="15">
        <f t="shared" si="16"/>
        <v>0.24768319999999999</v>
      </c>
      <c r="L40" s="14">
        <f t="shared" si="6"/>
        <v>0.99297532698451263</v>
      </c>
      <c r="M40" s="14">
        <f t="shared" si="21"/>
        <v>1.589911428316432</v>
      </c>
      <c r="N40" s="15">
        <f t="shared" si="17"/>
        <v>0.29072680069774426</v>
      </c>
      <c r="O40" s="39">
        <f t="shared" ref="O40:O43" si="22">0.5*POWER(N40, 1/3)</f>
        <v>0.33123154783090858</v>
      </c>
      <c r="P40" s="63">
        <f>(E40/(617.952*(F59^0.309)))^(1/0.794)</f>
        <v>8.2455979835105705E-2</v>
      </c>
      <c r="Q40" s="45">
        <f t="shared" si="1"/>
        <v>0.85194484789692715</v>
      </c>
      <c r="R40" s="23">
        <f t="shared" si="9"/>
        <v>1.4491373274777457</v>
      </c>
      <c r="S40" s="23">
        <f t="shared" si="10"/>
        <v>3.0038233793996909</v>
      </c>
      <c r="T40" s="23">
        <f t="shared" si="11"/>
        <v>3.5258425317258442</v>
      </c>
      <c r="V40" s="27">
        <f t="shared" si="2"/>
        <v>3.7855034007534094</v>
      </c>
      <c r="W40" s="41">
        <f t="shared" si="3"/>
        <v>0.24768319999999999</v>
      </c>
      <c r="X40" s="42">
        <f t="shared" si="4"/>
        <v>0.29072680069774426</v>
      </c>
      <c r="Y40" s="27">
        <f t="shared" si="12"/>
        <v>3.7855034007534094</v>
      </c>
      <c r="Z40" s="28">
        <f t="shared" si="13"/>
        <v>0.85194484789692715</v>
      </c>
      <c r="AM40" t="s">
        <v>72</v>
      </c>
      <c r="AN40" s="67">
        <v>2.84</v>
      </c>
    </row>
    <row r="41" spans="1:42" x14ac:dyDescent="0.2">
      <c r="A41" s="4">
        <v>44665</v>
      </c>
      <c r="B41" s="5" t="s">
        <v>3</v>
      </c>
      <c r="C41" s="5" t="s">
        <v>4</v>
      </c>
      <c r="D41" s="5">
        <v>52.16</v>
      </c>
      <c r="E41" s="32">
        <f t="shared" si="5"/>
        <v>54.246400000000001</v>
      </c>
      <c r="F41" s="6">
        <f t="shared" si="19"/>
        <v>3.7855034007534094</v>
      </c>
      <c r="G41" s="5" t="s">
        <v>56</v>
      </c>
      <c r="H41" s="35">
        <v>0.9</v>
      </c>
      <c r="I41" s="35">
        <v>1.18</v>
      </c>
      <c r="J41" s="38">
        <v>0.47</v>
      </c>
      <c r="K41" s="15">
        <f t="shared" si="16"/>
        <v>0.26121659999999997</v>
      </c>
      <c r="L41" s="14">
        <f t="shared" si="6"/>
        <v>1.0305338422390602</v>
      </c>
      <c r="M41" s="14">
        <f t="shared" si="21"/>
        <v>1.589911428316432</v>
      </c>
      <c r="N41" s="15">
        <f t="shared" si="17"/>
        <v>0.29072680069774426</v>
      </c>
      <c r="O41" s="39">
        <f t="shared" si="22"/>
        <v>0.33123154783090858</v>
      </c>
      <c r="P41" s="63">
        <f>(E41/(617.952*(F59^0.309)))^(1/0.794)</f>
        <v>8.2455979835105705E-2</v>
      </c>
      <c r="Q41" s="23">
        <f>K41/N41</f>
        <v>0.89849507982435806</v>
      </c>
      <c r="R41" s="23">
        <f t="shared" si="9"/>
        <v>1.4189469664886261</v>
      </c>
      <c r="S41" s="23">
        <f t="shared" si="10"/>
        <v>3.167952166991129</v>
      </c>
      <c r="T41" s="23">
        <f t="shared" si="11"/>
        <v>3.5258425317258442</v>
      </c>
      <c r="V41" s="27">
        <f t="shared" si="2"/>
        <v>3.7855034007534094</v>
      </c>
      <c r="W41" s="41">
        <f t="shared" si="3"/>
        <v>0.26121659999999997</v>
      </c>
      <c r="X41" s="42">
        <f t="shared" si="4"/>
        <v>0.29072680069774426</v>
      </c>
      <c r="Y41" s="27">
        <f t="shared" si="12"/>
        <v>3.7855034007534094</v>
      </c>
      <c r="Z41" s="28">
        <f t="shared" si="13"/>
        <v>0.89849507982435806</v>
      </c>
      <c r="AM41" t="s">
        <v>81</v>
      </c>
      <c r="AN41" s="72">
        <f>POWER(AN44,3)/AN45</f>
        <v>0.74243309004687541</v>
      </c>
      <c r="AO41">
        <v>1</v>
      </c>
    </row>
    <row r="42" spans="1:42" x14ac:dyDescent="0.2">
      <c r="A42" s="4" t="s">
        <v>25</v>
      </c>
      <c r="B42" s="5" t="s">
        <v>3</v>
      </c>
      <c r="C42" s="5" t="s">
        <v>4</v>
      </c>
      <c r="D42" s="5">
        <v>52.16</v>
      </c>
      <c r="E42" s="32">
        <f t="shared" si="5"/>
        <v>54.246400000000001</v>
      </c>
      <c r="F42" s="6">
        <f>POWER(E42,1/3)</f>
        <v>3.7855034007534094</v>
      </c>
      <c r="G42" s="5" t="s">
        <v>56</v>
      </c>
      <c r="H42" s="17">
        <v>0.88</v>
      </c>
      <c r="I42" s="17">
        <v>1.1399999999999999</v>
      </c>
      <c r="J42" s="37">
        <v>0.49</v>
      </c>
      <c r="K42" s="15">
        <f t="shared" si="16"/>
        <v>0.25725391999999997</v>
      </c>
      <c r="L42" s="14">
        <f t="shared" si="6"/>
        <v>1.0015987220439131</v>
      </c>
      <c r="M42" s="14">
        <f t="shared" si="21"/>
        <v>1.589911428316432</v>
      </c>
      <c r="N42" s="15">
        <f t="shared" si="17"/>
        <v>0.29072680069774426</v>
      </c>
      <c r="O42" s="39">
        <f t="shared" si="22"/>
        <v>0.33123154783090858</v>
      </c>
      <c r="P42" s="63">
        <f>(E42/(617.952*(F59^0.309)))^(1/0.794)</f>
        <v>8.2455979835105705E-2</v>
      </c>
      <c r="Q42" s="23">
        <f t="shared" si="1"/>
        <v>0.88486482629943508</v>
      </c>
      <c r="R42" s="23">
        <f t="shared" si="9"/>
        <v>1.4793276884668656</v>
      </c>
      <c r="S42" s="23">
        <f t="shared" si="10"/>
        <v>3.1198940393947496</v>
      </c>
      <c r="T42" s="23">
        <f t="shared" si="11"/>
        <v>3.5258425317258442</v>
      </c>
      <c r="V42" s="27">
        <f t="shared" si="2"/>
        <v>3.7855034007534094</v>
      </c>
      <c r="W42" s="41">
        <f t="shared" si="3"/>
        <v>0.25725391999999997</v>
      </c>
      <c r="X42" s="42">
        <f t="shared" si="4"/>
        <v>0.29072680069774426</v>
      </c>
      <c r="Y42" s="27">
        <f t="shared" si="12"/>
        <v>3.7855034007534094</v>
      </c>
      <c r="Z42" s="28">
        <f t="shared" si="13"/>
        <v>0.88486482629943508</v>
      </c>
      <c r="AM42" t="s">
        <v>73</v>
      </c>
      <c r="AN42" s="69">
        <f>AN43*2.20462</f>
        <v>13.023131263999998</v>
      </c>
    </row>
    <row r="43" spans="1:42" x14ac:dyDescent="0.2">
      <c r="A43" s="4" t="s">
        <v>25</v>
      </c>
      <c r="B43" s="5" t="s">
        <v>3</v>
      </c>
      <c r="C43" s="5" t="s">
        <v>4</v>
      </c>
      <c r="D43" s="5">
        <v>52.16</v>
      </c>
      <c r="E43" s="32">
        <f t="shared" si="5"/>
        <v>54.246400000000001</v>
      </c>
      <c r="F43" s="6">
        <f>POWER(E43,1/3)</f>
        <v>3.7855034007534094</v>
      </c>
      <c r="G43" s="5" t="s">
        <v>56</v>
      </c>
      <c r="H43" s="17">
        <v>0.89</v>
      </c>
      <c r="I43" s="17">
        <v>1.1599999999999999</v>
      </c>
      <c r="J43" s="37">
        <v>0.51</v>
      </c>
      <c r="K43" s="15">
        <f>0.5*(4/3)*(H43/2)*(I43/2)*J43*3.14</f>
        <v>0.27554755999999997</v>
      </c>
      <c r="L43" s="14">
        <f>2*SQRT((H43/2)*(I43/2))</f>
        <v>1.016070863670443</v>
      </c>
      <c r="M43" s="14">
        <f t="shared" si="21"/>
        <v>1.589911428316432</v>
      </c>
      <c r="N43" s="15">
        <f t="shared" si="17"/>
        <v>0.29072680069774426</v>
      </c>
      <c r="O43" s="39">
        <f t="shared" si="22"/>
        <v>0.33123154783090858</v>
      </c>
      <c r="P43" s="63">
        <f>(E43/(617.952*(F59^0.309)))^(1/0.794)</f>
        <v>8.2455979835105705E-2</v>
      </c>
      <c r="Q43" s="40">
        <f t="shared" si="1"/>
        <v>0.94778864328533141</v>
      </c>
      <c r="R43" s="40">
        <f t="shared" si="9"/>
        <v>1.5397084104451049</v>
      </c>
      <c r="S43" s="23">
        <f t="shared" si="10"/>
        <v>3.3417535095821558</v>
      </c>
      <c r="T43" s="23">
        <f>N43/P43</f>
        <v>3.5258425317258442</v>
      </c>
      <c r="V43" s="27">
        <f t="shared" si="2"/>
        <v>3.7855034007534094</v>
      </c>
      <c r="W43" s="41">
        <f t="shared" si="3"/>
        <v>0.27554755999999997</v>
      </c>
      <c r="X43" s="42">
        <f t="shared" si="4"/>
        <v>0.29072680069774426</v>
      </c>
      <c r="Y43" s="27">
        <f t="shared" si="12"/>
        <v>3.7855034007534094</v>
      </c>
      <c r="Z43" s="28">
        <f t="shared" si="13"/>
        <v>0.94778864328533141</v>
      </c>
      <c r="AM43" t="s">
        <v>74</v>
      </c>
      <c r="AN43" s="66">
        <f>E4</f>
        <v>5.9071999999999996</v>
      </c>
    </row>
    <row r="44" spans="1:42" x14ac:dyDescent="0.2">
      <c r="A44" s="102"/>
      <c r="B44" s="47"/>
      <c r="C44" s="47"/>
      <c r="D44" s="47"/>
      <c r="E44" s="47">
        <v>1692</v>
      </c>
      <c r="F44" s="103">
        <f>POWER(E44,1/3)</f>
        <v>11.916081170531539</v>
      </c>
      <c r="G44" s="47" t="s">
        <v>56</v>
      </c>
      <c r="H44" s="104"/>
      <c r="I44" s="104"/>
      <c r="J44" s="104"/>
      <c r="K44" s="105"/>
      <c r="L44" s="105"/>
      <c r="M44" s="105">
        <f>0.42*F44</f>
        <v>5.004754091623246</v>
      </c>
      <c r="N44" s="105">
        <f>POWER(0.416666667*M44, 3)</f>
        <v>9.0680625217633484</v>
      </c>
      <c r="O44" s="105">
        <f>0.5*POWER(N44, 1/3)</f>
        <v>1.0426571032556353</v>
      </c>
      <c r="P44" s="106"/>
      <c r="Q44" s="107"/>
      <c r="R44" s="107"/>
      <c r="S44" s="107"/>
      <c r="T44" s="107"/>
      <c r="V44" s="1"/>
      <c r="W44" s="64"/>
      <c r="X44" s="65"/>
      <c r="Y44" s="1"/>
      <c r="Z44" s="33"/>
      <c r="AM44" t="s">
        <v>75</v>
      </c>
      <c r="AN44">
        <f>AN38/(0.46+0.027*AN39)</f>
        <v>2.6841137152432455</v>
      </c>
    </row>
    <row r="45" spans="1:42" ht="22" thickBot="1" x14ac:dyDescent="0.3">
      <c r="A45" s="52" t="s">
        <v>55</v>
      </c>
      <c r="D45">
        <f>SUM(D4:D43)</f>
        <v>839.1999999999997</v>
      </c>
      <c r="E45">
        <f>SUM(E4:E43)</f>
        <v>872.76799999999992</v>
      </c>
      <c r="Q45" s="101">
        <f>AVERAGE(Q4:Q43)</f>
        <v>0.89454908273971401</v>
      </c>
      <c r="R45" s="100">
        <f>AVERAGE(R4:R43)</f>
        <v>1.5645314184287229</v>
      </c>
      <c r="S45" s="100">
        <f>AVERAGE(S4:S43)</f>
        <v>3.0352404401564059</v>
      </c>
      <c r="T45" s="100">
        <f>AVERAGE(T4:T43)</f>
        <v>3.3937036001704612</v>
      </c>
      <c r="Z45" s="33">
        <f>AVERAGE(Z4:Z43)</f>
        <v>0.89454908273971401</v>
      </c>
      <c r="AM45" t="s">
        <v>76</v>
      </c>
      <c r="AN45">
        <f>2*AN42</f>
        <v>26.046262527999996</v>
      </c>
    </row>
    <row r="46" spans="1:42" ht="17" thickBot="1" x14ac:dyDescent="0.25"/>
    <row r="47" spans="1:42" ht="17" thickBot="1" x14ac:dyDescent="0.25">
      <c r="V47" s="1"/>
      <c r="W47" s="7"/>
      <c r="X47" s="7"/>
      <c r="AM47" s="70"/>
      <c r="AN47" s="71"/>
    </row>
    <row r="48" spans="1:42" x14ac:dyDescent="0.2">
      <c r="V48" s="24"/>
      <c r="W48" s="43"/>
      <c r="X48" s="24"/>
    </row>
    <row r="49" spans="1:40" x14ac:dyDescent="0.2">
      <c r="V49" s="24"/>
      <c r="W49" s="43"/>
      <c r="X49" s="24"/>
      <c r="AN49">
        <f>AN44*AN44*AN44</f>
        <v>19.337607172835177</v>
      </c>
    </row>
    <row r="50" spans="1:40" x14ac:dyDescent="0.2">
      <c r="A50" s="2" t="s">
        <v>41</v>
      </c>
      <c r="B50" t="s">
        <v>42</v>
      </c>
      <c r="C50">
        <f>(1440+2360)/2</f>
        <v>1900</v>
      </c>
      <c r="V50" s="44"/>
      <c r="W50" s="43"/>
      <c r="X50" s="24"/>
      <c r="AN50">
        <f>AN49/AN45</f>
        <v>0.74243309004687541</v>
      </c>
    </row>
    <row r="51" spans="1:40" x14ac:dyDescent="0.2">
      <c r="A51" s="2" t="s">
        <v>31</v>
      </c>
      <c r="B51" t="s">
        <v>32</v>
      </c>
      <c r="C51" t="s">
        <v>33</v>
      </c>
      <c r="V51" s="44"/>
      <c r="W51" s="43"/>
      <c r="X51" s="24"/>
    </row>
    <row r="52" spans="1:40" x14ac:dyDescent="0.2">
      <c r="A52" s="2" t="s">
        <v>7</v>
      </c>
      <c r="V52" s="44"/>
      <c r="W52" s="43"/>
      <c r="X52" s="43"/>
    </row>
    <row r="53" spans="1:40" x14ac:dyDescent="0.2">
      <c r="A53" s="2" t="s">
        <v>13</v>
      </c>
      <c r="V53" s="44"/>
      <c r="W53" s="43"/>
      <c r="X53" s="43"/>
    </row>
    <row r="54" spans="1:40" ht="34" x14ac:dyDescent="0.2">
      <c r="A54" s="2" t="s">
        <v>8</v>
      </c>
      <c r="F54" s="1" t="s">
        <v>19</v>
      </c>
      <c r="H54" s="18" t="s">
        <v>30</v>
      </c>
      <c r="K54" s="9" t="s">
        <v>63</v>
      </c>
    </row>
    <row r="55" spans="1:40" x14ac:dyDescent="0.2">
      <c r="A55" s="4"/>
      <c r="B55" s="5" t="s">
        <v>14</v>
      </c>
      <c r="C55" s="5" t="s">
        <v>15</v>
      </c>
      <c r="D55" s="5" t="s">
        <v>10</v>
      </c>
      <c r="E55" s="47"/>
      <c r="F55" s="6" t="s">
        <v>17</v>
      </c>
      <c r="G55" s="5" t="s">
        <v>16</v>
      </c>
      <c r="H55" s="19" t="s">
        <v>18</v>
      </c>
      <c r="I55" s="19" t="s">
        <v>20</v>
      </c>
      <c r="J55" s="19" t="s">
        <v>27</v>
      </c>
    </row>
    <row r="56" spans="1:40" x14ac:dyDescent="0.2">
      <c r="A56" s="4" t="s">
        <v>22</v>
      </c>
      <c r="B56" s="5">
        <v>230</v>
      </c>
      <c r="C56" s="5">
        <v>100</v>
      </c>
      <c r="D56" s="5">
        <v>270</v>
      </c>
      <c r="E56" s="47"/>
      <c r="F56" s="11">
        <f>B56*D56/1000000</f>
        <v>6.2100000000000002E-2</v>
      </c>
      <c r="G56" s="5">
        <f>B56*C56*D56/1000000000</f>
        <v>6.2100000000000002E-3</v>
      </c>
      <c r="H56" s="19">
        <v>5.68</v>
      </c>
      <c r="I56" s="19">
        <f>H56*1.04</f>
        <v>5.9071999999999996</v>
      </c>
      <c r="J56" s="19">
        <f>D56/B56</f>
        <v>1.173913043478261</v>
      </c>
      <c r="K56" s="9">
        <f>H56/G56</f>
        <v>914.65378421900152</v>
      </c>
    </row>
    <row r="57" spans="1:40" x14ac:dyDescent="0.2">
      <c r="A57" s="4" t="s">
        <v>11</v>
      </c>
      <c r="B57" s="11">
        <v>226</v>
      </c>
      <c r="C57" s="11">
        <v>194</v>
      </c>
      <c r="D57" s="11">
        <v>324</v>
      </c>
      <c r="E57" s="48"/>
      <c r="F57" s="12">
        <f>B57*D57/1000000</f>
        <v>7.3223999999999997E-2</v>
      </c>
      <c r="G57" s="5">
        <f>B57*C57*D57/1000000000</f>
        <v>1.4205456E-2</v>
      </c>
      <c r="H57" s="19">
        <v>13.04</v>
      </c>
      <c r="I57" s="19">
        <f t="shared" ref="I57:I59" si="23">H57*1.04</f>
        <v>13.5616</v>
      </c>
      <c r="J57" s="19">
        <f t="shared" ref="J57:J58" si="24">D57/B57</f>
        <v>1.4336283185840708</v>
      </c>
      <c r="K57" s="9">
        <f t="shared" ref="K57:K59" si="25">H57/G57</f>
        <v>917.95715674315556</v>
      </c>
    </row>
    <row r="58" spans="1:40" x14ac:dyDescent="0.2">
      <c r="A58" s="4" t="s">
        <v>12</v>
      </c>
      <c r="B58" s="11">
        <v>290</v>
      </c>
      <c r="C58" s="11">
        <v>240</v>
      </c>
      <c r="D58" s="11">
        <v>400</v>
      </c>
      <c r="E58" s="48"/>
      <c r="F58" s="12">
        <f>B58*D58/1000000</f>
        <v>0.11600000000000001</v>
      </c>
      <c r="G58" s="5">
        <f>B58*C58*D58/1000000000</f>
        <v>2.784E-2</v>
      </c>
      <c r="H58" s="19">
        <v>26.08</v>
      </c>
      <c r="I58" s="19">
        <f t="shared" si="23"/>
        <v>27.123200000000001</v>
      </c>
      <c r="J58" s="19">
        <f t="shared" si="24"/>
        <v>1.3793103448275863</v>
      </c>
      <c r="K58" s="9">
        <f t="shared" si="25"/>
        <v>936.78160919540221</v>
      </c>
    </row>
    <row r="59" spans="1:40" x14ac:dyDescent="0.2">
      <c r="A59" s="4" t="s">
        <v>54</v>
      </c>
      <c r="B59" s="50">
        <v>400</v>
      </c>
      <c r="C59" s="50">
        <v>240</v>
      </c>
      <c r="D59" s="50">
        <v>580</v>
      </c>
      <c r="E59" s="49"/>
      <c r="F59" s="12">
        <f>B59*D59/1000000</f>
        <v>0.23200000000000001</v>
      </c>
      <c r="G59" s="5">
        <f>B59*C59*D59/1000000000</f>
        <v>5.568E-2</v>
      </c>
      <c r="H59" s="19">
        <v>52.16</v>
      </c>
      <c r="I59" s="19">
        <f t="shared" si="23"/>
        <v>54.246400000000001</v>
      </c>
      <c r="J59" s="46">
        <f>D59/B59</f>
        <v>1.45</v>
      </c>
      <c r="K59" s="9">
        <f t="shared" si="25"/>
        <v>936.78160919540221</v>
      </c>
      <c r="N59" s="16"/>
      <c r="O59" s="16"/>
      <c r="P59" s="16"/>
    </row>
    <row r="60" spans="1:40" x14ac:dyDescent="0.2">
      <c r="B60" s="10"/>
      <c r="C60" s="10"/>
      <c r="D60" s="10"/>
      <c r="E60" s="10"/>
      <c r="F60" s="10"/>
      <c r="J60" s="16"/>
      <c r="K60" s="9">
        <f>AVERAGE(K56:K59)</f>
        <v>926.54353983824046</v>
      </c>
      <c r="N60" s="16"/>
      <c r="O60" s="16"/>
      <c r="P60" s="16"/>
    </row>
    <row r="61" spans="1:40" x14ac:dyDescent="0.2">
      <c r="B61" s="10"/>
      <c r="C61" s="10"/>
      <c r="D61" s="10"/>
      <c r="E61" s="10"/>
      <c r="F61" s="10"/>
      <c r="J61" s="16"/>
      <c r="N61" s="16"/>
      <c r="O61" s="16"/>
      <c r="P61" s="16"/>
    </row>
    <row r="62" spans="1:40" x14ac:dyDescent="0.2">
      <c r="J62" s="16"/>
      <c r="N62" s="16"/>
      <c r="O62" s="16"/>
      <c r="P62" s="16"/>
    </row>
    <row r="63" spans="1:40" x14ac:dyDescent="0.2">
      <c r="J63" s="16"/>
      <c r="N63" s="16"/>
      <c r="O63" s="16"/>
      <c r="P63" s="16"/>
    </row>
    <row r="64" spans="1:40" x14ac:dyDescent="0.2">
      <c r="J64" s="16"/>
      <c r="N64" s="16"/>
      <c r="O64" s="16"/>
      <c r="P64" s="16"/>
    </row>
    <row r="66" spans="10:10" x14ac:dyDescent="0.2">
      <c r="J66" s="20"/>
    </row>
  </sheetData>
  <mergeCells count="2">
    <mergeCell ref="H1:K1"/>
    <mergeCell ref="L1:N1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1FAD80-B633-F645-9A90-97B0BA8EC9D6}">
  <dimension ref="A1:T15"/>
  <sheetViews>
    <sheetView zoomScaleNormal="100" workbookViewId="0">
      <selection activeCell="P12" sqref="P12"/>
    </sheetView>
  </sheetViews>
  <sheetFormatPr baseColWidth="10" defaultRowHeight="16" x14ac:dyDescent="0.2"/>
  <cols>
    <col min="1" max="1" width="20.83203125" style="8" bestFit="1" customWidth="1"/>
    <col min="2" max="2" width="12.6640625" style="8" bestFit="1" customWidth="1"/>
    <col min="3" max="3" width="7.5" style="7" customWidth="1"/>
    <col min="4" max="4" width="6.5" customWidth="1"/>
    <col min="13" max="13" width="18.33203125" customWidth="1"/>
  </cols>
  <sheetData>
    <row r="1" spans="1:20" ht="18" thickBot="1" x14ac:dyDescent="0.25">
      <c r="A1" s="85" t="s">
        <v>97</v>
      </c>
      <c r="B1" s="78" t="s">
        <v>98</v>
      </c>
      <c r="C1" s="79" t="s">
        <v>95</v>
      </c>
      <c r="D1" s="80" t="s">
        <v>96</v>
      </c>
      <c r="L1" s="92" t="s">
        <v>97</v>
      </c>
      <c r="M1" s="92" t="s">
        <v>108</v>
      </c>
      <c r="N1" s="92" t="s">
        <v>104</v>
      </c>
      <c r="O1" s="92" t="s">
        <v>105</v>
      </c>
      <c r="P1" s="92"/>
      <c r="Q1" s="92"/>
      <c r="R1" s="92"/>
      <c r="S1" s="92"/>
      <c r="T1" s="92"/>
    </row>
    <row r="2" spans="1:20" ht="18" thickBot="1" x14ac:dyDescent="0.25">
      <c r="A2" s="86" t="s">
        <v>99</v>
      </c>
      <c r="B2" s="88">
        <f>B15*2*B3</f>
        <v>11940.370057008175</v>
      </c>
      <c r="C2" s="74">
        <f>B2/1000</f>
        <v>11.940370057008174</v>
      </c>
      <c r="D2" s="75">
        <f>C2*3.28084</f>
        <v>39.174443697834697</v>
      </c>
      <c r="L2" s="92" t="s">
        <v>121</v>
      </c>
      <c r="M2" s="92" t="s">
        <v>122</v>
      </c>
      <c r="N2" s="96">
        <v>3.84</v>
      </c>
      <c r="O2" s="96">
        <v>1.8</v>
      </c>
      <c r="P2" s="92"/>
      <c r="Q2" s="92"/>
      <c r="R2" s="92"/>
      <c r="S2" s="92"/>
      <c r="T2" s="92"/>
    </row>
    <row r="3" spans="1:20" ht="17" x14ac:dyDescent="0.2">
      <c r="A3" s="86" t="s">
        <v>100</v>
      </c>
      <c r="B3" s="89">
        <v>3000</v>
      </c>
      <c r="C3" s="76"/>
      <c r="D3" s="81"/>
      <c r="L3" s="92" t="s">
        <v>102</v>
      </c>
      <c r="M3" s="92" t="s">
        <v>109</v>
      </c>
      <c r="N3" s="96">
        <v>9</v>
      </c>
      <c r="O3" s="96">
        <v>9</v>
      </c>
      <c r="P3" s="96"/>
      <c r="Q3" s="96"/>
      <c r="R3" s="96"/>
      <c r="S3" s="96"/>
      <c r="T3" s="96"/>
    </row>
    <row r="4" spans="1:20" ht="20" customHeight="1" x14ac:dyDescent="0.2">
      <c r="A4" s="86" t="s">
        <v>101</v>
      </c>
      <c r="B4" s="89">
        <v>428</v>
      </c>
      <c r="C4" s="77"/>
      <c r="D4" s="82"/>
      <c r="L4" s="92" t="s">
        <v>74</v>
      </c>
      <c r="M4" s="92" t="s">
        <v>110</v>
      </c>
      <c r="N4" s="96">
        <f>924</f>
        <v>924</v>
      </c>
      <c r="O4" s="96">
        <v>110</v>
      </c>
      <c r="P4" s="96"/>
      <c r="Q4" s="96"/>
      <c r="R4" s="96"/>
      <c r="S4" s="96"/>
      <c r="T4" s="96"/>
    </row>
    <row r="5" spans="1:20" ht="17" x14ac:dyDescent="0.2">
      <c r="A5" s="86" t="s">
        <v>83</v>
      </c>
      <c r="B5" s="73">
        <f>POWER(B4,7/24)</f>
        <v>5.8546971188967909</v>
      </c>
      <c r="C5" s="77"/>
      <c r="D5" s="82"/>
      <c r="L5" s="92" t="s">
        <v>103</v>
      </c>
      <c r="M5" s="92" t="s">
        <v>111</v>
      </c>
      <c r="N5" s="94">
        <f>3.14*(N6*N6)/4</f>
        <v>0.166106</v>
      </c>
      <c r="O5" s="94">
        <f>3.14*(O6*O6)/4</f>
        <v>2.8338500000000003E-2</v>
      </c>
      <c r="P5" s="96"/>
      <c r="Q5" s="96"/>
      <c r="R5" s="96"/>
      <c r="S5" s="96"/>
      <c r="T5" s="96"/>
    </row>
    <row r="6" spans="1:20" ht="17" x14ac:dyDescent="0.2">
      <c r="A6" s="86" t="s">
        <v>90</v>
      </c>
      <c r="B6" s="73">
        <f>B5/3000</f>
        <v>1.9515657062989303E-3</v>
      </c>
      <c r="C6" s="77"/>
      <c r="D6" s="82"/>
      <c r="L6" s="92" t="s">
        <v>106</v>
      </c>
      <c r="M6" s="92" t="s">
        <v>112</v>
      </c>
      <c r="N6" s="96">
        <v>0.46</v>
      </c>
      <c r="O6" s="96">
        <v>0.19</v>
      </c>
      <c r="P6" s="96"/>
      <c r="Q6" s="96"/>
      <c r="R6" s="96"/>
      <c r="S6" s="96"/>
      <c r="T6" s="96"/>
    </row>
    <row r="7" spans="1:20" ht="17" x14ac:dyDescent="0.2">
      <c r="A7" s="86" t="s">
        <v>84</v>
      </c>
      <c r="B7" s="73">
        <f>LOG(B6,10)</f>
        <v>-2.7096168220908203</v>
      </c>
      <c r="C7" s="77" t="s">
        <v>91</v>
      </c>
      <c r="D7" s="82"/>
      <c r="L7" s="92" t="s">
        <v>107</v>
      </c>
      <c r="M7" s="92" t="s">
        <v>113</v>
      </c>
      <c r="N7" s="96">
        <v>120</v>
      </c>
      <c r="O7" s="96">
        <v>120</v>
      </c>
      <c r="P7" s="96"/>
      <c r="Q7" s="96"/>
      <c r="R7" s="96"/>
      <c r="S7" s="96"/>
      <c r="T7" s="96"/>
    </row>
    <row r="8" spans="1:20" ht="17" x14ac:dyDescent="0.2">
      <c r="A8" s="86" t="s">
        <v>86</v>
      </c>
      <c r="B8" s="73">
        <f>POWER(B7,3)</f>
        <v>-19.894069902985091</v>
      </c>
      <c r="C8" s="77"/>
      <c r="D8" s="82"/>
      <c r="L8" s="92" t="s">
        <v>95</v>
      </c>
      <c r="M8" s="92" t="s">
        <v>114</v>
      </c>
      <c r="N8" s="95">
        <f>POWER((N4/N5),0.7)*(N7-30.5)*0.000018*N3*N9</f>
        <v>5.297544067810855</v>
      </c>
      <c r="O8" s="95">
        <f>POWER(O4/O5,0.7)*(O7-30.5)*0.000018*O3*O9</f>
        <v>4.3171298297703711</v>
      </c>
      <c r="P8" s="95"/>
      <c r="Q8" s="95"/>
      <c r="R8" s="95"/>
      <c r="S8" s="95"/>
      <c r="T8" s="95"/>
    </row>
    <row r="9" spans="1:20" ht="17" x14ac:dyDescent="0.2">
      <c r="A9" s="86" t="s">
        <v>87</v>
      </c>
      <c r="B9" s="73">
        <f>POWER(B7,2)</f>
        <v>7.342023322557556</v>
      </c>
      <c r="C9" s="77"/>
      <c r="D9" s="82"/>
      <c r="L9" s="92" t="s">
        <v>119</v>
      </c>
      <c r="M9" s="92" t="s">
        <v>120</v>
      </c>
      <c r="N9" s="95">
        <f>0.25*(N2*0.15/N6)+0.56</f>
        <v>0.87304347826086959</v>
      </c>
      <c r="O9" s="95">
        <f>0.25*(O2*0.15/O6)+0.56</f>
        <v>0.91526315789473689</v>
      </c>
      <c r="P9" s="94"/>
      <c r="Q9" s="94"/>
      <c r="R9" s="94"/>
      <c r="S9" s="94"/>
      <c r="T9" s="94"/>
    </row>
    <row r="10" spans="1:20" ht="17" x14ac:dyDescent="0.2">
      <c r="A10" s="86" t="s">
        <v>85</v>
      </c>
      <c r="B10" s="73">
        <f>B7</f>
        <v>-2.7096168220908203</v>
      </c>
      <c r="C10" s="77"/>
      <c r="D10" s="82"/>
      <c r="L10" s="93" t="s">
        <v>2</v>
      </c>
      <c r="M10" s="97"/>
      <c r="N10" s="91" t="s">
        <v>118</v>
      </c>
      <c r="O10" s="91" t="s">
        <v>115</v>
      </c>
    </row>
    <row r="11" spans="1:20" ht="17" x14ac:dyDescent="0.2">
      <c r="A11" s="86" t="s">
        <v>92</v>
      </c>
      <c r="B11" s="73">
        <f>0.2993*B8</f>
        <v>-5.9542951219634377</v>
      </c>
      <c r="C11" s="77"/>
      <c r="D11" s="82"/>
      <c r="L11" s="93" t="s">
        <v>116</v>
      </c>
      <c r="M11" s="97"/>
      <c r="N11" s="91">
        <v>428</v>
      </c>
      <c r="O11" s="91">
        <v>16</v>
      </c>
    </row>
    <row r="12" spans="1:20" ht="17" x14ac:dyDescent="0.2">
      <c r="A12" s="86" t="s">
        <v>93</v>
      </c>
      <c r="B12" s="73">
        <f>1.8562*B9</f>
        <v>13.628263691331336</v>
      </c>
      <c r="C12" s="77"/>
      <c r="D12" s="82"/>
      <c r="L12" s="93" t="s">
        <v>117</v>
      </c>
      <c r="M12" s="97"/>
      <c r="N12" s="91">
        <f>N11*1.1</f>
        <v>470.8</v>
      </c>
      <c r="O12" s="91">
        <f>1.65*O11</f>
        <v>26.4</v>
      </c>
    </row>
    <row r="13" spans="1:20" ht="17" x14ac:dyDescent="0.2">
      <c r="A13" s="86" t="s">
        <v>94</v>
      </c>
      <c r="B13" s="73">
        <f>4.4913*B7</f>
        <v>-12.169702033056501</v>
      </c>
      <c r="C13" s="77"/>
      <c r="D13" s="82"/>
    </row>
    <row r="14" spans="1:20" ht="17" x14ac:dyDescent="0.2">
      <c r="A14" s="86" t="s">
        <v>88</v>
      </c>
      <c r="B14" s="73">
        <f>B11+B12+B13+4.7946</f>
        <v>0.29886653631139737</v>
      </c>
      <c r="C14" s="77"/>
      <c r="D14" s="82"/>
    </row>
    <row r="15" spans="1:20" ht="18" thickBot="1" x14ac:dyDescent="0.25">
      <c r="A15" s="87" t="s">
        <v>89</v>
      </c>
      <c r="B15" s="90">
        <f>POWER(10,B14)</f>
        <v>1.9900616761680292</v>
      </c>
      <c r="C15" s="83"/>
      <c r="D15" s="84"/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Surface Calculations Mukalla</vt:lpstr>
      <vt:lpstr>Buried Charges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Gareth Collett</cp:lastModifiedBy>
  <dcterms:created xsi:type="dcterms:W3CDTF">2022-12-06T12:53:34Z</dcterms:created>
  <dcterms:modified xsi:type="dcterms:W3CDTF">2023-11-27T15:22:52Z</dcterms:modified>
</cp:coreProperties>
</file>